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100" yWindow="45" windowWidth="4290" windowHeight="4575" tabRatio="851"/>
  </bookViews>
  <sheets>
    <sheet name="EOL LINKS" sheetId="1" r:id="rId1"/>
    <sheet name="NYISO A" sheetId="2" r:id="rId2"/>
    <sheet name="NYISO G" sheetId="3" r:id="rId3"/>
    <sheet name="NYISO J" sheetId="4" r:id="rId4"/>
    <sheet name="NEPOOL" sheetId="5" r:id="rId5"/>
    <sheet name="PJM" sheetId="6" r:id="rId6"/>
    <sheet name="Positions" sheetId="7" r:id="rId7"/>
    <sheet name="Summary" sheetId="8" r:id="rId8"/>
    <sheet name="Prices" sheetId="9" r:id="rId9"/>
    <sheet name="NET P&amp;L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DaysLeft">[1]DayCalc!$AA$48</definedName>
    <definedName name="DldName">'NYISO A'!$B$88</definedName>
    <definedName name="NumProducts">'EOL LINKS'!$G$1</definedName>
    <definedName name="OrigName">'NYISO A'!$B$89</definedName>
    <definedName name="_xlnm.Print_Area" localSheetId="1">'NYISO A'!$A$1:$R$56</definedName>
    <definedName name="TradeDate" localSheetId="8">[5]TradeSum!$B$2</definedName>
    <definedName name="TradeDate">'NYISO A'!$B$5</definedName>
  </definedNames>
  <calcPr calcId="152511" calcMode="manual"/>
</workbook>
</file>

<file path=xl/calcChain.xml><?xml version="1.0" encoding="utf-8"?>
<calcChain xmlns="http://schemas.openxmlformats.org/spreadsheetml/2006/main">
  <c r="I2" i="1" l="1"/>
  <c r="I3" i="1"/>
  <c r="I7" i="1"/>
  <c r="I9" i="1"/>
  <c r="I10" i="1"/>
  <c r="I11" i="1"/>
  <c r="B5" i="5"/>
  <c r="B6" i="5"/>
  <c r="B12" i="5"/>
  <c r="C12" i="5"/>
  <c r="F12" i="5"/>
  <c r="H12" i="5" s="1"/>
  <c r="I12" i="5"/>
  <c r="P12" i="5"/>
  <c r="G12" i="5" s="1"/>
  <c r="CY12" i="5"/>
  <c r="CZ12" i="5"/>
  <c r="DA12" i="5"/>
  <c r="DC12" i="5"/>
  <c r="DF12" i="5"/>
  <c r="DG12" i="5"/>
  <c r="DN12" i="5"/>
  <c r="B13" i="5"/>
  <c r="F13" i="5"/>
  <c r="P13" i="5" s="1"/>
  <c r="G13" i="5" s="1"/>
  <c r="I13" i="5" s="1"/>
  <c r="CY13" i="5"/>
  <c r="C13" i="5" s="1"/>
  <c r="DA13" i="5"/>
  <c r="DC13" i="5"/>
  <c r="DF13" i="5"/>
  <c r="DG13" i="5"/>
  <c r="DN13" i="5"/>
  <c r="B14" i="5"/>
  <c r="F14" i="5"/>
  <c r="G14" i="5"/>
  <c r="P14" i="5"/>
  <c r="CY14" i="5"/>
  <c r="C14" i="5" s="1"/>
  <c r="DC14" i="5"/>
  <c r="DA14" i="5" s="1"/>
  <c r="DF14" i="5"/>
  <c r="DG14" i="5"/>
  <c r="DN14" i="5"/>
  <c r="B15" i="5"/>
  <c r="F15" i="5"/>
  <c r="CY15" i="5"/>
  <c r="DA15" i="5"/>
  <c r="DC15" i="5"/>
  <c r="DF15" i="5"/>
  <c r="DG15" i="5"/>
  <c r="DN15" i="5"/>
  <c r="A16" i="5"/>
  <c r="B16" i="5"/>
  <c r="F16" i="5"/>
  <c r="L16" i="5"/>
  <c r="P16" i="5"/>
  <c r="G16" i="5" s="1"/>
  <c r="I16" i="5" s="1"/>
  <c r="CY16" i="5"/>
  <c r="DC16" i="5"/>
  <c r="DA16" i="5" s="1"/>
  <c r="DF16" i="5"/>
  <c r="DG16" i="5"/>
  <c r="DN16" i="5"/>
  <c r="B17" i="5"/>
  <c r="C17" i="5"/>
  <c r="F17" i="5"/>
  <c r="P17" i="5"/>
  <c r="G17" i="5" s="1"/>
  <c r="CY17" i="5"/>
  <c r="CZ17" i="5" s="1"/>
  <c r="DC17" i="5"/>
  <c r="DA17" i="5" s="1"/>
  <c r="DF17" i="5"/>
  <c r="DG17" i="5"/>
  <c r="DN17" i="5"/>
  <c r="B18" i="5"/>
  <c r="C18" i="5"/>
  <c r="J13" i="10" s="1"/>
  <c r="F18" i="5"/>
  <c r="CY18" i="5"/>
  <c r="CZ18" i="5" s="1"/>
  <c r="DA18" i="5"/>
  <c r="DC18" i="5"/>
  <c r="DF18" i="5"/>
  <c r="DG18" i="5"/>
  <c r="DN18" i="5"/>
  <c r="A19" i="5"/>
  <c r="B19" i="5"/>
  <c r="C19" i="5"/>
  <c r="F19" i="5"/>
  <c r="P19" i="5"/>
  <c r="G19" i="5" s="1"/>
  <c r="CY19" i="5"/>
  <c r="CZ19" i="5"/>
  <c r="DA19" i="5"/>
  <c r="DC19" i="5"/>
  <c r="DF19" i="5"/>
  <c r="DG19" i="5"/>
  <c r="DN19" i="5"/>
  <c r="B20" i="5"/>
  <c r="F20" i="5"/>
  <c r="P20" i="5" s="1"/>
  <c r="G20" i="5" s="1"/>
  <c r="H20" i="5" s="1"/>
  <c r="CY20" i="5"/>
  <c r="C20" i="5" s="1"/>
  <c r="J15" i="10" s="1"/>
  <c r="CZ20" i="5"/>
  <c r="DA20" i="5"/>
  <c r="DC20" i="5"/>
  <c r="DF20" i="5"/>
  <c r="DG20" i="5"/>
  <c r="DN20" i="5"/>
  <c r="B21" i="5"/>
  <c r="F21" i="5"/>
  <c r="G21" i="5"/>
  <c r="H21" i="5" s="1"/>
  <c r="R21" i="5" s="1"/>
  <c r="P21" i="5"/>
  <c r="CY21" i="5"/>
  <c r="C21" i="5" s="1"/>
  <c r="DC21" i="5"/>
  <c r="DA21" i="5" s="1"/>
  <c r="DF21" i="5"/>
  <c r="DG21" i="5"/>
  <c r="DH21" i="5"/>
  <c r="DI21" i="5"/>
  <c r="DN21" i="5"/>
  <c r="B22" i="5"/>
  <c r="F22" i="5"/>
  <c r="P22" i="5" s="1"/>
  <c r="G22" i="5" s="1"/>
  <c r="CY22" i="5"/>
  <c r="DA22" i="5"/>
  <c r="DC22" i="5"/>
  <c r="DF22" i="5"/>
  <c r="DG22" i="5"/>
  <c r="DN22" i="5"/>
  <c r="B23" i="5"/>
  <c r="C23" i="5"/>
  <c r="F23" i="5"/>
  <c r="P23" i="5"/>
  <c r="G23" i="5" s="1"/>
  <c r="I23" i="5" s="1"/>
  <c r="CY23" i="5"/>
  <c r="CZ23" i="5"/>
  <c r="DC23" i="5"/>
  <c r="DA23" i="5" s="1"/>
  <c r="DF23" i="5"/>
  <c r="DG23" i="5"/>
  <c r="DM23" i="5"/>
  <c r="DN23" i="5"/>
  <c r="B24" i="5"/>
  <c r="C24" i="5"/>
  <c r="F24" i="5"/>
  <c r="G24" i="5"/>
  <c r="P24" i="5"/>
  <c r="CY24" i="5"/>
  <c r="DC24" i="5"/>
  <c r="DF24" i="5"/>
  <c r="DG24" i="5"/>
  <c r="DM24" i="5"/>
  <c r="DN24" i="5"/>
  <c r="B25" i="5"/>
  <c r="I25" i="5" s="1"/>
  <c r="C25" i="5"/>
  <c r="F25" i="5"/>
  <c r="H25" i="5" s="1"/>
  <c r="P25" i="5"/>
  <c r="G25" i="5" s="1"/>
  <c r="CY25" i="5"/>
  <c r="CZ25" i="5"/>
  <c r="DA25" i="5"/>
  <c r="DC25" i="5"/>
  <c r="DF25" i="5"/>
  <c r="DG25" i="5"/>
  <c r="DM25" i="5"/>
  <c r="DN25" i="5"/>
  <c r="B26" i="5"/>
  <c r="F26" i="5"/>
  <c r="G26" i="5"/>
  <c r="H26" i="5" s="1"/>
  <c r="P26" i="5"/>
  <c r="CY26" i="5"/>
  <c r="CZ26" i="5" s="1"/>
  <c r="DC26" i="5"/>
  <c r="DA26" i="5" s="1"/>
  <c r="DF26" i="5"/>
  <c r="DG26" i="5"/>
  <c r="DI26" i="5"/>
  <c r="DM26" i="5"/>
  <c r="DN26" i="5"/>
  <c r="B27" i="5"/>
  <c r="C27" i="5"/>
  <c r="F27" i="5"/>
  <c r="CY27" i="5"/>
  <c r="CZ27" i="5"/>
  <c r="DC27" i="5"/>
  <c r="DA27" i="5" s="1"/>
  <c r="DF27" i="5"/>
  <c r="DG27" i="5"/>
  <c r="DM27" i="5"/>
  <c r="DN27" i="5"/>
  <c r="B28" i="5"/>
  <c r="C28" i="5"/>
  <c r="F28" i="5"/>
  <c r="G28" i="5"/>
  <c r="H28" i="5" s="1"/>
  <c r="P28" i="5"/>
  <c r="CY28" i="5"/>
  <c r="CZ28" i="5" s="1"/>
  <c r="DC28" i="5"/>
  <c r="DA28" i="5" s="1"/>
  <c r="DF28" i="5"/>
  <c r="DG28" i="5"/>
  <c r="DM28" i="5"/>
  <c r="DN28" i="5"/>
  <c r="B29" i="5"/>
  <c r="C29" i="5"/>
  <c r="J24" i="10" s="1"/>
  <c r="F29" i="5"/>
  <c r="P29" i="5"/>
  <c r="G29" i="5" s="1"/>
  <c r="CY29" i="5"/>
  <c r="CZ29" i="5"/>
  <c r="DA29" i="5"/>
  <c r="DC29" i="5"/>
  <c r="DF29" i="5"/>
  <c r="DG29" i="5"/>
  <c r="DM29" i="5"/>
  <c r="DN29" i="5"/>
  <c r="B30" i="5"/>
  <c r="F30" i="5"/>
  <c r="P30" i="5" s="1"/>
  <c r="G30" i="5" s="1"/>
  <c r="I30" i="5" s="1"/>
  <c r="O25" i="10" s="1"/>
  <c r="H30" i="5"/>
  <c r="R30" i="5" s="1"/>
  <c r="CY30" i="5"/>
  <c r="C30" i="5" s="1"/>
  <c r="DC30" i="5"/>
  <c r="DA30" i="5" s="1"/>
  <c r="DF30" i="5"/>
  <c r="DG30" i="5"/>
  <c r="DH30" i="5"/>
  <c r="J30" i="5" s="1"/>
  <c r="K30" i="5" s="1"/>
  <c r="DI30" i="5"/>
  <c r="DM30" i="5"/>
  <c r="DN30" i="5"/>
  <c r="B31" i="5"/>
  <c r="F31" i="5"/>
  <c r="CY31" i="5"/>
  <c r="C31" i="5" s="1"/>
  <c r="CZ31" i="5"/>
  <c r="DC31" i="5"/>
  <c r="DA31" i="5" s="1"/>
  <c r="DF31" i="5"/>
  <c r="DG31" i="5"/>
  <c r="DM31" i="5"/>
  <c r="DN31" i="5"/>
  <c r="B32" i="5"/>
  <c r="C32" i="5"/>
  <c r="F32" i="5"/>
  <c r="G32" i="5"/>
  <c r="H32" i="5" s="1"/>
  <c r="P32" i="5"/>
  <c r="CY32" i="5"/>
  <c r="CZ32" i="5" s="1"/>
  <c r="DC32" i="5"/>
  <c r="DA32" i="5" s="1"/>
  <c r="DF32" i="5"/>
  <c r="DG32" i="5"/>
  <c r="DM32" i="5"/>
  <c r="DN32" i="5"/>
  <c r="B33" i="5"/>
  <c r="C33" i="5"/>
  <c r="F33" i="5"/>
  <c r="P33" i="5"/>
  <c r="G33" i="5" s="1"/>
  <c r="CY33" i="5"/>
  <c r="CZ33" i="5"/>
  <c r="DA33" i="5"/>
  <c r="DC33" i="5"/>
  <c r="DF33" i="5"/>
  <c r="DG33" i="5"/>
  <c r="DM33" i="5"/>
  <c r="DN33" i="5"/>
  <c r="B34" i="5"/>
  <c r="F34" i="5"/>
  <c r="P34" i="5" s="1"/>
  <c r="G34" i="5"/>
  <c r="H34" i="5"/>
  <c r="I34" i="5"/>
  <c r="CY34" i="5"/>
  <c r="C34" i="5" s="1"/>
  <c r="DC34" i="5"/>
  <c r="DA34" i="5" s="1"/>
  <c r="DF34" i="5"/>
  <c r="DG34" i="5"/>
  <c r="DH34" i="5"/>
  <c r="DM34" i="5"/>
  <c r="DN34" i="5"/>
  <c r="B35" i="5"/>
  <c r="F35" i="5"/>
  <c r="CY35" i="5"/>
  <c r="C35" i="5" s="1"/>
  <c r="CZ35" i="5"/>
  <c r="DA35" i="5"/>
  <c r="DC35" i="5"/>
  <c r="DF35" i="5"/>
  <c r="DG35" i="5"/>
  <c r="DM35" i="5"/>
  <c r="DN35" i="5"/>
  <c r="B36" i="5"/>
  <c r="C36" i="5"/>
  <c r="F36" i="5"/>
  <c r="P36" i="5"/>
  <c r="G36" i="5" s="1"/>
  <c r="H36" i="5" s="1"/>
  <c r="CY36" i="5"/>
  <c r="DC36" i="5"/>
  <c r="DA36" i="5" s="1"/>
  <c r="DF36" i="5"/>
  <c r="DG36" i="5"/>
  <c r="DM36" i="5"/>
  <c r="DN36" i="5"/>
  <c r="B37" i="5"/>
  <c r="C37" i="5"/>
  <c r="F37" i="5"/>
  <c r="P37" i="5"/>
  <c r="G37" i="5" s="1"/>
  <c r="CY37" i="5"/>
  <c r="DC37" i="5"/>
  <c r="DA37" i="5" s="1"/>
  <c r="DF37" i="5"/>
  <c r="DG37" i="5"/>
  <c r="DM37" i="5"/>
  <c r="DN37" i="5"/>
  <c r="B38" i="5"/>
  <c r="F38" i="5"/>
  <c r="CY38" i="5"/>
  <c r="DA38" i="5"/>
  <c r="DC38" i="5"/>
  <c r="DF38" i="5"/>
  <c r="DG38" i="5"/>
  <c r="DM38" i="5"/>
  <c r="DN38" i="5"/>
  <c r="B39" i="5"/>
  <c r="F39" i="5"/>
  <c r="P39" i="5"/>
  <c r="G39" i="5" s="1"/>
  <c r="I39" i="5" s="1"/>
  <c r="O34" i="10" s="1"/>
  <c r="V39" i="5"/>
  <c r="DB39" i="5" s="1"/>
  <c r="CY39" i="5"/>
  <c r="DA39" i="5"/>
  <c r="DC39" i="5"/>
  <c r="DF39" i="5"/>
  <c r="DG39" i="5"/>
  <c r="DM39" i="5"/>
  <c r="DN39" i="5"/>
  <c r="B40" i="5"/>
  <c r="F40" i="5"/>
  <c r="P40" i="5" s="1"/>
  <c r="G40" i="5"/>
  <c r="H40" i="5"/>
  <c r="R40" i="5"/>
  <c r="CY40" i="5"/>
  <c r="DA40" i="5"/>
  <c r="DC40" i="5"/>
  <c r="DF40" i="5"/>
  <c r="DG40" i="5"/>
  <c r="DH40" i="5"/>
  <c r="DI40" i="5"/>
  <c r="DM40" i="5"/>
  <c r="DN40" i="5"/>
  <c r="B41" i="5"/>
  <c r="F41" i="5"/>
  <c r="P41" i="5" s="1"/>
  <c r="G41" i="5" s="1"/>
  <c r="H41" i="5"/>
  <c r="DH41" i="5" s="1"/>
  <c r="I41" i="5"/>
  <c r="CY41" i="5"/>
  <c r="DA41" i="5"/>
  <c r="DC41" i="5"/>
  <c r="DF41" i="5"/>
  <c r="DG41" i="5"/>
  <c r="DI41" i="5"/>
  <c r="DM41" i="5"/>
  <c r="DN41" i="5"/>
  <c r="B42" i="5"/>
  <c r="F42" i="5"/>
  <c r="P42" i="5" s="1"/>
  <c r="G42" i="5"/>
  <c r="H42" i="5"/>
  <c r="I42" i="5"/>
  <c r="CY42" i="5"/>
  <c r="DA42" i="5"/>
  <c r="DC42" i="5"/>
  <c r="DF42" i="5"/>
  <c r="DG42" i="5"/>
  <c r="DM42" i="5"/>
  <c r="DN42" i="5"/>
  <c r="B43" i="5"/>
  <c r="F43" i="5"/>
  <c r="G43" i="5"/>
  <c r="P43" i="5"/>
  <c r="CY43" i="5"/>
  <c r="C43" i="5" s="1"/>
  <c r="DC43" i="5"/>
  <c r="DA43" i="5" s="1"/>
  <c r="DD43" i="5"/>
  <c r="DF43" i="5"/>
  <c r="DG43" i="5"/>
  <c r="DM43" i="5"/>
  <c r="C44" i="5"/>
  <c r="F44" i="5"/>
  <c r="H44" i="5" s="1"/>
  <c r="P44" i="5"/>
  <c r="G44" i="5" s="1"/>
  <c r="CY44" i="5"/>
  <c r="CZ44" i="5" s="1"/>
  <c r="DC44" i="5"/>
  <c r="DD44" i="5"/>
  <c r="DF44" i="5"/>
  <c r="DG44" i="5"/>
  <c r="C45" i="5"/>
  <c r="F45" i="5"/>
  <c r="P45" i="5"/>
  <c r="G45" i="5" s="1"/>
  <c r="CY45" i="5"/>
  <c r="DC45" i="5"/>
  <c r="CZ45" i="5" s="1"/>
  <c r="DD45" i="5"/>
  <c r="F46" i="5"/>
  <c r="G46" i="5"/>
  <c r="H46" i="5"/>
  <c r="P46" i="5"/>
  <c r="CY46" i="5"/>
  <c r="C46" i="5" s="1"/>
  <c r="DC46" i="5"/>
  <c r="CZ46" i="5" s="1"/>
  <c r="DD46" i="5"/>
  <c r="C47" i="5"/>
  <c r="F47" i="5"/>
  <c r="P47" i="5"/>
  <c r="G47" i="5" s="1"/>
  <c r="CY47" i="5"/>
  <c r="DC47" i="5"/>
  <c r="DD47" i="5"/>
  <c r="F48" i="5"/>
  <c r="P48" i="5" s="1"/>
  <c r="G48" i="5"/>
  <c r="CY48" i="5"/>
  <c r="C48" i="5" s="1"/>
  <c r="CZ48" i="5"/>
  <c r="DC48" i="5"/>
  <c r="DD48" i="5"/>
  <c r="C49" i="5"/>
  <c r="F49" i="5"/>
  <c r="CY49" i="5"/>
  <c r="CZ49" i="5"/>
  <c r="DC49" i="5"/>
  <c r="DD49" i="5"/>
  <c r="F50" i="5"/>
  <c r="CY50" i="5"/>
  <c r="CZ50" i="5" s="1"/>
  <c r="DC50" i="5"/>
  <c r="DD50" i="5"/>
  <c r="F51" i="5"/>
  <c r="G51" i="5"/>
  <c r="H51" i="5" s="1"/>
  <c r="P51" i="5"/>
  <c r="CY51" i="5"/>
  <c r="C51" i="5" s="1"/>
  <c r="CZ51" i="5"/>
  <c r="DC51" i="5"/>
  <c r="DD51" i="5"/>
  <c r="C52" i="5"/>
  <c r="F52" i="5"/>
  <c r="P52" i="5"/>
  <c r="G52" i="5" s="1"/>
  <c r="CY52" i="5"/>
  <c r="DC52" i="5"/>
  <c r="DD52" i="5"/>
  <c r="F53" i="5"/>
  <c r="CY53" i="5"/>
  <c r="DC53" i="5"/>
  <c r="DD53" i="5"/>
  <c r="F54" i="5"/>
  <c r="H54" i="5"/>
  <c r="P54" i="5"/>
  <c r="G54" i="5" s="1"/>
  <c r="CY54" i="5"/>
  <c r="C54" i="5" s="1"/>
  <c r="DC54" i="5"/>
  <c r="DD54" i="5"/>
  <c r="C55" i="5"/>
  <c r="F55" i="5"/>
  <c r="P55" i="5"/>
  <c r="G55" i="5" s="1"/>
  <c r="CY55" i="5"/>
  <c r="DC55" i="5"/>
  <c r="DD55" i="5"/>
  <c r="F56" i="5"/>
  <c r="P56" i="5" s="1"/>
  <c r="G56" i="5"/>
  <c r="H56" i="5"/>
  <c r="R56" i="5" s="1"/>
  <c r="CY56" i="5"/>
  <c r="C56" i="5" s="1"/>
  <c r="DC56" i="5"/>
  <c r="DD56" i="5"/>
  <c r="C57" i="5"/>
  <c r="F57" i="5"/>
  <c r="P57" i="5"/>
  <c r="G57" i="5" s="1"/>
  <c r="CY57" i="5"/>
  <c r="CZ57" i="5" s="1"/>
  <c r="C58" i="5"/>
  <c r="F58" i="5"/>
  <c r="CY58" i="5"/>
  <c r="CZ58" i="5"/>
  <c r="F59" i="5"/>
  <c r="G59" i="5"/>
  <c r="H59" i="5" s="1"/>
  <c r="P59" i="5"/>
  <c r="CY59" i="5"/>
  <c r="C59" i="5" s="1"/>
  <c r="CZ59" i="5"/>
  <c r="F60" i="5"/>
  <c r="G60" i="5"/>
  <c r="H60" i="5" s="1"/>
  <c r="R60" i="5" s="1"/>
  <c r="P60" i="5"/>
  <c r="V60" i="5"/>
  <c r="CY60" i="5"/>
  <c r="DR61" i="5"/>
  <c r="DR62" i="5"/>
  <c r="B68" i="5"/>
  <c r="C68" i="5"/>
  <c r="D68" i="5"/>
  <c r="E68" i="5"/>
  <c r="F68" i="5"/>
  <c r="G68" i="5"/>
  <c r="H68" i="5"/>
  <c r="I68" i="5"/>
  <c r="J68" i="5"/>
  <c r="K68" i="5"/>
  <c r="V68" i="5"/>
  <c r="W68" i="5"/>
  <c r="X68" i="5"/>
  <c r="Y68" i="5"/>
  <c r="Z68" i="5"/>
  <c r="Z70" i="5" s="1"/>
  <c r="AA68" i="5"/>
  <c r="AB68" i="5"/>
  <c r="AB70" i="5" s="1"/>
  <c r="AC68" i="5"/>
  <c r="AC70" i="5" s="1"/>
  <c r="AD68" i="5"/>
  <c r="AE68" i="5"/>
  <c r="L69" i="5"/>
  <c r="M69" i="5"/>
  <c r="N69" i="5"/>
  <c r="O69" i="5"/>
  <c r="P69" i="5"/>
  <c r="Q69" i="5"/>
  <c r="R69" i="5"/>
  <c r="S69" i="5"/>
  <c r="T69" i="5"/>
  <c r="U69" i="5"/>
  <c r="AF69" i="5"/>
  <c r="AG69" i="5"/>
  <c r="AH69" i="5"/>
  <c r="AK69" i="5"/>
  <c r="AL69" i="5"/>
  <c r="AM69" i="5"/>
  <c r="AN69" i="5"/>
  <c r="AO69" i="5"/>
  <c r="I70" i="5"/>
  <c r="J70" i="5"/>
  <c r="K70" i="5"/>
  <c r="V70" i="5"/>
  <c r="AD70" i="5"/>
  <c r="E7" i="10"/>
  <c r="J7" i="10"/>
  <c r="E8" i="10"/>
  <c r="J8" i="10"/>
  <c r="O8" i="10"/>
  <c r="E9" i="10"/>
  <c r="J9" i="10"/>
  <c r="B10" i="10"/>
  <c r="B11" i="10"/>
  <c r="E11" i="10"/>
  <c r="O11" i="10"/>
  <c r="B12" i="10"/>
  <c r="E12" i="10"/>
  <c r="J12" i="10"/>
  <c r="B13" i="10"/>
  <c r="A14" i="10"/>
  <c r="B14" i="10"/>
  <c r="J14" i="10"/>
  <c r="E15" i="10"/>
  <c r="E16" i="10"/>
  <c r="G16" i="10"/>
  <c r="H16" i="10"/>
  <c r="E17" i="10"/>
  <c r="E18" i="10"/>
  <c r="J18" i="10"/>
  <c r="O18" i="10"/>
  <c r="D19" i="10"/>
  <c r="E19" i="10"/>
  <c r="G19" i="10"/>
  <c r="J19" i="10"/>
  <c r="E20" i="10"/>
  <c r="J20" i="10"/>
  <c r="O20" i="10"/>
  <c r="B21" i="10"/>
  <c r="E21" i="10"/>
  <c r="C22" i="10"/>
  <c r="E22" i="10"/>
  <c r="J22" i="10"/>
  <c r="E23" i="10"/>
  <c r="A24" i="10"/>
  <c r="C24" i="10"/>
  <c r="D25" i="10"/>
  <c r="E25" i="10"/>
  <c r="J25" i="10"/>
  <c r="T25" i="10"/>
  <c r="E26" i="10"/>
  <c r="J26" i="10"/>
  <c r="B27" i="10"/>
  <c r="E27" i="10"/>
  <c r="B28" i="10"/>
  <c r="E28" i="10"/>
  <c r="J28" i="10"/>
  <c r="E29" i="10"/>
  <c r="J29" i="10"/>
  <c r="O29" i="10"/>
  <c r="E30" i="10"/>
  <c r="J30" i="10"/>
  <c r="B31" i="10"/>
  <c r="E31" i="10"/>
  <c r="J31" i="10"/>
  <c r="J32" i="10"/>
  <c r="P32" i="10"/>
  <c r="W30" i="8" s="1"/>
  <c r="E33" i="10"/>
  <c r="E34" i="10"/>
  <c r="E35" i="10"/>
  <c r="E36" i="10"/>
  <c r="O36" i="10"/>
  <c r="E37" i="10"/>
  <c r="O37" i="10"/>
  <c r="E38" i="10"/>
  <c r="J38" i="10"/>
  <c r="L38" i="10"/>
  <c r="B43" i="10"/>
  <c r="B44" i="10"/>
  <c r="D52" i="10"/>
  <c r="I52" i="10"/>
  <c r="N52" i="10"/>
  <c r="P52" i="10"/>
  <c r="S52" i="10"/>
  <c r="U52" i="10"/>
  <c r="D53" i="10"/>
  <c r="E53" i="10"/>
  <c r="G53" i="10"/>
  <c r="I53" i="10"/>
  <c r="N53" i="10"/>
  <c r="O53" i="10"/>
  <c r="P53" i="10"/>
  <c r="S53" i="10"/>
  <c r="T53" i="10"/>
  <c r="U53" i="10"/>
  <c r="P4" i="2"/>
  <c r="P5" i="2" s="1"/>
  <c r="B5" i="2"/>
  <c r="AZ5" i="2"/>
  <c r="B6" i="2"/>
  <c r="AZ6" i="2"/>
  <c r="N7" i="2"/>
  <c r="O7" i="2"/>
  <c r="A12" i="2"/>
  <c r="B12" i="2"/>
  <c r="B7" i="10" s="1"/>
  <c r="C12" i="2"/>
  <c r="G7" i="10" s="1"/>
  <c r="F12" i="2"/>
  <c r="M12" i="2"/>
  <c r="V12" i="2"/>
  <c r="CY12" i="2"/>
  <c r="DB12" i="2"/>
  <c r="DC12" i="2"/>
  <c r="DA12" i="2" s="1"/>
  <c r="DF12" i="2"/>
  <c r="DG12" i="2"/>
  <c r="DM12" i="2"/>
  <c r="DN12" i="2"/>
  <c r="A13" i="2"/>
  <c r="B13" i="2"/>
  <c r="C13" i="2"/>
  <c r="G8" i="10" s="1"/>
  <c r="F13" i="2"/>
  <c r="M13" i="2"/>
  <c r="P13" i="2"/>
  <c r="G13" i="2" s="1"/>
  <c r="CY13" i="2"/>
  <c r="DC13" i="2"/>
  <c r="DF13" i="2"/>
  <c r="DG13" i="2"/>
  <c r="DM13" i="2"/>
  <c r="DN13" i="2"/>
  <c r="A14" i="2"/>
  <c r="B14" i="2"/>
  <c r="F14" i="2"/>
  <c r="P14" i="2" s="1"/>
  <c r="G14" i="2" s="1"/>
  <c r="I14" i="2" s="1"/>
  <c r="H14" i="2"/>
  <c r="V14" i="2"/>
  <c r="CY14" i="2"/>
  <c r="C14" i="2" s="1"/>
  <c r="G9" i="10" s="1"/>
  <c r="CZ14" i="2"/>
  <c r="DA14" i="2"/>
  <c r="DB14" i="2"/>
  <c r="DC14" i="2"/>
  <c r="DF14" i="2"/>
  <c r="DG14" i="2"/>
  <c r="DM14" i="2"/>
  <c r="DN14" i="2"/>
  <c r="A15" i="2"/>
  <c r="F15" i="2"/>
  <c r="L15" i="2"/>
  <c r="P15" i="2"/>
  <c r="G15" i="2" s="1"/>
  <c r="I15" i="2" s="1"/>
  <c r="CY15" i="2"/>
  <c r="C15" i="2" s="1"/>
  <c r="DC15" i="2"/>
  <c r="DA15" i="2" s="1"/>
  <c r="DF15" i="2"/>
  <c r="DG15" i="2"/>
  <c r="DM15" i="2"/>
  <c r="DN15" i="2"/>
  <c r="A16" i="2"/>
  <c r="A11" i="10" s="1"/>
  <c r="F16" i="2"/>
  <c r="L16" i="2"/>
  <c r="M16" i="2"/>
  <c r="V16" i="2"/>
  <c r="CY16" i="2"/>
  <c r="DB16" i="2"/>
  <c r="DC16" i="2"/>
  <c r="DA16" i="2" s="1"/>
  <c r="DF16" i="2"/>
  <c r="DG16" i="2"/>
  <c r="DM16" i="2"/>
  <c r="DN16" i="2"/>
  <c r="A17" i="2"/>
  <c r="C17" i="2"/>
  <c r="G12" i="10" s="1"/>
  <c r="F17" i="2"/>
  <c r="P17" i="2"/>
  <c r="G17" i="2" s="1"/>
  <c r="I17" i="2" s="1"/>
  <c r="CY17" i="2"/>
  <c r="DA17" i="2"/>
  <c r="DC17" i="2"/>
  <c r="CZ17" i="2" s="1"/>
  <c r="DF17" i="2"/>
  <c r="DG17" i="2"/>
  <c r="DM17" i="2"/>
  <c r="DN17" i="2"/>
  <c r="A18" i="2"/>
  <c r="C18" i="2"/>
  <c r="F18" i="2"/>
  <c r="M18" i="2"/>
  <c r="P18" i="2"/>
  <c r="G18" i="2" s="1"/>
  <c r="CY18" i="2"/>
  <c r="DC18" i="2"/>
  <c r="DF18" i="2"/>
  <c r="DG18" i="2"/>
  <c r="DM18" i="2"/>
  <c r="DN18" i="2"/>
  <c r="A19" i="2"/>
  <c r="B19" i="2"/>
  <c r="F19" i="2"/>
  <c r="P19" i="2" s="1"/>
  <c r="G19" i="2"/>
  <c r="H19" i="2" s="1"/>
  <c r="I19" i="2"/>
  <c r="V19" i="2"/>
  <c r="CY19" i="2"/>
  <c r="C19" i="2" s="1"/>
  <c r="G14" i="10" s="1"/>
  <c r="B12" i="8" s="1"/>
  <c r="B11" i="7" s="1"/>
  <c r="CZ19" i="2"/>
  <c r="DA19" i="2"/>
  <c r="DB19" i="2"/>
  <c r="DC19" i="2"/>
  <c r="DF19" i="2"/>
  <c r="DG19" i="2"/>
  <c r="DM19" i="2"/>
  <c r="DN19" i="2"/>
  <c r="A20" i="2"/>
  <c r="B20" i="2"/>
  <c r="B15" i="10" s="1"/>
  <c r="F20" i="2"/>
  <c r="I20" i="2"/>
  <c r="P20" i="2"/>
  <c r="G20" i="2" s="1"/>
  <c r="H20" i="2" s="1"/>
  <c r="R20" i="2"/>
  <c r="CY20" i="2"/>
  <c r="C20" i="2" s="1"/>
  <c r="G15" i="10" s="1"/>
  <c r="DC20" i="2"/>
  <c r="DA20" i="2" s="1"/>
  <c r="DF20" i="2"/>
  <c r="DG20" i="2"/>
  <c r="DH20" i="2"/>
  <c r="J20" i="2" s="1"/>
  <c r="Q15" i="10" s="1"/>
  <c r="DI20" i="2"/>
  <c r="DM20" i="2"/>
  <c r="DN20" i="2"/>
  <c r="A21" i="2"/>
  <c r="A16" i="10" s="1"/>
  <c r="B21" i="2"/>
  <c r="B16" i="10" s="1"/>
  <c r="C21" i="2"/>
  <c r="F21" i="2"/>
  <c r="M21" i="2"/>
  <c r="V21" i="2"/>
  <c r="CY21" i="2"/>
  <c r="CZ21" i="2" s="1"/>
  <c r="DB21" i="2"/>
  <c r="DC21" i="2"/>
  <c r="DA21" i="2" s="1"/>
  <c r="DF21" i="2"/>
  <c r="DG21" i="2"/>
  <c r="DM21" i="2"/>
  <c r="DN21" i="2"/>
  <c r="A22" i="2"/>
  <c r="B22" i="2"/>
  <c r="C22" i="2"/>
  <c r="G17" i="10" s="1"/>
  <c r="F22" i="2"/>
  <c r="M22" i="2"/>
  <c r="P22" i="2"/>
  <c r="G22" i="2" s="1"/>
  <c r="H22" i="2" s="1"/>
  <c r="CY22" i="2"/>
  <c r="DC22" i="2"/>
  <c r="DF22" i="2"/>
  <c r="DG22" i="2"/>
  <c r="DM22" i="2"/>
  <c r="DN22" i="2"/>
  <c r="A23" i="2"/>
  <c r="B23" i="2"/>
  <c r="F23" i="2"/>
  <c r="P23" i="2" s="1"/>
  <c r="G23" i="2"/>
  <c r="I23" i="2" s="1"/>
  <c r="V23" i="2"/>
  <c r="CY23" i="2"/>
  <c r="C23" i="2" s="1"/>
  <c r="G18" i="10" s="1"/>
  <c r="CZ23" i="2"/>
  <c r="DA23" i="2"/>
  <c r="DB23" i="2"/>
  <c r="DC23" i="2"/>
  <c r="DF23" i="2"/>
  <c r="DG23" i="2"/>
  <c r="DM23" i="2"/>
  <c r="DN23" i="2"/>
  <c r="A24" i="2"/>
  <c r="B24" i="2"/>
  <c r="B19" i="10" s="1"/>
  <c r="F24" i="2"/>
  <c r="P24" i="2"/>
  <c r="G24" i="2" s="1"/>
  <c r="H24" i="2" s="1"/>
  <c r="R24" i="2" s="1"/>
  <c r="CY24" i="2"/>
  <c r="C24" i="2" s="1"/>
  <c r="DC24" i="2"/>
  <c r="DA24" i="2" s="1"/>
  <c r="DF24" i="2"/>
  <c r="DG24" i="2"/>
  <c r="DH24" i="2"/>
  <c r="DM24" i="2"/>
  <c r="DN24" i="2"/>
  <c r="A25" i="2"/>
  <c r="B25" i="2"/>
  <c r="B20" i="10" s="1"/>
  <c r="C25" i="2"/>
  <c r="G20" i="10" s="1"/>
  <c r="F25" i="2"/>
  <c r="M25" i="2"/>
  <c r="V25" i="2"/>
  <c r="DB25" i="2" s="1"/>
  <c r="CY25" i="2"/>
  <c r="DC25" i="2"/>
  <c r="DA25" i="2" s="1"/>
  <c r="DF25" i="2"/>
  <c r="DG25" i="2"/>
  <c r="DM25" i="2"/>
  <c r="DN25" i="2"/>
  <c r="A26" i="2"/>
  <c r="B26" i="2"/>
  <c r="C26" i="2"/>
  <c r="G21" i="10" s="1"/>
  <c r="F26" i="2"/>
  <c r="M26" i="2"/>
  <c r="P26" i="2"/>
  <c r="G26" i="2" s="1"/>
  <c r="H26" i="2" s="1"/>
  <c r="CY26" i="2"/>
  <c r="DC26" i="2"/>
  <c r="DF26" i="2"/>
  <c r="DG26" i="2"/>
  <c r="DM26" i="2"/>
  <c r="DN26" i="2"/>
  <c r="A27" i="2"/>
  <c r="B27" i="2"/>
  <c r="B22" i="10" s="1"/>
  <c r="F27" i="2"/>
  <c r="P27" i="2" s="1"/>
  <c r="G27" i="2"/>
  <c r="H27" i="2" s="1"/>
  <c r="V27" i="2"/>
  <c r="CY27" i="2"/>
  <c r="C27" i="2" s="1"/>
  <c r="G22" i="10" s="1"/>
  <c r="CZ27" i="2"/>
  <c r="DA27" i="2"/>
  <c r="DB27" i="2"/>
  <c r="DC27" i="2"/>
  <c r="DF27" i="2"/>
  <c r="DG27" i="2"/>
  <c r="DM27" i="2"/>
  <c r="DN27" i="2"/>
  <c r="A28" i="2"/>
  <c r="B28" i="2"/>
  <c r="B23" i="10" s="1"/>
  <c r="F28" i="2"/>
  <c r="I28" i="2"/>
  <c r="P28" i="2"/>
  <c r="G28" i="2" s="1"/>
  <c r="H28" i="2" s="1"/>
  <c r="R28" i="2"/>
  <c r="V28" i="2"/>
  <c r="DB28" i="2" s="1"/>
  <c r="CY28" i="2"/>
  <c r="C28" i="2" s="1"/>
  <c r="G23" i="10" s="1"/>
  <c r="DC28" i="2"/>
  <c r="DA28" i="2" s="1"/>
  <c r="DF28" i="2"/>
  <c r="DG28" i="2"/>
  <c r="DH28" i="2"/>
  <c r="J28" i="2" s="1"/>
  <c r="Q23" i="10" s="1"/>
  <c r="DI28" i="2"/>
  <c r="DM28" i="2"/>
  <c r="DN28" i="2"/>
  <c r="A29" i="2"/>
  <c r="A29" i="5" s="1"/>
  <c r="B29" i="2"/>
  <c r="B24" i="10" s="1"/>
  <c r="C29" i="2"/>
  <c r="G24" i="10" s="1"/>
  <c r="F29" i="2"/>
  <c r="M29" i="2"/>
  <c r="V29" i="2"/>
  <c r="DB29" i="2" s="1"/>
  <c r="CY29" i="2"/>
  <c r="DC29" i="2"/>
  <c r="DA29" i="2" s="1"/>
  <c r="DF29" i="2"/>
  <c r="DG29" i="2"/>
  <c r="DM29" i="2"/>
  <c r="DN29" i="2"/>
  <c r="A30" i="2"/>
  <c r="B30" i="2"/>
  <c r="C30" i="2"/>
  <c r="G25" i="10" s="1"/>
  <c r="F30" i="2"/>
  <c r="P30" i="2"/>
  <c r="G30" i="2" s="1"/>
  <c r="H30" i="2" s="1"/>
  <c r="CY30" i="2"/>
  <c r="DC30" i="2"/>
  <c r="DF30" i="2"/>
  <c r="DG30" i="2"/>
  <c r="DM30" i="2"/>
  <c r="DN30" i="2"/>
  <c r="A31" i="2"/>
  <c r="A26" i="10" s="1"/>
  <c r="B31" i="2"/>
  <c r="B26" i="10" s="1"/>
  <c r="F31" i="2"/>
  <c r="P31" i="2" s="1"/>
  <c r="G31" i="2" s="1"/>
  <c r="V31" i="2"/>
  <c r="CY31" i="2"/>
  <c r="C31" i="2" s="1"/>
  <c r="G26" i="10" s="1"/>
  <c r="CZ31" i="2"/>
  <c r="DA31" i="2"/>
  <c r="DB31" i="2"/>
  <c r="DC31" i="2"/>
  <c r="DF31" i="2"/>
  <c r="DG31" i="2"/>
  <c r="DM31" i="2"/>
  <c r="DN31" i="2"/>
  <c r="A32" i="2"/>
  <c r="B32" i="2"/>
  <c r="F32" i="2"/>
  <c r="P32" i="2"/>
  <c r="G32" i="2" s="1"/>
  <c r="H32" i="2" s="1"/>
  <c r="DH32" i="2" s="1"/>
  <c r="J32" i="2" s="1"/>
  <c r="Q27" i="10" s="1"/>
  <c r="R32" i="2"/>
  <c r="CY32" i="2"/>
  <c r="C32" i="2" s="1"/>
  <c r="G27" i="10" s="1"/>
  <c r="DC32" i="2"/>
  <c r="DA32" i="2" s="1"/>
  <c r="DF32" i="2"/>
  <c r="DG32" i="2"/>
  <c r="DI32" i="2"/>
  <c r="DM32" i="2"/>
  <c r="DN32" i="2"/>
  <c r="A33" i="2"/>
  <c r="B33" i="2"/>
  <c r="C33" i="2"/>
  <c r="G28" i="10" s="1"/>
  <c r="F33" i="2"/>
  <c r="M33" i="2"/>
  <c r="V33" i="2"/>
  <c r="CY33" i="2"/>
  <c r="DB33" i="2"/>
  <c r="DC33" i="2"/>
  <c r="DA33" i="2" s="1"/>
  <c r="DF33" i="2"/>
  <c r="DG33" i="2"/>
  <c r="DM33" i="2"/>
  <c r="DN33" i="2"/>
  <c r="A34" i="2"/>
  <c r="B34" i="2"/>
  <c r="C34" i="2"/>
  <c r="G29" i="10" s="1"/>
  <c r="F34" i="2"/>
  <c r="M34" i="2"/>
  <c r="P34" i="2"/>
  <c r="G34" i="2" s="1"/>
  <c r="H34" i="2" s="1"/>
  <c r="CY34" i="2"/>
  <c r="DC34" i="2"/>
  <c r="DF34" i="2"/>
  <c r="DG34" i="2"/>
  <c r="DM34" i="2"/>
  <c r="DN34" i="2"/>
  <c r="A35" i="2"/>
  <c r="B35" i="2"/>
  <c r="F35" i="2"/>
  <c r="P35" i="2" s="1"/>
  <c r="G35" i="2"/>
  <c r="V35" i="2"/>
  <c r="CY35" i="2"/>
  <c r="C35" i="2" s="1"/>
  <c r="G30" i="10" s="1"/>
  <c r="CZ35" i="2"/>
  <c r="DA35" i="2"/>
  <c r="DB35" i="2"/>
  <c r="DC35" i="2"/>
  <c r="DF35" i="2"/>
  <c r="DG35" i="2"/>
  <c r="DM35" i="2"/>
  <c r="DN35" i="2"/>
  <c r="A36" i="2"/>
  <c r="V36" i="2" s="1"/>
  <c r="DB36" i="2" s="1"/>
  <c r="B36" i="2"/>
  <c r="F36" i="2"/>
  <c r="I36" i="2"/>
  <c r="P36" i="2"/>
  <c r="G36" i="2" s="1"/>
  <c r="H36" i="2" s="1"/>
  <c r="R36" i="2" s="1"/>
  <c r="CY36" i="2"/>
  <c r="C36" i="2" s="1"/>
  <c r="G31" i="10" s="1"/>
  <c r="DC36" i="2"/>
  <c r="DA36" i="2" s="1"/>
  <c r="DF36" i="2"/>
  <c r="DG36" i="2"/>
  <c r="DH36" i="2"/>
  <c r="DI36" i="2"/>
  <c r="DM36" i="2"/>
  <c r="DN36" i="2"/>
  <c r="A37" i="2"/>
  <c r="A37" i="5" s="1"/>
  <c r="B37" i="2"/>
  <c r="F37" i="2"/>
  <c r="M37" i="2"/>
  <c r="V37" i="2"/>
  <c r="DB37" i="2" s="1"/>
  <c r="CY37" i="2"/>
  <c r="DA37" i="2"/>
  <c r="DC37" i="2"/>
  <c r="DF37" i="2"/>
  <c r="DG37" i="2"/>
  <c r="DM37" i="2"/>
  <c r="DN37" i="2"/>
  <c r="A38" i="2"/>
  <c r="B38" i="2"/>
  <c r="B33" i="10" s="1"/>
  <c r="F38" i="2"/>
  <c r="M38" i="2"/>
  <c r="P38" i="2"/>
  <c r="G38" i="2" s="1"/>
  <c r="CY38" i="2"/>
  <c r="DA38" i="2"/>
  <c r="DC38" i="2"/>
  <c r="DF38" i="2"/>
  <c r="DG38" i="2"/>
  <c r="DM38" i="2"/>
  <c r="DN38" i="2"/>
  <c r="A39" i="2"/>
  <c r="A39" i="5" s="1"/>
  <c r="B39" i="2"/>
  <c r="B34" i="10" s="1"/>
  <c r="F39" i="2"/>
  <c r="P39" i="2" s="1"/>
  <c r="G39" i="2"/>
  <c r="H39" i="2"/>
  <c r="R39" i="2" s="1"/>
  <c r="I39" i="2"/>
  <c r="V39" i="2"/>
  <c r="DB39" i="2" s="1"/>
  <c r="CY39" i="2"/>
  <c r="DA39" i="2"/>
  <c r="DC39" i="2"/>
  <c r="DF39" i="2"/>
  <c r="DG39" i="2"/>
  <c r="DH39" i="2"/>
  <c r="DM39" i="2"/>
  <c r="DN39" i="2"/>
  <c r="A40" i="2"/>
  <c r="A40" i="5" s="1"/>
  <c r="B40" i="2"/>
  <c r="B35" i="10" s="1"/>
  <c r="F40" i="2"/>
  <c r="P40" i="2" s="1"/>
  <c r="G40" i="2"/>
  <c r="I40" i="2" s="1"/>
  <c r="H40" i="2"/>
  <c r="V40" i="2"/>
  <c r="DB40" i="2" s="1"/>
  <c r="CY40" i="2"/>
  <c r="DA40" i="2"/>
  <c r="DC40" i="2"/>
  <c r="DF40" i="2"/>
  <c r="DG40" i="2"/>
  <c r="DM40" i="2"/>
  <c r="DN40" i="2"/>
  <c r="A41" i="2"/>
  <c r="B41" i="2"/>
  <c r="F41" i="2"/>
  <c r="P41" i="2" s="1"/>
  <c r="G41" i="2"/>
  <c r="H41" i="2"/>
  <c r="M41" i="2"/>
  <c r="V41" i="2"/>
  <c r="DB41" i="2" s="1"/>
  <c r="CY41" i="2"/>
  <c r="DA41" i="2"/>
  <c r="DC41" i="2"/>
  <c r="DF41" i="2"/>
  <c r="DG41" i="2"/>
  <c r="DI41" i="2"/>
  <c r="DM41" i="2"/>
  <c r="DN41" i="2"/>
  <c r="A42" i="2"/>
  <c r="B42" i="2"/>
  <c r="F42" i="2"/>
  <c r="P42" i="2" s="1"/>
  <c r="G42" i="2" s="1"/>
  <c r="I42" i="2" s="1"/>
  <c r="H42" i="2"/>
  <c r="CY42" i="2"/>
  <c r="C42" i="2" s="1"/>
  <c r="G37" i="10" s="1"/>
  <c r="DA42" i="2"/>
  <c r="DC42" i="2"/>
  <c r="DF42" i="2"/>
  <c r="DG42" i="2"/>
  <c r="DM42" i="2"/>
  <c r="DN42" i="2"/>
  <c r="A43" i="2"/>
  <c r="B43" i="2"/>
  <c r="C43" i="2"/>
  <c r="G38" i="10" s="1"/>
  <c r="F43" i="2"/>
  <c r="P43" i="2" s="1"/>
  <c r="G43" i="2"/>
  <c r="H43" i="2"/>
  <c r="I43" i="2"/>
  <c r="CY43" i="2"/>
  <c r="CZ43" i="2"/>
  <c r="DA43" i="2"/>
  <c r="DC43" i="2"/>
  <c r="DF43" i="2"/>
  <c r="DG43" i="2"/>
  <c r="DM43" i="2"/>
  <c r="A44" i="2"/>
  <c r="C44" i="2"/>
  <c r="F44" i="2"/>
  <c r="P44" i="2"/>
  <c r="G44" i="2" s="1"/>
  <c r="H44" i="2" s="1"/>
  <c r="CY44" i="2"/>
  <c r="CZ44" i="2"/>
  <c r="DA44" i="2"/>
  <c r="DC44" i="2"/>
  <c r="DF44" i="2"/>
  <c r="DG44" i="2"/>
  <c r="DM44" i="2"/>
  <c r="A45" i="2"/>
  <c r="C45" i="2"/>
  <c r="D45" i="2"/>
  <c r="F45" i="2"/>
  <c r="M45" i="2"/>
  <c r="P45" i="2"/>
  <c r="G45" i="2" s="1"/>
  <c r="H45" i="2" s="1"/>
  <c r="CY45" i="2"/>
  <c r="DC45" i="2"/>
  <c r="DF45" i="2"/>
  <c r="DG45" i="2"/>
  <c r="DM45" i="2"/>
  <c r="A46" i="2"/>
  <c r="A46" i="5" s="1"/>
  <c r="C46" i="2"/>
  <c r="D46" i="2"/>
  <c r="F46" i="2"/>
  <c r="M46" i="2"/>
  <c r="P46" i="2"/>
  <c r="G46" i="2" s="1"/>
  <c r="V46" i="2"/>
  <c r="DB46" i="2" s="1"/>
  <c r="CY46" i="2"/>
  <c r="DC46" i="2"/>
  <c r="DF46" i="2"/>
  <c r="DG46" i="2"/>
  <c r="DM46" i="2"/>
  <c r="A47" i="2"/>
  <c r="A47" i="5" s="1"/>
  <c r="C47" i="2"/>
  <c r="D47" i="2"/>
  <c r="F47" i="2"/>
  <c r="M47" i="2"/>
  <c r="V47" i="2"/>
  <c r="DB47" i="2" s="1"/>
  <c r="CY47" i="2"/>
  <c r="DC47" i="2"/>
  <c r="DF47" i="2"/>
  <c r="DG47" i="2"/>
  <c r="CZ47" i="2" s="1"/>
  <c r="DM47" i="2"/>
  <c r="A48" i="2"/>
  <c r="D48" i="2"/>
  <c r="F48" i="2"/>
  <c r="P48" i="2" s="1"/>
  <c r="G48" i="2" s="1"/>
  <c r="H48" i="2"/>
  <c r="DH48" i="2" s="1"/>
  <c r="M48" i="2"/>
  <c r="CY48" i="2"/>
  <c r="C48" i="2" s="1"/>
  <c r="CZ48" i="2"/>
  <c r="DC48" i="2"/>
  <c r="DF48" i="2"/>
  <c r="DG48" i="2"/>
  <c r="DM48" i="2"/>
  <c r="A49" i="2"/>
  <c r="A49" i="5" s="1"/>
  <c r="F49" i="2"/>
  <c r="G49" i="2"/>
  <c r="H49" i="2"/>
  <c r="I49" i="2"/>
  <c r="P49" i="2"/>
  <c r="CY49" i="2"/>
  <c r="C49" i="2" s="1"/>
  <c r="CZ49" i="2"/>
  <c r="DC49" i="2"/>
  <c r="DF49" i="2"/>
  <c r="DG49" i="2"/>
  <c r="DM49" i="2"/>
  <c r="A50" i="2"/>
  <c r="C50" i="2"/>
  <c r="F50" i="2"/>
  <c r="P50" i="2" s="1"/>
  <c r="G50" i="2" s="1"/>
  <c r="H50" i="2"/>
  <c r="CY50" i="2"/>
  <c r="CZ50" i="2"/>
  <c r="DC50" i="2"/>
  <c r="DF50" i="2"/>
  <c r="DG50" i="2"/>
  <c r="DM50" i="2"/>
  <c r="A51" i="2"/>
  <c r="C51" i="2"/>
  <c r="F51" i="2"/>
  <c r="P51" i="2"/>
  <c r="G51" i="2" s="1"/>
  <c r="H51" i="2" s="1"/>
  <c r="CY51" i="2"/>
  <c r="DC51" i="2"/>
  <c r="DF51" i="2"/>
  <c r="DG51" i="2"/>
  <c r="DM51" i="2"/>
  <c r="A52" i="2"/>
  <c r="C52" i="2"/>
  <c r="F52" i="2"/>
  <c r="P52" i="2" s="1"/>
  <c r="G52" i="2" s="1"/>
  <c r="CY52" i="2"/>
  <c r="CZ52" i="2" s="1"/>
  <c r="DC52" i="2"/>
  <c r="DF52" i="2"/>
  <c r="DG52" i="2"/>
  <c r="DM52" i="2"/>
  <c r="A53" i="2"/>
  <c r="F53" i="2"/>
  <c r="P53" i="2" s="1"/>
  <c r="G53" i="2"/>
  <c r="H53" i="2"/>
  <c r="R53" i="2"/>
  <c r="V53" i="2"/>
  <c r="DB53" i="2" s="1"/>
  <c r="CY53" i="2"/>
  <c r="C53" i="2" s="1"/>
  <c r="CZ53" i="2"/>
  <c r="DC53" i="2"/>
  <c r="DF53" i="2"/>
  <c r="DG53" i="2"/>
  <c r="DI53" i="2"/>
  <c r="DM53" i="2"/>
  <c r="A54" i="2"/>
  <c r="A54" i="5" s="1"/>
  <c r="F54" i="2"/>
  <c r="V54" i="2"/>
  <c r="CY54" i="2"/>
  <c r="C54" i="2" s="1"/>
  <c r="CZ54" i="2"/>
  <c r="DB54" i="2"/>
  <c r="DC54" i="2"/>
  <c r="DF54" i="2"/>
  <c r="DG54" i="2"/>
  <c r="DM54" i="2"/>
  <c r="A55" i="2"/>
  <c r="F55" i="2"/>
  <c r="P55" i="2" s="1"/>
  <c r="G55" i="2" s="1"/>
  <c r="H55" i="2" s="1"/>
  <c r="CY55" i="2"/>
  <c r="DC55" i="2"/>
  <c r="DF55" i="2"/>
  <c r="DG55" i="2"/>
  <c r="DM55" i="2"/>
  <c r="A56" i="2"/>
  <c r="A56" i="5" s="1"/>
  <c r="B56" i="2"/>
  <c r="C56" i="2"/>
  <c r="D56" i="2"/>
  <c r="F56" i="2"/>
  <c r="M56" i="2"/>
  <c r="P56" i="2"/>
  <c r="G56" i="2" s="1"/>
  <c r="H56" i="2" s="1"/>
  <c r="V56" i="2"/>
  <c r="CY56" i="2"/>
  <c r="DB56" i="2"/>
  <c r="DC56" i="2"/>
  <c r="DF56" i="2"/>
  <c r="DG56" i="2"/>
  <c r="DM56" i="2"/>
  <c r="A57" i="2"/>
  <c r="A57" i="5" s="1"/>
  <c r="C57" i="2"/>
  <c r="D57" i="2"/>
  <c r="E57" i="2"/>
  <c r="F57" i="2"/>
  <c r="M57" i="2"/>
  <c r="V57" i="2"/>
  <c r="DB57" i="2" s="1"/>
  <c r="CY57" i="2"/>
  <c r="DC57" i="2"/>
  <c r="DF57" i="2"/>
  <c r="DG57" i="2"/>
  <c r="DM57" i="2"/>
  <c r="A58" i="2"/>
  <c r="A58" i="5" s="1"/>
  <c r="F58" i="2"/>
  <c r="P58" i="2" s="1"/>
  <c r="G58" i="2"/>
  <c r="H58" i="2"/>
  <c r="V58" i="2"/>
  <c r="CY58" i="2"/>
  <c r="C58" i="2" s="1"/>
  <c r="CZ58" i="2"/>
  <c r="DB58" i="2"/>
  <c r="DC58" i="2"/>
  <c r="DF58" i="2"/>
  <c r="DG58" i="2"/>
  <c r="DI58" i="2"/>
  <c r="DM58" i="2"/>
  <c r="A59" i="2"/>
  <c r="V59" i="2" s="1"/>
  <c r="DB59" i="2" s="1"/>
  <c r="F59" i="2"/>
  <c r="P59" i="2" s="1"/>
  <c r="G59" i="2" s="1"/>
  <c r="H59" i="2"/>
  <c r="I59" i="2"/>
  <c r="CY59" i="2"/>
  <c r="C59" i="2" s="1"/>
  <c r="CZ59" i="2"/>
  <c r="DC59" i="2"/>
  <c r="DF59" i="2"/>
  <c r="DG59" i="2"/>
  <c r="DI59" i="2"/>
  <c r="DM59" i="2"/>
  <c r="DR59" i="2"/>
  <c r="B59" i="2" s="1"/>
  <c r="A60" i="2"/>
  <c r="A60" i="5" s="1"/>
  <c r="F60" i="2"/>
  <c r="P60" i="2"/>
  <c r="G60" i="2" s="1"/>
  <c r="H60" i="2" s="1"/>
  <c r="V60" i="2"/>
  <c r="DB60" i="2" s="1"/>
  <c r="CY60" i="2"/>
  <c r="C60" i="2" s="1"/>
  <c r="CZ60" i="2"/>
  <c r="DC60" i="2"/>
  <c r="DF60" i="2"/>
  <c r="DG60" i="2"/>
  <c r="DM60" i="2"/>
  <c r="DR60" i="2"/>
  <c r="B60" i="2" s="1"/>
  <c r="B69" i="2"/>
  <c r="C69" i="2"/>
  <c r="D69" i="2"/>
  <c r="E69" i="2"/>
  <c r="F69" i="2"/>
  <c r="G69" i="2"/>
  <c r="H69" i="2"/>
  <c r="I69" i="2"/>
  <c r="J69" i="2"/>
  <c r="K69" i="2"/>
  <c r="V69" i="2"/>
  <c r="W69" i="2"/>
  <c r="X69" i="2"/>
  <c r="Y69" i="2"/>
  <c r="Z69" i="2"/>
  <c r="AA69" i="2"/>
  <c r="AB69" i="2"/>
  <c r="AC69" i="2"/>
  <c r="AD69" i="2"/>
  <c r="AE69" i="2"/>
  <c r="L70" i="2"/>
  <c r="M70" i="2"/>
  <c r="N70" i="2"/>
  <c r="O70" i="2"/>
  <c r="P70" i="2"/>
  <c r="Q70" i="2"/>
  <c r="R70" i="2"/>
  <c r="S70" i="2"/>
  <c r="T70" i="2"/>
  <c r="U70" i="2"/>
  <c r="AF70" i="2"/>
  <c r="AG70" i="2"/>
  <c r="AH70" i="2"/>
  <c r="AI70" i="2"/>
  <c r="AJ70" i="2"/>
  <c r="AK70" i="2"/>
  <c r="AL70" i="2"/>
  <c r="AM70" i="2"/>
  <c r="B88" i="2"/>
  <c r="G3" i="3"/>
  <c r="E4" i="3"/>
  <c r="G4" i="3"/>
  <c r="B5" i="3"/>
  <c r="B6" i="3"/>
  <c r="N9" i="3"/>
  <c r="O9" i="3"/>
  <c r="A12" i="3"/>
  <c r="V12" i="3" s="1"/>
  <c r="DB12" i="3" s="1"/>
  <c r="B12" i="3"/>
  <c r="C12" i="3"/>
  <c r="H7" i="10" s="1"/>
  <c r="F12" i="3"/>
  <c r="M12" i="3"/>
  <c r="P12" i="3"/>
  <c r="G12" i="3" s="1"/>
  <c r="CY12" i="3"/>
  <c r="CZ12" i="3" s="1"/>
  <c r="DA12" i="3"/>
  <c r="DC12" i="3"/>
  <c r="DF12" i="3"/>
  <c r="DG12" i="3"/>
  <c r="DN12" i="3"/>
  <c r="A13" i="3"/>
  <c r="B13" i="3"/>
  <c r="C13" i="3"/>
  <c r="H8" i="10" s="1"/>
  <c r="F13" i="3"/>
  <c r="P13" i="3"/>
  <c r="G13" i="3" s="1"/>
  <c r="H13" i="3" s="1"/>
  <c r="CY13" i="3"/>
  <c r="DC13" i="3"/>
  <c r="DF13" i="3"/>
  <c r="DG13" i="3"/>
  <c r="DN13" i="3"/>
  <c r="A14" i="3"/>
  <c r="B14" i="3"/>
  <c r="F14" i="3"/>
  <c r="G14" i="3"/>
  <c r="H14" i="3"/>
  <c r="R14" i="3" s="1"/>
  <c r="I14" i="3"/>
  <c r="M9" i="10" s="1"/>
  <c r="J14" i="3"/>
  <c r="R9" i="10" s="1"/>
  <c r="K14" i="3"/>
  <c r="L14" i="3"/>
  <c r="P14" i="3"/>
  <c r="CY14" i="3"/>
  <c r="DA14" i="3"/>
  <c r="DC14" i="3"/>
  <c r="DF14" i="3"/>
  <c r="DG14" i="3"/>
  <c r="DH14" i="3"/>
  <c r="DI14" i="3"/>
  <c r="DN14" i="3"/>
  <c r="B15" i="3"/>
  <c r="C10" i="10" s="1"/>
  <c r="F15" i="3"/>
  <c r="L15" i="3"/>
  <c r="CY15" i="3"/>
  <c r="DC15" i="3"/>
  <c r="DA15" i="3" s="1"/>
  <c r="DF15" i="3"/>
  <c r="DG15" i="3"/>
  <c r="DN15" i="3"/>
  <c r="A16" i="3"/>
  <c r="B16" i="3"/>
  <c r="C11" i="10" s="1"/>
  <c r="F16" i="3"/>
  <c r="P16" i="3" s="1"/>
  <c r="G16" i="3" s="1"/>
  <c r="M16" i="3"/>
  <c r="V16" i="3"/>
  <c r="DB16" i="3" s="1"/>
  <c r="CY16" i="3"/>
  <c r="CZ16" i="3" s="1"/>
  <c r="DC16" i="3"/>
  <c r="DA16" i="3" s="1"/>
  <c r="DF16" i="3"/>
  <c r="DG16" i="3"/>
  <c r="DN16" i="3"/>
  <c r="B17" i="3"/>
  <c r="C12" i="10" s="1"/>
  <c r="C17" i="3"/>
  <c r="F17" i="3"/>
  <c r="P17" i="3" s="1"/>
  <c r="G17" i="3" s="1"/>
  <c r="CY17" i="3"/>
  <c r="DC17" i="3"/>
  <c r="DF17" i="3"/>
  <c r="DG17" i="3"/>
  <c r="DN17" i="3"/>
  <c r="B18" i="3"/>
  <c r="C18" i="3"/>
  <c r="H13" i="10" s="1"/>
  <c r="F18" i="3"/>
  <c r="H18" i="3" s="1"/>
  <c r="P18" i="3"/>
  <c r="G18" i="3" s="1"/>
  <c r="CY18" i="3"/>
  <c r="DA18" i="3"/>
  <c r="DC18" i="3"/>
  <c r="CZ18" i="3" s="1"/>
  <c r="DF18" i="3"/>
  <c r="DG18" i="3"/>
  <c r="DN18" i="3"/>
  <c r="A19" i="3"/>
  <c r="V19" i="3" s="1"/>
  <c r="B19" i="3"/>
  <c r="C19" i="3"/>
  <c r="H14" i="10" s="1"/>
  <c r="F19" i="3"/>
  <c r="M19" i="3"/>
  <c r="P19" i="3"/>
  <c r="G19" i="3" s="1"/>
  <c r="H19" i="3" s="1"/>
  <c r="CY19" i="3"/>
  <c r="CZ19" i="3"/>
  <c r="DB19" i="3"/>
  <c r="DC19" i="3"/>
  <c r="DA19" i="3" s="1"/>
  <c r="DF19" i="3"/>
  <c r="DG19" i="3"/>
  <c r="DN19" i="3"/>
  <c r="A20" i="3"/>
  <c r="M20" i="3" s="1"/>
  <c r="B20" i="3"/>
  <c r="C15" i="10" s="1"/>
  <c r="F20" i="3"/>
  <c r="P20" i="3" s="1"/>
  <c r="G20" i="3" s="1"/>
  <c r="H20" i="3"/>
  <c r="CY20" i="3"/>
  <c r="C20" i="3" s="1"/>
  <c r="H15" i="10" s="1"/>
  <c r="CZ20" i="3"/>
  <c r="DA20" i="3"/>
  <c r="DC20" i="3"/>
  <c r="DF20" i="3"/>
  <c r="DG20" i="3"/>
  <c r="DI20" i="3"/>
  <c r="DN20" i="3"/>
  <c r="A21" i="3"/>
  <c r="B21" i="3"/>
  <c r="C21" i="3"/>
  <c r="F21" i="3"/>
  <c r="G21" i="3"/>
  <c r="H21" i="3"/>
  <c r="I21" i="3"/>
  <c r="P21" i="3"/>
  <c r="V21" i="3"/>
  <c r="DB21" i="3" s="1"/>
  <c r="CY21" i="3"/>
  <c r="CZ21" i="3"/>
  <c r="DA21" i="3"/>
  <c r="DC21" i="3"/>
  <c r="DF21" i="3"/>
  <c r="DG21" i="3"/>
  <c r="DN21" i="3"/>
  <c r="A22" i="3"/>
  <c r="B22" i="3"/>
  <c r="F22" i="3"/>
  <c r="P22" i="3" s="1"/>
  <c r="G22" i="3"/>
  <c r="H22" i="3"/>
  <c r="I22" i="3"/>
  <c r="R22" i="3"/>
  <c r="V22" i="3"/>
  <c r="DB22" i="3" s="1"/>
  <c r="CY22" i="3"/>
  <c r="DA22" i="3"/>
  <c r="DC22" i="3"/>
  <c r="DF22" i="3"/>
  <c r="DG22" i="3"/>
  <c r="DH22" i="3"/>
  <c r="J22" i="3" s="1"/>
  <c r="R17" i="10" s="1"/>
  <c r="DI22" i="3"/>
  <c r="DN22" i="3"/>
  <c r="A23" i="3"/>
  <c r="B23" i="3"/>
  <c r="C18" i="10" s="1"/>
  <c r="F23" i="3"/>
  <c r="H23" i="3"/>
  <c r="I23" i="3"/>
  <c r="P23" i="3"/>
  <c r="G23" i="3" s="1"/>
  <c r="V23" i="3"/>
  <c r="DB23" i="3" s="1"/>
  <c r="CY23" i="3"/>
  <c r="C23" i="3" s="1"/>
  <c r="H18" i="10" s="1"/>
  <c r="CZ23" i="3"/>
  <c r="DC23" i="3"/>
  <c r="DA23" i="3" s="1"/>
  <c r="DF23" i="3"/>
  <c r="DG23" i="3"/>
  <c r="DM23" i="3"/>
  <c r="DN23" i="3"/>
  <c r="B24" i="3"/>
  <c r="C19" i="10" s="1"/>
  <c r="C24" i="3"/>
  <c r="H19" i="10" s="1"/>
  <c r="F24" i="3"/>
  <c r="P24" i="3"/>
  <c r="G24" i="3" s="1"/>
  <c r="CY24" i="3"/>
  <c r="DC24" i="3"/>
  <c r="DF24" i="3"/>
  <c r="DG24" i="3"/>
  <c r="DM24" i="3"/>
  <c r="DN24" i="3"/>
  <c r="A25" i="3"/>
  <c r="B25" i="3"/>
  <c r="C25" i="3"/>
  <c r="H20" i="10" s="1"/>
  <c r="F25" i="3"/>
  <c r="P25" i="3"/>
  <c r="G25" i="3" s="1"/>
  <c r="H25" i="3" s="1"/>
  <c r="CY25" i="3"/>
  <c r="DA25" i="3"/>
  <c r="DC25" i="3"/>
  <c r="CZ25" i="3" s="1"/>
  <c r="DF25" i="3"/>
  <c r="DG25" i="3"/>
  <c r="DM25" i="3"/>
  <c r="DN25" i="3"/>
  <c r="A26" i="3"/>
  <c r="B26" i="3"/>
  <c r="F26" i="3"/>
  <c r="P26" i="3" s="1"/>
  <c r="G26" i="3" s="1"/>
  <c r="H26" i="3"/>
  <c r="V26" i="3"/>
  <c r="DB26" i="3" s="1"/>
  <c r="CY26" i="3"/>
  <c r="C26" i="3" s="1"/>
  <c r="H21" i="10" s="1"/>
  <c r="CZ26" i="3"/>
  <c r="DA26" i="3"/>
  <c r="DC26" i="3"/>
  <c r="DF26" i="3"/>
  <c r="DG26" i="3"/>
  <c r="DM26" i="3"/>
  <c r="DN26" i="3"/>
  <c r="A27" i="3"/>
  <c r="B27" i="3"/>
  <c r="F27" i="3"/>
  <c r="G27" i="3"/>
  <c r="I27" i="3"/>
  <c r="P27" i="3"/>
  <c r="CY27" i="3"/>
  <c r="C27" i="3" s="1"/>
  <c r="CZ27" i="3"/>
  <c r="DC27" i="3"/>
  <c r="DA27" i="3" s="1"/>
  <c r="DF27" i="3"/>
  <c r="DG27" i="3"/>
  <c r="DM27" i="3"/>
  <c r="DN27" i="3"/>
  <c r="B28" i="3"/>
  <c r="C23" i="10" s="1"/>
  <c r="C28" i="3"/>
  <c r="H23" i="10" s="1"/>
  <c r="F28" i="3"/>
  <c r="CY28" i="3"/>
  <c r="DC28" i="3"/>
  <c r="DF28" i="3"/>
  <c r="DG28" i="3"/>
  <c r="DM28" i="3"/>
  <c r="DN28" i="3"/>
  <c r="A29" i="3"/>
  <c r="B29" i="3"/>
  <c r="C29" i="3"/>
  <c r="H24" i="10" s="1"/>
  <c r="F29" i="3"/>
  <c r="I29" i="3"/>
  <c r="M24" i="10" s="1"/>
  <c r="H22" i="8" s="1"/>
  <c r="M29" i="3"/>
  <c r="P29" i="3"/>
  <c r="G29" i="3" s="1"/>
  <c r="H29" i="3" s="1"/>
  <c r="CY29" i="3"/>
  <c r="CZ29" i="3"/>
  <c r="DA29" i="3"/>
  <c r="DC29" i="3"/>
  <c r="DF29" i="3"/>
  <c r="DG29" i="3"/>
  <c r="DI29" i="3"/>
  <c r="DM29" i="3"/>
  <c r="DN29" i="3"/>
  <c r="A30" i="3"/>
  <c r="B30" i="3"/>
  <c r="F30" i="3"/>
  <c r="CY30" i="3"/>
  <c r="DA30" i="3"/>
  <c r="DC30" i="3"/>
  <c r="DF30" i="3"/>
  <c r="DG30" i="3"/>
  <c r="DM30" i="3"/>
  <c r="DN30" i="3"/>
  <c r="A31" i="3"/>
  <c r="B31" i="3"/>
  <c r="C26" i="10" s="1"/>
  <c r="F31" i="3"/>
  <c r="M31" i="3"/>
  <c r="P31" i="3"/>
  <c r="G31" i="3" s="1"/>
  <c r="V31" i="3"/>
  <c r="DB31" i="3" s="1"/>
  <c r="CY31" i="3"/>
  <c r="C31" i="3" s="1"/>
  <c r="H26" i="10" s="1"/>
  <c r="CZ31" i="3"/>
  <c r="DC31" i="3"/>
  <c r="DA31" i="3" s="1"/>
  <c r="DF31" i="3"/>
  <c r="DG31" i="3"/>
  <c r="DM31" i="3"/>
  <c r="DN31" i="3"/>
  <c r="B32" i="3"/>
  <c r="C32" i="3"/>
  <c r="H27" i="10" s="1"/>
  <c r="F32" i="3"/>
  <c r="CY32" i="3"/>
  <c r="DA32" i="3"/>
  <c r="DC32" i="3"/>
  <c r="CZ32" i="3" s="1"/>
  <c r="DF32" i="3"/>
  <c r="DG32" i="3"/>
  <c r="DM32" i="3"/>
  <c r="DN32" i="3"/>
  <c r="A33" i="3"/>
  <c r="B33" i="3"/>
  <c r="F33" i="3"/>
  <c r="P33" i="3"/>
  <c r="G33" i="3" s="1"/>
  <c r="H33" i="3" s="1"/>
  <c r="CY33" i="3"/>
  <c r="C33" i="3" s="1"/>
  <c r="H28" i="10" s="1"/>
  <c r="DC33" i="3"/>
  <c r="DA33" i="3" s="1"/>
  <c r="DF33" i="3"/>
  <c r="DG33" i="3"/>
  <c r="DM33" i="3"/>
  <c r="DN33" i="3"/>
  <c r="A34" i="3"/>
  <c r="B34" i="3"/>
  <c r="F34" i="3"/>
  <c r="P34" i="3" s="1"/>
  <c r="G34" i="3" s="1"/>
  <c r="H34" i="3"/>
  <c r="R34" i="3"/>
  <c r="V34" i="3"/>
  <c r="DB34" i="3" s="1"/>
  <c r="CY34" i="3"/>
  <c r="DA34" i="3"/>
  <c r="DC34" i="3"/>
  <c r="DF34" i="3"/>
  <c r="DG34" i="3"/>
  <c r="DH34" i="3"/>
  <c r="DI34" i="3"/>
  <c r="DM34" i="3"/>
  <c r="DN34" i="3"/>
  <c r="A35" i="3"/>
  <c r="B35" i="3"/>
  <c r="C30" i="10" s="1"/>
  <c r="F35" i="3"/>
  <c r="V35" i="3"/>
  <c r="CY35" i="3"/>
  <c r="C35" i="3" s="1"/>
  <c r="H30" i="10" s="1"/>
  <c r="CZ35" i="3"/>
  <c r="DA35" i="3"/>
  <c r="DB35" i="3"/>
  <c r="DC35" i="3"/>
  <c r="DF35" i="3"/>
  <c r="DG35" i="3"/>
  <c r="DM35" i="3"/>
  <c r="DN35" i="3"/>
  <c r="A36" i="3"/>
  <c r="B36" i="3"/>
  <c r="C31" i="10" s="1"/>
  <c r="F36" i="3"/>
  <c r="G36" i="3"/>
  <c r="H36" i="3"/>
  <c r="I36" i="3"/>
  <c r="P36" i="3"/>
  <c r="CY36" i="3"/>
  <c r="C36" i="3" s="1"/>
  <c r="CZ36" i="3"/>
  <c r="DC36" i="3"/>
  <c r="DA36" i="3" s="1"/>
  <c r="DF36" i="3"/>
  <c r="DG36" i="3"/>
  <c r="DM36" i="3"/>
  <c r="DN36" i="3"/>
  <c r="A37" i="3"/>
  <c r="B37" i="3"/>
  <c r="C37" i="3"/>
  <c r="H32" i="10" s="1"/>
  <c r="F37" i="3"/>
  <c r="P37" i="3"/>
  <c r="G37" i="3" s="1"/>
  <c r="H37" i="3" s="1"/>
  <c r="CY37" i="3"/>
  <c r="CZ37" i="3" s="1"/>
  <c r="DA37" i="3"/>
  <c r="DC37" i="3"/>
  <c r="DF37" i="3"/>
  <c r="DG37" i="3"/>
  <c r="DM37" i="3"/>
  <c r="DN37" i="3"/>
  <c r="A38" i="3"/>
  <c r="B38" i="3"/>
  <c r="C33" i="10" s="1"/>
  <c r="C38" i="3"/>
  <c r="F38" i="3"/>
  <c r="P38" i="3" s="1"/>
  <c r="G38" i="3" s="1"/>
  <c r="H38" i="3"/>
  <c r="I38" i="3"/>
  <c r="M38" i="3"/>
  <c r="CY38" i="3"/>
  <c r="CZ38" i="3"/>
  <c r="DC38" i="3"/>
  <c r="DA38" i="3" s="1"/>
  <c r="DF38" i="3"/>
  <c r="DG38" i="3"/>
  <c r="DM38" i="3"/>
  <c r="DN38" i="3"/>
  <c r="A39" i="3"/>
  <c r="B39" i="3"/>
  <c r="C39" i="3"/>
  <c r="H34" i="10" s="1"/>
  <c r="F39" i="3"/>
  <c r="M39" i="3"/>
  <c r="CY39" i="3"/>
  <c r="CZ39" i="3"/>
  <c r="DA39" i="3"/>
  <c r="DC39" i="3"/>
  <c r="DF39" i="3"/>
  <c r="DG39" i="3"/>
  <c r="DM39" i="3"/>
  <c r="DN39" i="3"/>
  <c r="A40" i="3"/>
  <c r="B40" i="3"/>
  <c r="C40" i="3"/>
  <c r="H35" i="10" s="1"/>
  <c r="F40" i="3"/>
  <c r="G40" i="3"/>
  <c r="H40" i="3"/>
  <c r="I40" i="3"/>
  <c r="P40" i="3"/>
  <c r="CY40" i="3"/>
  <c r="DC40" i="3"/>
  <c r="DF40" i="3"/>
  <c r="DG40" i="3"/>
  <c r="DM40" i="3"/>
  <c r="DN40" i="3"/>
  <c r="A41" i="3"/>
  <c r="B41" i="3"/>
  <c r="F41" i="3"/>
  <c r="G41" i="3"/>
  <c r="H41" i="3"/>
  <c r="I41" i="3"/>
  <c r="P41" i="3"/>
  <c r="V41" i="3"/>
  <c r="DB41" i="3" s="1"/>
  <c r="CY41" i="3"/>
  <c r="DA41" i="3"/>
  <c r="DC41" i="3"/>
  <c r="DF41" i="3"/>
  <c r="DG41" i="3"/>
  <c r="DM41" i="3"/>
  <c r="DN41" i="3"/>
  <c r="A42" i="3"/>
  <c r="B42" i="3"/>
  <c r="C37" i="10" s="1"/>
  <c r="D42" i="3"/>
  <c r="F42" i="3"/>
  <c r="M42" i="3"/>
  <c r="P42" i="3"/>
  <c r="G42" i="3" s="1"/>
  <c r="H42" i="3" s="1"/>
  <c r="V42" i="3"/>
  <c r="DB42" i="3" s="1"/>
  <c r="CY42" i="3"/>
  <c r="DC42" i="3"/>
  <c r="DA42" i="3" s="1"/>
  <c r="DF42" i="3"/>
  <c r="DG42" i="3"/>
  <c r="DM42" i="3"/>
  <c r="DN42" i="3"/>
  <c r="A43" i="3"/>
  <c r="V43" i="3" s="1"/>
  <c r="DB43" i="3" s="1"/>
  <c r="B43" i="3"/>
  <c r="C38" i="10" s="1"/>
  <c r="C43" i="3"/>
  <c r="H38" i="10" s="1"/>
  <c r="D43" i="3"/>
  <c r="F43" i="3"/>
  <c r="M35" i="7" s="1"/>
  <c r="M43" i="3"/>
  <c r="CY43" i="3"/>
  <c r="DC43" i="3"/>
  <c r="DD43" i="3"/>
  <c r="DF43" i="3"/>
  <c r="DG43" i="3"/>
  <c r="DM43" i="3"/>
  <c r="A44" i="3"/>
  <c r="V44" i="3" s="1"/>
  <c r="C44" i="3"/>
  <c r="H39" i="10" s="1"/>
  <c r="F44" i="3"/>
  <c r="G44" i="3"/>
  <c r="H44" i="3"/>
  <c r="R44" i="3" s="1"/>
  <c r="M44" i="3"/>
  <c r="P44" i="3"/>
  <c r="CY44" i="3"/>
  <c r="CZ44" i="3"/>
  <c r="DA44" i="3"/>
  <c r="DB44" i="3"/>
  <c r="DC44" i="3"/>
  <c r="DD44" i="3"/>
  <c r="DF44" i="3"/>
  <c r="DG44" i="3"/>
  <c r="DH44" i="3"/>
  <c r="DI44" i="3"/>
  <c r="J44" i="3" s="1"/>
  <c r="R39" i="10" s="1"/>
  <c r="DR44" i="3"/>
  <c r="A45" i="3"/>
  <c r="F45" i="3"/>
  <c r="P45" i="3" s="1"/>
  <c r="G45" i="3"/>
  <c r="H45" i="3" s="1"/>
  <c r="R45" i="3" s="1"/>
  <c r="CY45" i="3"/>
  <c r="DC45" i="3"/>
  <c r="DD45" i="3"/>
  <c r="DF45" i="3"/>
  <c r="DG45" i="3"/>
  <c r="DH45" i="3"/>
  <c r="DI45" i="3"/>
  <c r="A46" i="3"/>
  <c r="DR46" i="3" s="1"/>
  <c r="F46" i="3"/>
  <c r="P46" i="3" s="1"/>
  <c r="G46" i="3" s="1"/>
  <c r="V46" i="3"/>
  <c r="DB46" i="3" s="1"/>
  <c r="CY46" i="3"/>
  <c r="C46" i="3" s="1"/>
  <c r="CZ46" i="3"/>
  <c r="DC46" i="3"/>
  <c r="DD46" i="3"/>
  <c r="DF46" i="3"/>
  <c r="DG46" i="3"/>
  <c r="A47" i="3"/>
  <c r="D47" i="3"/>
  <c r="F47" i="3"/>
  <c r="P47" i="3" s="1"/>
  <c r="G47" i="3"/>
  <c r="M47" i="3"/>
  <c r="V47" i="3"/>
  <c r="DB47" i="3" s="1"/>
  <c r="CY47" i="3"/>
  <c r="DC47" i="3"/>
  <c r="DD47" i="3"/>
  <c r="DF47" i="3"/>
  <c r="DG47" i="3"/>
  <c r="DR47" i="3"/>
  <c r="DR47" i="2" s="1"/>
  <c r="A48" i="3"/>
  <c r="B48" i="3"/>
  <c r="C43" i="10" s="1"/>
  <c r="C48" i="3"/>
  <c r="H43" i="10" s="1"/>
  <c r="D48" i="3"/>
  <c r="E48" i="3" s="1"/>
  <c r="F48" i="3"/>
  <c r="M48" i="3"/>
  <c r="V48" i="3"/>
  <c r="DB48" i="3" s="1"/>
  <c r="CY48" i="3"/>
  <c r="CZ48" i="3" s="1"/>
  <c r="DC48" i="3"/>
  <c r="DD48" i="3"/>
  <c r="DF48" i="3"/>
  <c r="DG48" i="3"/>
  <c r="DR48" i="3"/>
  <c r="DR48" i="2" s="1"/>
  <c r="B48" i="2" s="1"/>
  <c r="A49" i="3"/>
  <c r="V49" i="3" s="1"/>
  <c r="DB49" i="3" s="1"/>
  <c r="B49" i="3"/>
  <c r="C44" i="10" s="1"/>
  <c r="C49" i="3"/>
  <c r="D49" i="3"/>
  <c r="F49" i="3"/>
  <c r="M49" i="3"/>
  <c r="CY49" i="3"/>
  <c r="DC49" i="3"/>
  <c r="CZ49" i="3" s="1"/>
  <c r="DD49" i="3"/>
  <c r="DF49" i="3"/>
  <c r="DG49" i="3"/>
  <c r="DR49" i="3"/>
  <c r="DR49" i="2" s="1"/>
  <c r="B49" i="2" s="1"/>
  <c r="A50" i="3"/>
  <c r="V50" i="3" s="1"/>
  <c r="DB50" i="3" s="1"/>
  <c r="B50" i="3"/>
  <c r="C50" i="3"/>
  <c r="H45" i="10" s="1"/>
  <c r="D50" i="3"/>
  <c r="F50" i="3"/>
  <c r="M50" i="3"/>
  <c r="P50" i="3"/>
  <c r="G50" i="3" s="1"/>
  <c r="H50" i="3" s="1"/>
  <c r="CY50" i="3"/>
  <c r="DC50" i="3"/>
  <c r="CZ50" i="3" s="1"/>
  <c r="DD50" i="3"/>
  <c r="DF50" i="3"/>
  <c r="DG50" i="3"/>
  <c r="DR50" i="3"/>
  <c r="DR50" i="2" s="1"/>
  <c r="B50" i="2" s="1"/>
  <c r="A51" i="3"/>
  <c r="C51" i="3"/>
  <c r="F51" i="3"/>
  <c r="G51" i="3"/>
  <c r="H51" i="3"/>
  <c r="R51" i="3" s="1"/>
  <c r="P51" i="3"/>
  <c r="CY51" i="3"/>
  <c r="DC51" i="3"/>
  <c r="CZ51" i="3" s="1"/>
  <c r="DD51" i="3"/>
  <c r="DI51" i="3" s="1"/>
  <c r="DF51" i="3"/>
  <c r="DG51" i="3"/>
  <c r="A52" i="3"/>
  <c r="C52" i="3"/>
  <c r="F52" i="3"/>
  <c r="P52" i="3" s="1"/>
  <c r="G52" i="3" s="1"/>
  <c r="H52" i="3"/>
  <c r="CY52" i="3"/>
  <c r="CZ52" i="3" s="1"/>
  <c r="DC52" i="3"/>
  <c r="DD52" i="3"/>
  <c r="DF52" i="3"/>
  <c r="DG52" i="3"/>
  <c r="A53" i="3"/>
  <c r="B53" i="3"/>
  <c r="F53" i="3"/>
  <c r="P53" i="3" s="1"/>
  <c r="G53" i="3" s="1"/>
  <c r="H53" i="3" s="1"/>
  <c r="V53" i="3"/>
  <c r="DB53" i="3" s="1"/>
  <c r="CY53" i="3"/>
  <c r="C53" i="3" s="1"/>
  <c r="CZ53" i="3"/>
  <c r="DC53" i="3"/>
  <c r="DD53" i="3"/>
  <c r="DF53" i="3"/>
  <c r="DG53" i="3"/>
  <c r="DR53" i="3"/>
  <c r="A54" i="3"/>
  <c r="F54" i="3"/>
  <c r="CY54" i="3"/>
  <c r="C54" i="3" s="1"/>
  <c r="DC54" i="3"/>
  <c r="DD54" i="3"/>
  <c r="DF54" i="3"/>
  <c r="DG54" i="3"/>
  <c r="DR54" i="3"/>
  <c r="A55" i="3"/>
  <c r="D55" i="3"/>
  <c r="F55" i="3"/>
  <c r="M55" i="3"/>
  <c r="P55" i="3"/>
  <c r="G55" i="3" s="1"/>
  <c r="H55" i="3" s="1"/>
  <c r="P51" i="7" s="1"/>
  <c r="R55" i="3"/>
  <c r="V55" i="3"/>
  <c r="DB55" i="3" s="1"/>
  <c r="CY55" i="3"/>
  <c r="DC55" i="3"/>
  <c r="DD55" i="3"/>
  <c r="DF55" i="3"/>
  <c r="DG55" i="3"/>
  <c r="DH55" i="3"/>
  <c r="DI55" i="3"/>
  <c r="DR55" i="3"/>
  <c r="DR55" i="2" s="1"/>
  <c r="B55" i="2" s="1"/>
  <c r="A56" i="3"/>
  <c r="B56" i="3"/>
  <c r="C51" i="10" s="1"/>
  <c r="C56" i="3"/>
  <c r="H51" i="10" s="1"/>
  <c r="D56" i="3"/>
  <c r="E56" i="3" s="1"/>
  <c r="F56" i="3"/>
  <c r="M56" i="3"/>
  <c r="P56" i="3"/>
  <c r="G56" i="3" s="1"/>
  <c r="V56" i="3"/>
  <c r="DB56" i="3" s="1"/>
  <c r="CY56" i="3"/>
  <c r="CZ56" i="3" s="1"/>
  <c r="DC56" i="3"/>
  <c r="DD56" i="3"/>
  <c r="DF56" i="3"/>
  <c r="DG56" i="3"/>
  <c r="DR56" i="3"/>
  <c r="DR56" i="2" s="1"/>
  <c r="A57" i="3"/>
  <c r="DR57" i="3" s="1"/>
  <c r="D57" i="3"/>
  <c r="M57" i="3"/>
  <c r="P57" i="3"/>
  <c r="G57" i="3" s="1"/>
  <c r="V57" i="3"/>
  <c r="DB57" i="3" s="1"/>
  <c r="CY57" i="3"/>
  <c r="DC57" i="3"/>
  <c r="DD57" i="3"/>
  <c r="DF57" i="3"/>
  <c r="DG57" i="3"/>
  <c r="A58" i="3"/>
  <c r="B58" i="3"/>
  <c r="C53" i="10" s="1"/>
  <c r="C58" i="3"/>
  <c r="H53" i="10" s="1"/>
  <c r="D58" i="3"/>
  <c r="E58" i="3"/>
  <c r="F58" i="3"/>
  <c r="M58" i="3"/>
  <c r="V58" i="3"/>
  <c r="DB58" i="3" s="1"/>
  <c r="CY58" i="3"/>
  <c r="CZ58" i="3" s="1"/>
  <c r="DC58" i="3"/>
  <c r="DD58" i="3"/>
  <c r="DF58" i="3"/>
  <c r="DG58" i="3"/>
  <c r="DR58" i="3"/>
  <c r="DR58" i="2" s="1"/>
  <c r="B53" i="10" s="1"/>
  <c r="A59" i="3"/>
  <c r="V59" i="3" s="1"/>
  <c r="DB59" i="3" s="1"/>
  <c r="B59" i="3"/>
  <c r="C59" i="3"/>
  <c r="D59" i="3"/>
  <c r="E59" i="3" s="1"/>
  <c r="F59" i="3"/>
  <c r="M59" i="3"/>
  <c r="CY59" i="3"/>
  <c r="DC59" i="3"/>
  <c r="CZ59" i="3" s="1"/>
  <c r="DD59" i="3"/>
  <c r="DF59" i="3"/>
  <c r="DG59" i="3"/>
  <c r="A60" i="3"/>
  <c r="V60" i="3" s="1"/>
  <c r="DB60" i="3" s="1"/>
  <c r="B60" i="3"/>
  <c r="C60" i="3"/>
  <c r="D60" i="3"/>
  <c r="E60" i="3" s="1"/>
  <c r="F60" i="3"/>
  <c r="M60" i="3"/>
  <c r="P60" i="3"/>
  <c r="G60" i="3" s="1"/>
  <c r="CY60" i="3"/>
  <c r="DC60" i="3"/>
  <c r="CZ60" i="3" s="1"/>
  <c r="DD60" i="3"/>
  <c r="DF60" i="3"/>
  <c r="DG60" i="3"/>
  <c r="B69" i="3"/>
  <c r="C69" i="3"/>
  <c r="D69" i="3"/>
  <c r="E69" i="3"/>
  <c r="F69" i="3"/>
  <c r="G69" i="3"/>
  <c r="H69" i="3"/>
  <c r="I69" i="3"/>
  <c r="J69" i="3"/>
  <c r="K69" i="3"/>
  <c r="V69" i="3"/>
  <c r="W69" i="3"/>
  <c r="X69" i="3"/>
  <c r="Y69" i="3"/>
  <c r="Z69" i="3"/>
  <c r="AA69" i="3"/>
  <c r="AB69" i="3"/>
  <c r="AC69" i="3"/>
  <c r="AD69" i="3"/>
  <c r="AE69" i="3"/>
  <c r="L70" i="3"/>
  <c r="M70" i="3"/>
  <c r="N70" i="3"/>
  <c r="O70" i="3"/>
  <c r="P70" i="3"/>
  <c r="Q70" i="3"/>
  <c r="R70" i="3"/>
  <c r="S70" i="3"/>
  <c r="T70" i="3"/>
  <c r="U70" i="3"/>
  <c r="AF70" i="3"/>
  <c r="AG70" i="3"/>
  <c r="AH70" i="3"/>
  <c r="AK70" i="3"/>
  <c r="AL70" i="3"/>
  <c r="AM70" i="3"/>
  <c r="AN70" i="3"/>
  <c r="AO70" i="3"/>
  <c r="B5" i="4"/>
  <c r="G5" i="4"/>
  <c r="B6" i="4"/>
  <c r="N9" i="4"/>
  <c r="O9" i="4"/>
  <c r="A12" i="4"/>
  <c r="B12" i="4"/>
  <c r="D7" i="10" s="1"/>
  <c r="F12" i="4"/>
  <c r="M12" i="4"/>
  <c r="V12" i="4"/>
  <c r="DB12" i="4" s="1"/>
  <c r="CY12" i="4"/>
  <c r="DC12" i="4"/>
  <c r="DA12" i="4" s="1"/>
  <c r="DF12" i="4"/>
  <c r="DG12" i="4"/>
  <c r="DN12" i="4"/>
  <c r="A13" i="4"/>
  <c r="B13" i="4"/>
  <c r="D8" i="10" s="1"/>
  <c r="C13" i="4"/>
  <c r="I8" i="10" s="1"/>
  <c r="F13" i="4"/>
  <c r="M13" i="4"/>
  <c r="P13" i="4"/>
  <c r="G13" i="4" s="1"/>
  <c r="V13" i="4"/>
  <c r="DB13" i="4" s="1"/>
  <c r="CY13" i="4"/>
  <c r="CZ13" i="4" s="1"/>
  <c r="DC13" i="4"/>
  <c r="DA13" i="4" s="1"/>
  <c r="DF13" i="4"/>
  <c r="DG13" i="4"/>
  <c r="DN13" i="4"/>
  <c r="A14" i="4"/>
  <c r="V14" i="4" s="1"/>
  <c r="DB14" i="4" s="1"/>
  <c r="B14" i="4"/>
  <c r="D9" i="10" s="1"/>
  <c r="C14" i="4"/>
  <c r="F14" i="4"/>
  <c r="L14" i="4"/>
  <c r="M14" i="4"/>
  <c r="P14" i="4"/>
  <c r="G14" i="4" s="1"/>
  <c r="CY14" i="4"/>
  <c r="DC14" i="4"/>
  <c r="DF14" i="4"/>
  <c r="DG14" i="4"/>
  <c r="DN14" i="4"/>
  <c r="A15" i="4"/>
  <c r="B15" i="4"/>
  <c r="F15" i="4"/>
  <c r="G15" i="4"/>
  <c r="H15" i="4"/>
  <c r="R15" i="4" s="1"/>
  <c r="I15" i="4"/>
  <c r="J15" i="4"/>
  <c r="S10" i="10" s="1"/>
  <c r="N8" i="8" s="1"/>
  <c r="L15" i="4"/>
  <c r="P15" i="4"/>
  <c r="CY15" i="4"/>
  <c r="DA15" i="4"/>
  <c r="DC15" i="4"/>
  <c r="DF15" i="4"/>
  <c r="DG15" i="4"/>
  <c r="DH15" i="4"/>
  <c r="DI15" i="4"/>
  <c r="DN15" i="4"/>
  <c r="A16" i="4"/>
  <c r="B16" i="4"/>
  <c r="F16" i="4"/>
  <c r="P16" i="4" s="1"/>
  <c r="G16" i="4"/>
  <c r="H16" i="4" s="1"/>
  <c r="DH16" i="4" s="1"/>
  <c r="CY16" i="4"/>
  <c r="C16" i="4" s="1"/>
  <c r="I11" i="10" s="1"/>
  <c r="DA16" i="4"/>
  <c r="DC16" i="4"/>
  <c r="DF16" i="4"/>
  <c r="DG16" i="4"/>
  <c r="DN16" i="4"/>
  <c r="B17" i="4"/>
  <c r="D12" i="10" s="1"/>
  <c r="F17" i="4"/>
  <c r="CY17" i="4"/>
  <c r="C17" i="4" s="1"/>
  <c r="CZ17" i="4"/>
  <c r="DC17" i="4"/>
  <c r="DA17" i="4" s="1"/>
  <c r="DF17" i="4"/>
  <c r="DG17" i="4"/>
  <c r="DN17" i="4"/>
  <c r="A18" i="4"/>
  <c r="B18" i="4"/>
  <c r="D13" i="10" s="1"/>
  <c r="F18" i="4"/>
  <c r="M18" i="4"/>
  <c r="P18" i="4"/>
  <c r="G18" i="4" s="1"/>
  <c r="V18" i="4"/>
  <c r="DB18" i="4" s="1"/>
  <c r="CY18" i="4"/>
  <c r="DC18" i="4"/>
  <c r="DA18" i="4" s="1"/>
  <c r="DF18" i="4"/>
  <c r="DG18" i="4"/>
  <c r="DN18" i="4"/>
  <c r="A19" i="4"/>
  <c r="B19" i="4"/>
  <c r="D14" i="10" s="1"/>
  <c r="C19" i="4"/>
  <c r="I14" i="10" s="1"/>
  <c r="F19" i="4"/>
  <c r="M19" i="4"/>
  <c r="P19" i="4"/>
  <c r="G19" i="4" s="1"/>
  <c r="V19" i="4"/>
  <c r="DB19" i="4" s="1"/>
  <c r="CY19" i="4"/>
  <c r="DC19" i="4"/>
  <c r="DA19" i="4" s="1"/>
  <c r="DF19" i="4"/>
  <c r="DG19" i="4"/>
  <c r="DN19" i="4"/>
  <c r="B20" i="4"/>
  <c r="D15" i="10" s="1"/>
  <c r="C20" i="4"/>
  <c r="I15" i="10" s="1"/>
  <c r="F20" i="4"/>
  <c r="P20" i="4"/>
  <c r="G20" i="4" s="1"/>
  <c r="CY20" i="4"/>
  <c r="DC20" i="4"/>
  <c r="DF20" i="4"/>
  <c r="DG20" i="4"/>
  <c r="DN20" i="4"/>
  <c r="A21" i="4"/>
  <c r="V21" i="4" s="1"/>
  <c r="B21" i="4"/>
  <c r="C21" i="4"/>
  <c r="I16" i="10" s="1"/>
  <c r="F21" i="4"/>
  <c r="M21" i="4"/>
  <c r="P21" i="4"/>
  <c r="G21" i="4" s="1"/>
  <c r="H21" i="4" s="1"/>
  <c r="CY21" i="4"/>
  <c r="DA21" i="4"/>
  <c r="DB21" i="4"/>
  <c r="DC21" i="4"/>
  <c r="CZ21" i="4" s="1"/>
  <c r="DF21" i="4"/>
  <c r="DG21" i="4"/>
  <c r="DN21" i="4"/>
  <c r="A22" i="4"/>
  <c r="B22" i="4"/>
  <c r="C22" i="4"/>
  <c r="I17" i="10" s="1"/>
  <c r="F22" i="4"/>
  <c r="G22" i="4"/>
  <c r="H22" i="4"/>
  <c r="R22" i="4" s="1"/>
  <c r="I22" i="4"/>
  <c r="P22" i="4"/>
  <c r="CY22" i="4"/>
  <c r="DC22" i="4"/>
  <c r="DF22" i="4"/>
  <c r="DG22" i="4"/>
  <c r="DI22" i="4"/>
  <c r="DN22" i="4"/>
  <c r="A23" i="4"/>
  <c r="B23" i="4"/>
  <c r="C23" i="4"/>
  <c r="I18" i="10" s="1"/>
  <c r="F23" i="4"/>
  <c r="P23" i="4" s="1"/>
  <c r="G23" i="4" s="1"/>
  <c r="H23" i="4" s="1"/>
  <c r="Q15" i="7" s="1"/>
  <c r="CY23" i="4"/>
  <c r="CZ23" i="4" s="1"/>
  <c r="DA23" i="4"/>
  <c r="DC23" i="4"/>
  <c r="DF23" i="4"/>
  <c r="DG23" i="4"/>
  <c r="DM23" i="4"/>
  <c r="DN23" i="4"/>
  <c r="A24" i="4"/>
  <c r="B24" i="4"/>
  <c r="F24" i="4"/>
  <c r="P24" i="4" s="1"/>
  <c r="G24" i="4"/>
  <c r="I24" i="4" s="1"/>
  <c r="H24" i="4"/>
  <c r="DH24" i="4" s="1"/>
  <c r="R24" i="4"/>
  <c r="V24" i="4"/>
  <c r="DB24" i="4" s="1"/>
  <c r="CY24" i="4"/>
  <c r="C24" i="4" s="1"/>
  <c r="DC24" i="4"/>
  <c r="DA24" i="4" s="1"/>
  <c r="DF24" i="4"/>
  <c r="DG24" i="4"/>
  <c r="DI24" i="4"/>
  <c r="DM24" i="4"/>
  <c r="DN24" i="4"/>
  <c r="A25" i="4"/>
  <c r="B25" i="4"/>
  <c r="D20" i="10" s="1"/>
  <c r="C25" i="4"/>
  <c r="I20" i="10" s="1"/>
  <c r="F25" i="4"/>
  <c r="M25" i="4"/>
  <c r="V25" i="4"/>
  <c r="DB25" i="4" s="1"/>
  <c r="CY25" i="4"/>
  <c r="CZ25" i="4" s="1"/>
  <c r="DC25" i="4"/>
  <c r="DA25" i="4" s="1"/>
  <c r="DF25" i="4"/>
  <c r="DG25" i="4"/>
  <c r="DM25" i="4"/>
  <c r="DN25" i="4"/>
  <c r="A26" i="4"/>
  <c r="V26" i="4" s="1"/>
  <c r="B26" i="4"/>
  <c r="C26" i="4"/>
  <c r="I21" i="10" s="1"/>
  <c r="F26" i="4"/>
  <c r="M26" i="4"/>
  <c r="P26" i="4"/>
  <c r="G26" i="4" s="1"/>
  <c r="H26" i="4" s="1"/>
  <c r="CY26" i="4"/>
  <c r="DB26" i="4"/>
  <c r="DC26" i="4"/>
  <c r="CZ26" i="4" s="1"/>
  <c r="DF26" i="4"/>
  <c r="DG26" i="4"/>
  <c r="DM26" i="4"/>
  <c r="DN26" i="4"/>
  <c r="A27" i="4"/>
  <c r="B27" i="4"/>
  <c r="C27" i="4"/>
  <c r="I22" i="10" s="1"/>
  <c r="F27" i="4"/>
  <c r="P27" i="4" s="1"/>
  <c r="G27" i="4" s="1"/>
  <c r="H27" i="4" s="1"/>
  <c r="CY27" i="4"/>
  <c r="CZ27" i="4"/>
  <c r="DA27" i="4"/>
  <c r="DC27" i="4"/>
  <c r="DF27" i="4"/>
  <c r="DG27" i="4"/>
  <c r="DM27" i="4"/>
  <c r="DN27" i="4"/>
  <c r="A28" i="4"/>
  <c r="B28" i="4"/>
  <c r="D23" i="10" s="1"/>
  <c r="F28" i="4"/>
  <c r="V28" i="4"/>
  <c r="DB28" i="4" s="1"/>
  <c r="CY28" i="4"/>
  <c r="DC28" i="4"/>
  <c r="DA28" i="4" s="1"/>
  <c r="DF28" i="4"/>
  <c r="DG28" i="4"/>
  <c r="DM28" i="4"/>
  <c r="DN28" i="4"/>
  <c r="A29" i="4"/>
  <c r="B29" i="4"/>
  <c r="D24" i="10" s="1"/>
  <c r="C29" i="4"/>
  <c r="I24" i="10" s="1"/>
  <c r="F29" i="4"/>
  <c r="M29" i="4"/>
  <c r="P29" i="4"/>
  <c r="G29" i="4" s="1"/>
  <c r="V29" i="4"/>
  <c r="DB29" i="4" s="1"/>
  <c r="CY29" i="4"/>
  <c r="DC29" i="4"/>
  <c r="DA29" i="4" s="1"/>
  <c r="DF29" i="4"/>
  <c r="DG29" i="4"/>
  <c r="DM29" i="4"/>
  <c r="DN29" i="4"/>
  <c r="A30" i="4"/>
  <c r="V30" i="4" s="1"/>
  <c r="B30" i="4"/>
  <c r="C30" i="4"/>
  <c r="I25" i="10" s="1"/>
  <c r="F30" i="4"/>
  <c r="M30" i="4"/>
  <c r="P30" i="4"/>
  <c r="G30" i="4" s="1"/>
  <c r="H30" i="4" s="1"/>
  <c r="CY30" i="4"/>
  <c r="DB30" i="4"/>
  <c r="DC30" i="4"/>
  <c r="DF30" i="4"/>
  <c r="DG30" i="4"/>
  <c r="DM30" i="4"/>
  <c r="DN30" i="4"/>
  <c r="A31" i="4"/>
  <c r="B31" i="4"/>
  <c r="F31" i="4"/>
  <c r="P31" i="4" s="1"/>
  <c r="G31" i="4" s="1"/>
  <c r="H31" i="4"/>
  <c r="I31" i="4"/>
  <c r="CY31" i="4"/>
  <c r="DA31" i="4"/>
  <c r="DC31" i="4"/>
  <c r="DF31" i="4"/>
  <c r="DG31" i="4"/>
  <c r="DM31" i="4"/>
  <c r="DN31" i="4"/>
  <c r="B32" i="4"/>
  <c r="D27" i="10" s="1"/>
  <c r="F32" i="4"/>
  <c r="CY32" i="4"/>
  <c r="C32" i="4" s="1"/>
  <c r="CZ32" i="4"/>
  <c r="DC32" i="4"/>
  <c r="DA32" i="4" s="1"/>
  <c r="DF32" i="4"/>
  <c r="DG32" i="4"/>
  <c r="DM32" i="4"/>
  <c r="DN32" i="4"/>
  <c r="A33" i="4"/>
  <c r="B33" i="4"/>
  <c r="D28" i="10" s="1"/>
  <c r="C33" i="4"/>
  <c r="I28" i="10" s="1"/>
  <c r="F33" i="4"/>
  <c r="M33" i="4"/>
  <c r="V33" i="4"/>
  <c r="DB33" i="4" s="1"/>
  <c r="CY33" i="4"/>
  <c r="DC33" i="4"/>
  <c r="DA33" i="4" s="1"/>
  <c r="DF33" i="4"/>
  <c r="DG33" i="4"/>
  <c r="DM33" i="4"/>
  <c r="DN33" i="4"/>
  <c r="A34" i="4"/>
  <c r="V34" i="4" s="1"/>
  <c r="DB34" i="4" s="1"/>
  <c r="B34" i="4"/>
  <c r="C34" i="4"/>
  <c r="I29" i="10" s="1"/>
  <c r="F34" i="4"/>
  <c r="M34" i="4"/>
  <c r="P34" i="4"/>
  <c r="G34" i="4" s="1"/>
  <c r="H34" i="4" s="1"/>
  <c r="CY34" i="4"/>
  <c r="DC34" i="4"/>
  <c r="DA34" i="4" s="1"/>
  <c r="DF34" i="4"/>
  <c r="DG34" i="4"/>
  <c r="DM34" i="4"/>
  <c r="DN34" i="4"/>
  <c r="A35" i="4"/>
  <c r="B35" i="4"/>
  <c r="F35" i="4"/>
  <c r="P35" i="4" s="1"/>
  <c r="G35" i="4" s="1"/>
  <c r="H35" i="4"/>
  <c r="I35" i="4"/>
  <c r="CY35" i="4"/>
  <c r="C35" i="4" s="1"/>
  <c r="I30" i="10" s="1"/>
  <c r="CZ35" i="4"/>
  <c r="DA35" i="4"/>
  <c r="DC35" i="4"/>
  <c r="DF35" i="4"/>
  <c r="DG35" i="4"/>
  <c r="DM35" i="4"/>
  <c r="DN35" i="4"/>
  <c r="A36" i="4"/>
  <c r="B36" i="4"/>
  <c r="D31" i="10" s="1"/>
  <c r="F36" i="4"/>
  <c r="V36" i="4"/>
  <c r="DB36" i="4" s="1"/>
  <c r="CY36" i="4"/>
  <c r="C36" i="4" s="1"/>
  <c r="I31" i="10" s="1"/>
  <c r="CZ36" i="4"/>
  <c r="DC36" i="4"/>
  <c r="DA36" i="4" s="1"/>
  <c r="DF36" i="4"/>
  <c r="DG36" i="4"/>
  <c r="DM36" i="4"/>
  <c r="DN36" i="4"/>
  <c r="A37" i="4"/>
  <c r="B37" i="4"/>
  <c r="D32" i="10" s="1"/>
  <c r="F37" i="4"/>
  <c r="M37" i="4"/>
  <c r="V37" i="4"/>
  <c r="DB37" i="4" s="1"/>
  <c r="CY37" i="4"/>
  <c r="DC37" i="4"/>
  <c r="DA37" i="4" s="1"/>
  <c r="DF37" i="4"/>
  <c r="DG37" i="4"/>
  <c r="DM37" i="4"/>
  <c r="DN37" i="4"/>
  <c r="A38" i="4"/>
  <c r="V38" i="4" s="1"/>
  <c r="DB38" i="4" s="1"/>
  <c r="B38" i="4"/>
  <c r="C38" i="4"/>
  <c r="I33" i="10" s="1"/>
  <c r="F38" i="4"/>
  <c r="M38" i="4"/>
  <c r="P38" i="4"/>
  <c r="G38" i="4" s="1"/>
  <c r="H38" i="4" s="1"/>
  <c r="CY38" i="4"/>
  <c r="CZ38" i="4" s="1"/>
  <c r="DC38" i="4"/>
  <c r="DA38" i="4" s="1"/>
  <c r="DF38" i="4"/>
  <c r="DG38" i="4"/>
  <c r="DM38" i="4"/>
  <c r="DN38" i="4"/>
  <c r="A39" i="4"/>
  <c r="B39" i="4"/>
  <c r="F39" i="4"/>
  <c r="P39" i="4" s="1"/>
  <c r="G39" i="4" s="1"/>
  <c r="CY39" i="4"/>
  <c r="DA39" i="4"/>
  <c r="DC39" i="4"/>
  <c r="DF39" i="4"/>
  <c r="DG39" i="4"/>
  <c r="DM39" i="4"/>
  <c r="DN39" i="4"/>
  <c r="A40" i="4"/>
  <c r="V40" i="4" s="1"/>
  <c r="DB40" i="4" s="1"/>
  <c r="B40" i="4"/>
  <c r="D35" i="10" s="1"/>
  <c r="F40" i="4"/>
  <c r="P40" i="4" s="1"/>
  <c r="G40" i="4"/>
  <c r="I40" i="4" s="1"/>
  <c r="H40" i="4"/>
  <c r="CY40" i="4"/>
  <c r="C40" i="4" s="1"/>
  <c r="I35" i="10" s="1"/>
  <c r="CZ40" i="4"/>
  <c r="DC40" i="4"/>
  <c r="DA40" i="4" s="1"/>
  <c r="DF40" i="4"/>
  <c r="DG40" i="4"/>
  <c r="DM40" i="4"/>
  <c r="DN40" i="4"/>
  <c r="A41" i="4"/>
  <c r="B41" i="4"/>
  <c r="D36" i="10" s="1"/>
  <c r="F41" i="4"/>
  <c r="M41" i="4"/>
  <c r="V41" i="4"/>
  <c r="DB41" i="4" s="1"/>
  <c r="CY41" i="4"/>
  <c r="DC41" i="4"/>
  <c r="DA41" i="4" s="1"/>
  <c r="DF41" i="4"/>
  <c r="DG41" i="4"/>
  <c r="DM41" i="4"/>
  <c r="DN41" i="4"/>
  <c r="A42" i="4"/>
  <c r="V42" i="4" s="1"/>
  <c r="B42" i="4"/>
  <c r="C42" i="4"/>
  <c r="I37" i="10" s="1"/>
  <c r="D42" i="4"/>
  <c r="E42" i="4" s="1"/>
  <c r="F42" i="4"/>
  <c r="M42" i="4"/>
  <c r="P42" i="4"/>
  <c r="G42" i="4" s="1"/>
  <c r="H42" i="4" s="1"/>
  <c r="CY42" i="4"/>
  <c r="CZ42" i="4" s="1"/>
  <c r="DA42" i="4"/>
  <c r="DB42" i="4"/>
  <c r="DC42" i="4"/>
  <c r="DF42" i="4"/>
  <c r="DG42" i="4"/>
  <c r="DM42" i="4"/>
  <c r="DN42" i="4"/>
  <c r="A43" i="4"/>
  <c r="B43" i="4"/>
  <c r="C43" i="4"/>
  <c r="I38" i="10" s="1"/>
  <c r="F43" i="4"/>
  <c r="P43" i="4" s="1"/>
  <c r="G43" i="4" s="1"/>
  <c r="H43" i="4"/>
  <c r="I43" i="4"/>
  <c r="CY43" i="4"/>
  <c r="CZ43" i="4"/>
  <c r="DA43" i="4"/>
  <c r="DC43" i="4"/>
  <c r="DF43" i="4"/>
  <c r="DG43" i="4"/>
  <c r="DI43" i="4"/>
  <c r="DM43" i="4"/>
  <c r="A44" i="4"/>
  <c r="F44" i="4"/>
  <c r="G44" i="4"/>
  <c r="H44" i="4"/>
  <c r="DH44" i="4" s="1"/>
  <c r="P44" i="4"/>
  <c r="V44" i="4"/>
  <c r="DB44" i="4" s="1"/>
  <c r="CY44" i="4"/>
  <c r="DA44" i="4"/>
  <c r="DC44" i="4"/>
  <c r="DF44" i="4"/>
  <c r="DG44" i="4"/>
  <c r="DR44" i="4"/>
  <c r="B44" i="4" s="1"/>
  <c r="A45" i="4"/>
  <c r="F45" i="4"/>
  <c r="P45" i="4" s="1"/>
  <c r="G45" i="4"/>
  <c r="V45" i="4"/>
  <c r="DB45" i="4" s="1"/>
  <c r="CY45" i="4"/>
  <c r="DC45" i="4"/>
  <c r="DF45" i="4"/>
  <c r="DG45" i="4"/>
  <c r="A46" i="4"/>
  <c r="F46" i="4"/>
  <c r="P46" i="4" s="1"/>
  <c r="G46" i="4"/>
  <c r="H46" i="4"/>
  <c r="DH46" i="4" s="1"/>
  <c r="R46" i="4"/>
  <c r="CY46" i="4"/>
  <c r="C46" i="4" s="1"/>
  <c r="I41" i="10" s="1"/>
  <c r="CZ46" i="4"/>
  <c r="DC46" i="4"/>
  <c r="DF46" i="4"/>
  <c r="DG46" i="4"/>
  <c r="DI46" i="4"/>
  <c r="DR46" i="4"/>
  <c r="B46" i="4" s="1"/>
  <c r="A47" i="4"/>
  <c r="F47" i="4"/>
  <c r="V47" i="4"/>
  <c r="DB47" i="4" s="1"/>
  <c r="CY47" i="4"/>
  <c r="C47" i="4" s="1"/>
  <c r="I42" i="10" s="1"/>
  <c r="DC47" i="4"/>
  <c r="DF47" i="4"/>
  <c r="DG47" i="4"/>
  <c r="DR47" i="4"/>
  <c r="B47" i="4" s="1"/>
  <c r="A48" i="4"/>
  <c r="F48" i="4"/>
  <c r="CY48" i="4"/>
  <c r="C48" i="4" s="1"/>
  <c r="I43" i="10" s="1"/>
  <c r="DC48" i="4"/>
  <c r="DF48" i="4"/>
  <c r="DG48" i="4"/>
  <c r="DR48" i="4"/>
  <c r="B48" i="4" s="1"/>
  <c r="A49" i="4"/>
  <c r="D49" i="4"/>
  <c r="F49" i="4"/>
  <c r="M49" i="4"/>
  <c r="V49" i="4"/>
  <c r="DB49" i="4" s="1"/>
  <c r="CY49" i="4"/>
  <c r="C49" i="4" s="1"/>
  <c r="CZ49" i="4"/>
  <c r="DC49" i="4"/>
  <c r="DF49" i="4"/>
  <c r="DG49" i="4"/>
  <c r="DR49" i="4"/>
  <c r="B49" i="4" s="1"/>
  <c r="A50" i="4"/>
  <c r="D50" i="4"/>
  <c r="F50" i="4"/>
  <c r="CY50" i="4"/>
  <c r="C50" i="4" s="1"/>
  <c r="I45" i="10" s="1"/>
  <c r="CZ50" i="4"/>
  <c r="DC50" i="4"/>
  <c r="DF50" i="4"/>
  <c r="DG50" i="4"/>
  <c r="DR50" i="4"/>
  <c r="B50" i="4" s="1"/>
  <c r="A51" i="4"/>
  <c r="D51" i="4"/>
  <c r="F51" i="4"/>
  <c r="P51" i="4" s="1"/>
  <c r="G51" i="4"/>
  <c r="H51" i="4"/>
  <c r="M51" i="4"/>
  <c r="V51" i="4"/>
  <c r="DB51" i="4" s="1"/>
  <c r="CY51" i="4"/>
  <c r="DC51" i="4"/>
  <c r="DF51" i="4"/>
  <c r="DG51" i="4"/>
  <c r="DI51" i="4"/>
  <c r="F52" i="4"/>
  <c r="P52" i="4" s="1"/>
  <c r="G52" i="4"/>
  <c r="CY52" i="4"/>
  <c r="C52" i="4" s="1"/>
  <c r="CZ52" i="4"/>
  <c r="DC52" i="4"/>
  <c r="DF52" i="4"/>
  <c r="DG52" i="4"/>
  <c r="A53" i="4"/>
  <c r="D53" i="4"/>
  <c r="F53" i="4"/>
  <c r="P53" i="4" s="1"/>
  <c r="G53" i="4" s="1"/>
  <c r="H53" i="4"/>
  <c r="Q49" i="7" s="1"/>
  <c r="M53" i="4"/>
  <c r="V53" i="4"/>
  <c r="DB53" i="4" s="1"/>
  <c r="CY53" i="4"/>
  <c r="C53" i="4" s="1"/>
  <c r="CZ53" i="4"/>
  <c r="DC53" i="4"/>
  <c r="DF53" i="4"/>
  <c r="DG53" i="4"/>
  <c r="A54" i="4"/>
  <c r="F54" i="4"/>
  <c r="P54" i="4" s="1"/>
  <c r="G54" i="4"/>
  <c r="H54" i="4"/>
  <c r="M54" i="4"/>
  <c r="V54" i="4"/>
  <c r="DB54" i="4" s="1"/>
  <c r="CY54" i="4"/>
  <c r="DC54" i="4"/>
  <c r="DF54" i="4"/>
  <c r="DG54" i="4"/>
  <c r="A55" i="4"/>
  <c r="F55" i="4"/>
  <c r="P55" i="4" s="1"/>
  <c r="G55" i="4"/>
  <c r="H55" i="4"/>
  <c r="CY55" i="4"/>
  <c r="C55" i="4" s="1"/>
  <c r="CZ55" i="4"/>
  <c r="DC55" i="4"/>
  <c r="DF55" i="4"/>
  <c r="DG55" i="4"/>
  <c r="DR55" i="4"/>
  <c r="B55" i="4" s="1"/>
  <c r="A56" i="4"/>
  <c r="D56" i="4"/>
  <c r="F56" i="4"/>
  <c r="P56" i="4" s="1"/>
  <c r="G56" i="4"/>
  <c r="I56" i="4" s="1"/>
  <c r="M56" i="4"/>
  <c r="V56" i="4"/>
  <c r="DB56" i="4" s="1"/>
  <c r="CY56" i="4"/>
  <c r="C56" i="4" s="1"/>
  <c r="I51" i="10" s="1"/>
  <c r="CZ56" i="4"/>
  <c r="DC56" i="4"/>
  <c r="DF56" i="4"/>
  <c r="DG56" i="4"/>
  <c r="DR56" i="4"/>
  <c r="B56" i="4" s="1"/>
  <c r="A57" i="4"/>
  <c r="D57" i="4" s="1"/>
  <c r="F57" i="4"/>
  <c r="M57" i="4"/>
  <c r="V57" i="4"/>
  <c r="CY57" i="4"/>
  <c r="C57" i="4" s="1"/>
  <c r="A58" i="4"/>
  <c r="C58" i="4"/>
  <c r="D58" i="4"/>
  <c r="F58" i="4"/>
  <c r="J58" i="4"/>
  <c r="M58" i="4"/>
  <c r="V58" i="4"/>
  <c r="CY58" i="4"/>
  <c r="CZ58" i="4"/>
  <c r="DR58" i="4"/>
  <c r="A59" i="4"/>
  <c r="V59" i="4" s="1"/>
  <c r="B59" i="4"/>
  <c r="I59" i="4" s="1"/>
  <c r="K59" i="4" s="1"/>
  <c r="D59" i="4"/>
  <c r="E59" i="4"/>
  <c r="F59" i="4"/>
  <c r="H59" i="4"/>
  <c r="R59" i="4" s="1"/>
  <c r="J59" i="4"/>
  <c r="M59" i="4"/>
  <c r="P59" i="4"/>
  <c r="G59" i="4" s="1"/>
  <c r="CY59" i="4"/>
  <c r="C59" i="4" s="1"/>
  <c r="CZ59" i="4"/>
  <c r="DR59" i="4"/>
  <c r="DR59" i="5" s="1"/>
  <c r="B59" i="5" s="1"/>
  <c r="A60" i="4"/>
  <c r="V60" i="4" s="1"/>
  <c r="B60" i="4"/>
  <c r="F60" i="4"/>
  <c r="CY60" i="4"/>
  <c r="DR60" i="4"/>
  <c r="DR60" i="5" s="1"/>
  <c r="B60" i="5" s="1"/>
  <c r="B69" i="4"/>
  <c r="C69" i="4"/>
  <c r="D69" i="4"/>
  <c r="E69" i="4"/>
  <c r="F69" i="4"/>
  <c r="G69" i="4"/>
  <c r="H69" i="4"/>
  <c r="I69" i="4"/>
  <c r="J69" i="4"/>
  <c r="K69" i="4"/>
  <c r="V69" i="4"/>
  <c r="W69" i="4"/>
  <c r="X69" i="4"/>
  <c r="Y69" i="4"/>
  <c r="Z69" i="4"/>
  <c r="AA69" i="4"/>
  <c r="AB69" i="4"/>
  <c r="AC69" i="4"/>
  <c r="AD69" i="4"/>
  <c r="AE69" i="4"/>
  <c r="AP69" i="4"/>
  <c r="L70" i="4"/>
  <c r="M70" i="4"/>
  <c r="N70" i="4"/>
  <c r="O70" i="4"/>
  <c r="P70" i="4"/>
  <c r="Q70" i="4"/>
  <c r="R70" i="4"/>
  <c r="S70" i="4"/>
  <c r="T70" i="4"/>
  <c r="U70" i="4"/>
  <c r="AF70" i="4"/>
  <c r="AG70" i="4"/>
  <c r="AH70" i="4"/>
  <c r="AK70" i="4"/>
  <c r="AL70" i="4"/>
  <c r="AM70" i="4"/>
  <c r="AN70" i="4"/>
  <c r="AO70" i="4"/>
  <c r="B5" i="6"/>
  <c r="B6" i="6"/>
  <c r="A12" i="6"/>
  <c r="B12" i="6"/>
  <c r="C12" i="6"/>
  <c r="K7" i="10" s="1"/>
  <c r="F12" i="6"/>
  <c r="P12" i="6"/>
  <c r="G12" i="6" s="1"/>
  <c r="CY12" i="6"/>
  <c r="CZ12" i="6"/>
  <c r="DC12" i="6"/>
  <c r="DA12" i="6" s="1"/>
  <c r="DF12" i="6"/>
  <c r="DG12" i="6"/>
  <c r="DN12" i="6"/>
  <c r="A13" i="6"/>
  <c r="V13" i="6" s="1"/>
  <c r="DB13" i="6" s="1"/>
  <c r="B13" i="6"/>
  <c r="F13" i="6"/>
  <c r="P13" i="6"/>
  <c r="G13" i="6" s="1"/>
  <c r="H13" i="6" s="1"/>
  <c r="CY13" i="6"/>
  <c r="C13" i="6" s="1"/>
  <c r="K8" i="10" s="1"/>
  <c r="DA13" i="6"/>
  <c r="DC13" i="6"/>
  <c r="DF13" i="6"/>
  <c r="DG13" i="6"/>
  <c r="DI13" i="6"/>
  <c r="DN13" i="6"/>
  <c r="A14" i="6"/>
  <c r="M14" i="6" s="1"/>
  <c r="B14" i="6"/>
  <c r="F14" i="6"/>
  <c r="P14" i="6" s="1"/>
  <c r="G14" i="6" s="1"/>
  <c r="H14" i="6"/>
  <c r="R14" i="6" s="1"/>
  <c r="V14" i="6"/>
  <c r="DB14" i="6" s="1"/>
  <c r="CY14" i="6"/>
  <c r="DA14" i="6"/>
  <c r="DC14" i="6"/>
  <c r="DF14" i="6"/>
  <c r="DG14" i="6"/>
  <c r="DH14" i="6"/>
  <c r="J14" i="6" s="1"/>
  <c r="U9" i="10" s="1"/>
  <c r="X7" i="8" s="1"/>
  <c r="DI14" i="6"/>
  <c r="DN14" i="6"/>
  <c r="A15" i="6"/>
  <c r="B15" i="6"/>
  <c r="C15" i="6"/>
  <c r="K10" i="10" s="1"/>
  <c r="F15" i="6"/>
  <c r="P15" i="6" s="1"/>
  <c r="G15" i="6" s="1"/>
  <c r="H15" i="6"/>
  <c r="I15" i="6"/>
  <c r="P10" i="10" s="1"/>
  <c r="W8" i="8" s="1"/>
  <c r="V15" i="6"/>
  <c r="DB15" i="6" s="1"/>
  <c r="CY15" i="6"/>
  <c r="CZ15" i="6" s="1"/>
  <c r="DA15" i="6"/>
  <c r="DC15" i="6"/>
  <c r="DF15" i="6"/>
  <c r="DG15" i="6"/>
  <c r="DH15" i="6"/>
  <c r="DN15" i="6"/>
  <c r="A16" i="6"/>
  <c r="V16" i="6" s="1"/>
  <c r="B16" i="6"/>
  <c r="F11" i="10" s="1"/>
  <c r="F16" i="6"/>
  <c r="L16" i="6"/>
  <c r="CY16" i="6"/>
  <c r="C16" i="6" s="1"/>
  <c r="K11" i="10" s="1"/>
  <c r="V9" i="8" s="1"/>
  <c r="F8" i="7" s="1"/>
  <c r="I8" i="7" s="1"/>
  <c r="CZ16" i="6"/>
  <c r="DB16" i="6"/>
  <c r="DC16" i="6"/>
  <c r="DA16" i="6" s="1"/>
  <c r="DF16" i="6"/>
  <c r="DG16" i="6"/>
  <c r="DN16" i="6"/>
  <c r="B17" i="6"/>
  <c r="C17" i="6"/>
  <c r="K12" i="10" s="1"/>
  <c r="F17" i="6"/>
  <c r="P17" i="6"/>
  <c r="G17" i="6" s="1"/>
  <c r="H17" i="6" s="1"/>
  <c r="CY17" i="6"/>
  <c r="DC17" i="6"/>
  <c r="DA17" i="6" s="1"/>
  <c r="DF17" i="6"/>
  <c r="DG17" i="6"/>
  <c r="DN17" i="6"/>
  <c r="A18" i="6"/>
  <c r="B18" i="6"/>
  <c r="C18" i="6"/>
  <c r="K13" i="10" s="1"/>
  <c r="F18" i="6"/>
  <c r="M18" i="6"/>
  <c r="V18" i="6"/>
  <c r="DB18" i="6" s="1"/>
  <c r="CY18" i="6"/>
  <c r="CZ18" i="6"/>
  <c r="DA18" i="6"/>
  <c r="DC18" i="6"/>
  <c r="DF18" i="6"/>
  <c r="DG18" i="6"/>
  <c r="DN18" i="6"/>
  <c r="A19" i="6"/>
  <c r="B19" i="6"/>
  <c r="F14" i="10" s="1"/>
  <c r="C19" i="6"/>
  <c r="K14" i="10" s="1"/>
  <c r="F19" i="6"/>
  <c r="P19" i="6" s="1"/>
  <c r="G19" i="6" s="1"/>
  <c r="I19" i="6" s="1"/>
  <c r="P14" i="10" s="1"/>
  <c r="W12" i="8" s="1"/>
  <c r="CY19" i="6"/>
  <c r="CZ19" i="6"/>
  <c r="DA19" i="6"/>
  <c r="DC19" i="6"/>
  <c r="DF19" i="6"/>
  <c r="DG19" i="6"/>
  <c r="DN19" i="6"/>
  <c r="A20" i="6"/>
  <c r="M20" i="6" s="1"/>
  <c r="B20" i="6"/>
  <c r="F20" i="6"/>
  <c r="P20" i="6"/>
  <c r="G20" i="6" s="1"/>
  <c r="H20" i="6" s="1"/>
  <c r="V20" i="6"/>
  <c r="DB20" i="6" s="1"/>
  <c r="CY20" i="6"/>
  <c r="DA20" i="6"/>
  <c r="DC20" i="6"/>
  <c r="DF20" i="6"/>
  <c r="DG20" i="6"/>
  <c r="DN20" i="6"/>
  <c r="A21" i="6"/>
  <c r="M21" i="6" s="1"/>
  <c r="B21" i="6"/>
  <c r="F16" i="10" s="1"/>
  <c r="F21" i="6"/>
  <c r="P21" i="6" s="1"/>
  <c r="G21" i="6" s="1"/>
  <c r="H21" i="6" s="1"/>
  <c r="I21" i="6"/>
  <c r="R21" i="6"/>
  <c r="V21" i="6"/>
  <c r="DB21" i="6" s="1"/>
  <c r="CY21" i="6"/>
  <c r="DA21" i="6"/>
  <c r="DC21" i="6"/>
  <c r="DF21" i="6"/>
  <c r="DG21" i="6"/>
  <c r="DH21" i="6"/>
  <c r="DI21" i="6"/>
  <c r="DN21" i="6"/>
  <c r="A22" i="6"/>
  <c r="B22" i="6"/>
  <c r="F17" i="10" s="1"/>
  <c r="F22" i="6"/>
  <c r="P22" i="6" s="1"/>
  <c r="G22" i="6"/>
  <c r="H22" i="6"/>
  <c r="I22" i="6"/>
  <c r="V22" i="6"/>
  <c r="DB22" i="6" s="1"/>
  <c r="CY22" i="6"/>
  <c r="C22" i="6" s="1"/>
  <c r="K17" i="10" s="1"/>
  <c r="DA22" i="6"/>
  <c r="DC22" i="6"/>
  <c r="DF22" i="6"/>
  <c r="DG22" i="6"/>
  <c r="DH22" i="6"/>
  <c r="DN22" i="6"/>
  <c r="A23" i="6"/>
  <c r="B23" i="6"/>
  <c r="F23" i="6"/>
  <c r="G23" i="6"/>
  <c r="I23" i="6" s="1"/>
  <c r="M23" i="6"/>
  <c r="P23" i="6"/>
  <c r="CY23" i="6"/>
  <c r="C23" i="6" s="1"/>
  <c r="K18" i="10" s="1"/>
  <c r="DC23" i="6"/>
  <c r="CZ23" i="6" s="1"/>
  <c r="DF23" i="6"/>
  <c r="DG23" i="6"/>
  <c r="DM23" i="6"/>
  <c r="DN23" i="6"/>
  <c r="B24" i="6"/>
  <c r="C24" i="6"/>
  <c r="K19" i="10" s="1"/>
  <c r="F24" i="6"/>
  <c r="H24" i="6"/>
  <c r="P24" i="6"/>
  <c r="G24" i="6" s="1"/>
  <c r="CY24" i="6"/>
  <c r="DC24" i="6"/>
  <c r="DA24" i="6" s="1"/>
  <c r="DF24" i="6"/>
  <c r="DG24" i="6"/>
  <c r="DM24" i="6"/>
  <c r="DN24" i="6"/>
  <c r="A25" i="6"/>
  <c r="V25" i="6" s="1"/>
  <c r="DB25" i="6" s="1"/>
  <c r="B25" i="6"/>
  <c r="C25" i="6"/>
  <c r="K20" i="10" s="1"/>
  <c r="F25" i="6"/>
  <c r="M25" i="6"/>
  <c r="P25" i="6"/>
  <c r="G25" i="6" s="1"/>
  <c r="CY25" i="6"/>
  <c r="CZ25" i="6" s="1"/>
  <c r="DA25" i="6"/>
  <c r="DC25" i="6"/>
  <c r="DF25" i="6"/>
  <c r="DG25" i="6"/>
  <c r="DM25" i="6"/>
  <c r="DN25" i="6"/>
  <c r="A26" i="6"/>
  <c r="B26" i="6"/>
  <c r="C26" i="6"/>
  <c r="K21" i="10" s="1"/>
  <c r="F26" i="6"/>
  <c r="M26" i="6"/>
  <c r="V26" i="6"/>
  <c r="DB26" i="6" s="1"/>
  <c r="CY26" i="6"/>
  <c r="DC26" i="6"/>
  <c r="DF26" i="6"/>
  <c r="DG26" i="6"/>
  <c r="DM26" i="6"/>
  <c r="DN26" i="6"/>
  <c r="A27" i="6"/>
  <c r="V27" i="6" s="1"/>
  <c r="DB27" i="6" s="1"/>
  <c r="B27" i="6"/>
  <c r="F27" i="6"/>
  <c r="M27" i="6"/>
  <c r="P27" i="6"/>
  <c r="G27" i="6" s="1"/>
  <c r="CY27" i="6"/>
  <c r="C27" i="6" s="1"/>
  <c r="K22" i="10" s="1"/>
  <c r="DC27" i="6"/>
  <c r="DF27" i="6"/>
  <c r="DG27" i="6"/>
  <c r="DM27" i="6"/>
  <c r="DN27" i="6"/>
  <c r="A28" i="6"/>
  <c r="B28" i="6"/>
  <c r="C28" i="6"/>
  <c r="K23" i="10" s="1"/>
  <c r="F28" i="6"/>
  <c r="M28" i="6"/>
  <c r="V28" i="6"/>
  <c r="DB28" i="6" s="1"/>
  <c r="CY28" i="6"/>
  <c r="DC28" i="6"/>
  <c r="DA28" i="6" s="1"/>
  <c r="DF28" i="6"/>
  <c r="DG28" i="6"/>
  <c r="DM28" i="6"/>
  <c r="DN28" i="6"/>
  <c r="A29" i="6"/>
  <c r="V29" i="6" s="1"/>
  <c r="B29" i="6"/>
  <c r="C29" i="6"/>
  <c r="K24" i="10" s="1"/>
  <c r="F29" i="6"/>
  <c r="M29" i="6"/>
  <c r="P29" i="6"/>
  <c r="G29" i="6" s="1"/>
  <c r="CY29" i="6"/>
  <c r="CZ29" i="6" s="1"/>
  <c r="DB29" i="6"/>
  <c r="DC29" i="6"/>
  <c r="DA29" i="6" s="1"/>
  <c r="DF29" i="6"/>
  <c r="DG29" i="6"/>
  <c r="DM29" i="6"/>
  <c r="DN29" i="6"/>
  <c r="A30" i="6"/>
  <c r="B30" i="6"/>
  <c r="F30" i="6"/>
  <c r="P30" i="6" s="1"/>
  <c r="G30" i="6"/>
  <c r="I30" i="6" s="1"/>
  <c r="H30" i="6"/>
  <c r="DI30" i="6" s="1"/>
  <c r="M30" i="6"/>
  <c r="V30" i="6"/>
  <c r="DB30" i="6" s="1"/>
  <c r="CY30" i="6"/>
  <c r="C30" i="6" s="1"/>
  <c r="K25" i="10" s="1"/>
  <c r="DA30" i="6"/>
  <c r="DC30" i="6"/>
  <c r="DF30" i="6"/>
  <c r="DG30" i="6"/>
  <c r="DH30" i="6"/>
  <c r="J30" i="6" s="1"/>
  <c r="U25" i="10" s="1"/>
  <c r="X23" i="8" s="1"/>
  <c r="DM30" i="6"/>
  <c r="DN30" i="6"/>
  <c r="A31" i="6"/>
  <c r="M31" i="6" s="1"/>
  <c r="B31" i="6"/>
  <c r="F26" i="10" s="1"/>
  <c r="F31" i="6"/>
  <c r="V31" i="6"/>
  <c r="DB31" i="6" s="1"/>
  <c r="CY31" i="6"/>
  <c r="C31" i="6" s="1"/>
  <c r="K26" i="10" s="1"/>
  <c r="V24" i="8" s="1"/>
  <c r="F23" i="7" s="1"/>
  <c r="DC31" i="6"/>
  <c r="DA31" i="6" s="1"/>
  <c r="DF31" i="6"/>
  <c r="DG31" i="6"/>
  <c r="DM31" i="6"/>
  <c r="DN31" i="6"/>
  <c r="B32" i="6"/>
  <c r="F32" i="6"/>
  <c r="P32" i="6" s="1"/>
  <c r="G32" i="6" s="1"/>
  <c r="CY32" i="6"/>
  <c r="DA32" i="6"/>
  <c r="DC32" i="6"/>
  <c r="DF32" i="6"/>
  <c r="DG32" i="6"/>
  <c r="DM32" i="6"/>
  <c r="DN32" i="6"/>
  <c r="A33" i="6"/>
  <c r="B33" i="6"/>
  <c r="F28" i="10" s="1"/>
  <c r="F33" i="6"/>
  <c r="P33" i="6" s="1"/>
  <c r="G33" i="6" s="1"/>
  <c r="H33" i="6"/>
  <c r="DH33" i="6" s="1"/>
  <c r="I33" i="6"/>
  <c r="R33" i="6"/>
  <c r="CY33" i="6"/>
  <c r="C33" i="6" s="1"/>
  <c r="K28" i="10" s="1"/>
  <c r="DA33" i="6"/>
  <c r="DC33" i="6"/>
  <c r="DF33" i="6"/>
  <c r="DG33" i="6"/>
  <c r="DM33" i="6"/>
  <c r="DN33" i="6"/>
  <c r="A34" i="6"/>
  <c r="B34" i="6"/>
  <c r="F34" i="6"/>
  <c r="P34" i="6" s="1"/>
  <c r="G34" i="6"/>
  <c r="I34" i="6" s="1"/>
  <c r="CY34" i="6"/>
  <c r="C34" i="6" s="1"/>
  <c r="K29" i="10" s="1"/>
  <c r="DC34" i="6"/>
  <c r="CZ34" i="6" s="1"/>
  <c r="DF34" i="6"/>
  <c r="DG34" i="6"/>
  <c r="DM34" i="6"/>
  <c r="DN34" i="6"/>
  <c r="A35" i="6"/>
  <c r="B35" i="6"/>
  <c r="F35" i="6"/>
  <c r="G35" i="6"/>
  <c r="H35" i="6" s="1"/>
  <c r="P35" i="6"/>
  <c r="CY35" i="6"/>
  <c r="C35" i="6" s="1"/>
  <c r="K30" i="10" s="1"/>
  <c r="DA35" i="6"/>
  <c r="DC35" i="6"/>
  <c r="DF35" i="6"/>
  <c r="DG35" i="6"/>
  <c r="DM35" i="6"/>
  <c r="DN35" i="6"/>
  <c r="A36" i="6"/>
  <c r="B36" i="6"/>
  <c r="C36" i="6"/>
  <c r="K31" i="10" s="1"/>
  <c r="F36" i="6"/>
  <c r="G36" i="6"/>
  <c r="H36" i="6" s="1"/>
  <c r="M36" i="6"/>
  <c r="P36" i="6"/>
  <c r="V36" i="6"/>
  <c r="CY36" i="6"/>
  <c r="CZ36" i="6" s="1"/>
  <c r="DB36" i="6"/>
  <c r="DC36" i="6"/>
  <c r="DA36" i="6" s="1"/>
  <c r="DF36" i="6"/>
  <c r="DG36" i="6"/>
  <c r="DM36" i="6"/>
  <c r="DN36" i="6"/>
  <c r="A37" i="6"/>
  <c r="B37" i="6"/>
  <c r="F37" i="6"/>
  <c r="G37" i="6"/>
  <c r="H37" i="6"/>
  <c r="I37" i="6"/>
  <c r="P37" i="6"/>
  <c r="CY37" i="6"/>
  <c r="C37" i="6" s="1"/>
  <c r="K32" i="10" s="1"/>
  <c r="CZ37" i="6"/>
  <c r="DA37" i="6"/>
  <c r="DC37" i="6"/>
  <c r="DF37" i="6"/>
  <c r="DG37" i="6"/>
  <c r="DM37" i="6"/>
  <c r="DN37" i="6"/>
  <c r="A38" i="6"/>
  <c r="B38" i="6"/>
  <c r="F33" i="10" s="1"/>
  <c r="F38" i="6"/>
  <c r="I38" i="6"/>
  <c r="P38" i="6"/>
  <c r="G38" i="6" s="1"/>
  <c r="H38" i="6" s="1"/>
  <c r="R38" i="6"/>
  <c r="V38" i="6"/>
  <c r="DB38" i="6" s="1"/>
  <c r="CY38" i="6"/>
  <c r="C38" i="6" s="1"/>
  <c r="K33" i="10" s="1"/>
  <c r="DA38" i="6"/>
  <c r="DC38" i="6"/>
  <c r="DF38" i="6"/>
  <c r="DG38" i="6"/>
  <c r="DH38" i="6"/>
  <c r="DI38" i="6"/>
  <c r="DM38" i="6"/>
  <c r="DN38" i="6"/>
  <c r="A39" i="6"/>
  <c r="B39" i="6"/>
  <c r="F34" i="10" s="1"/>
  <c r="C39" i="6"/>
  <c r="K34" i="10" s="1"/>
  <c r="F39" i="6"/>
  <c r="M39" i="6"/>
  <c r="V39" i="6"/>
  <c r="CY39" i="6"/>
  <c r="DB39" i="6"/>
  <c r="DC39" i="6"/>
  <c r="DF39" i="6"/>
  <c r="DG39" i="6"/>
  <c r="DM39" i="6"/>
  <c r="DN39" i="6"/>
  <c r="A40" i="6"/>
  <c r="B40" i="6"/>
  <c r="C40" i="6"/>
  <c r="K35" i="10" s="1"/>
  <c r="F40" i="6"/>
  <c r="I40" i="6"/>
  <c r="P35" i="10" s="1"/>
  <c r="W33" i="8" s="1"/>
  <c r="M40" i="6"/>
  <c r="P40" i="6"/>
  <c r="G40" i="6" s="1"/>
  <c r="CY40" i="6"/>
  <c r="DC40" i="6"/>
  <c r="DF40" i="6"/>
  <c r="DG40" i="6"/>
  <c r="DM40" i="6"/>
  <c r="DN40" i="6"/>
  <c r="A41" i="6"/>
  <c r="B41" i="6"/>
  <c r="C41" i="6"/>
  <c r="K36" i="10" s="1"/>
  <c r="F41" i="6"/>
  <c r="G41" i="6"/>
  <c r="I41" i="6" s="1"/>
  <c r="H41" i="6"/>
  <c r="R41" i="6" s="1"/>
  <c r="P41" i="6"/>
  <c r="V41" i="6"/>
  <c r="DB41" i="6" s="1"/>
  <c r="CY41" i="6"/>
  <c r="CZ41" i="6" s="1"/>
  <c r="DA41" i="6"/>
  <c r="DC41" i="6"/>
  <c r="DF41" i="6"/>
  <c r="DG41" i="6"/>
  <c r="DH41" i="6"/>
  <c r="DI41" i="6"/>
  <c r="DM41" i="6"/>
  <c r="DN41" i="6"/>
  <c r="A42" i="6"/>
  <c r="B42" i="6"/>
  <c r="F37" i="10" s="1"/>
  <c r="F42" i="6"/>
  <c r="G42" i="6"/>
  <c r="H42" i="6"/>
  <c r="I42" i="6"/>
  <c r="P42" i="6"/>
  <c r="CY42" i="6"/>
  <c r="C42" i="6" s="1"/>
  <c r="K37" i="10" s="1"/>
  <c r="CZ42" i="6"/>
  <c r="DA42" i="6"/>
  <c r="DC42" i="6"/>
  <c r="DF42" i="6"/>
  <c r="DG42" i="6"/>
  <c r="DM42" i="6"/>
  <c r="DN42" i="6"/>
  <c r="A43" i="6"/>
  <c r="B43" i="6"/>
  <c r="F38" i="10" s="1"/>
  <c r="C43" i="6"/>
  <c r="D43" i="6"/>
  <c r="F43" i="6"/>
  <c r="M43" i="6"/>
  <c r="P43" i="6"/>
  <c r="G43" i="6" s="1"/>
  <c r="I43" i="6" s="1"/>
  <c r="V43" i="6"/>
  <c r="DB43" i="6" s="1"/>
  <c r="CY43" i="6"/>
  <c r="DC43" i="6"/>
  <c r="DD43" i="6"/>
  <c r="DF43" i="6"/>
  <c r="DG43" i="6"/>
  <c r="DM43" i="6"/>
  <c r="A44" i="6"/>
  <c r="C44" i="6"/>
  <c r="F44" i="6"/>
  <c r="H44" i="6" s="1"/>
  <c r="P44" i="6"/>
  <c r="G44" i="6" s="1"/>
  <c r="CY44" i="6"/>
  <c r="DC44" i="6"/>
  <c r="CZ44" i="6" s="1"/>
  <c r="DD44" i="6"/>
  <c r="DF44" i="6"/>
  <c r="DG44" i="6"/>
  <c r="A45" i="6"/>
  <c r="F45" i="6"/>
  <c r="G45" i="6"/>
  <c r="H45" i="6" s="1"/>
  <c r="P45" i="6"/>
  <c r="CY45" i="6"/>
  <c r="CZ45" i="6" s="1"/>
  <c r="DC45" i="6"/>
  <c r="DD45" i="6"/>
  <c r="A46" i="6"/>
  <c r="C46" i="6"/>
  <c r="D46" i="6"/>
  <c r="F46" i="6"/>
  <c r="M46" i="6"/>
  <c r="P46" i="6"/>
  <c r="G46" i="6" s="1"/>
  <c r="V46" i="6"/>
  <c r="CY46" i="6"/>
  <c r="CZ46" i="6" s="1"/>
  <c r="DB46" i="6"/>
  <c r="DC46" i="6"/>
  <c r="DD46" i="6"/>
  <c r="DR46" i="6"/>
  <c r="B46" i="6" s="1"/>
  <c r="A47" i="6"/>
  <c r="V47" i="6" s="1"/>
  <c r="DB47" i="6" s="1"/>
  <c r="F47" i="6"/>
  <c r="CY47" i="6"/>
  <c r="C47" i="6" s="1"/>
  <c r="CZ47" i="6"/>
  <c r="DC47" i="6"/>
  <c r="DD47" i="6"/>
  <c r="A48" i="6"/>
  <c r="D48" i="6"/>
  <c r="F48" i="6"/>
  <c r="P48" i="6" s="1"/>
  <c r="G48" i="6" s="1"/>
  <c r="H48" i="6" s="1"/>
  <c r="M48" i="6"/>
  <c r="CY48" i="6"/>
  <c r="C48" i="6" s="1"/>
  <c r="CZ48" i="6"/>
  <c r="DC48" i="6"/>
  <c r="DD48" i="6"/>
  <c r="A49" i="6"/>
  <c r="C49" i="6"/>
  <c r="D49" i="6"/>
  <c r="E49" i="6"/>
  <c r="F49" i="6"/>
  <c r="M49" i="6"/>
  <c r="V49" i="6"/>
  <c r="DB49" i="6" s="1"/>
  <c r="CY49" i="6"/>
  <c r="DC49" i="6"/>
  <c r="CZ49" i="6" s="1"/>
  <c r="DD49" i="6"/>
  <c r="DR49" i="6"/>
  <c r="B49" i="6" s="1"/>
  <c r="A50" i="6"/>
  <c r="F50" i="6"/>
  <c r="P50" i="6" s="1"/>
  <c r="G50" i="6"/>
  <c r="H50" i="6"/>
  <c r="R50" i="6" s="1"/>
  <c r="V50" i="6"/>
  <c r="CY50" i="6"/>
  <c r="C50" i="6" s="1"/>
  <c r="DB50" i="6"/>
  <c r="DC50" i="6"/>
  <c r="DD50" i="6"/>
  <c r="A51" i="6"/>
  <c r="C51" i="6"/>
  <c r="F51" i="6"/>
  <c r="H51" i="6" s="1"/>
  <c r="R51" i="6" s="1"/>
  <c r="J51" i="6"/>
  <c r="U46" i="10" s="1"/>
  <c r="X48" i="8" s="1"/>
  <c r="P51" i="6"/>
  <c r="G51" i="6" s="1"/>
  <c r="CY51" i="6"/>
  <c r="DC51" i="6"/>
  <c r="CZ51" i="6" s="1"/>
  <c r="DD51" i="6"/>
  <c r="DR51" i="6"/>
  <c r="B51" i="6" s="1"/>
  <c r="F52" i="6"/>
  <c r="H52" i="6"/>
  <c r="R52" i="6" s="1"/>
  <c r="P52" i="6"/>
  <c r="G52" i="6" s="1"/>
  <c r="CY52" i="6"/>
  <c r="DC52" i="6"/>
  <c r="DD52" i="6"/>
  <c r="A53" i="6"/>
  <c r="V53" i="6" s="1"/>
  <c r="DB53" i="6" s="1"/>
  <c r="C53" i="6"/>
  <c r="F53" i="6"/>
  <c r="G53" i="6"/>
  <c r="H53" i="6"/>
  <c r="R53" i="6" s="1"/>
  <c r="P53" i="6"/>
  <c r="CY53" i="6"/>
  <c r="CZ53" i="6" s="1"/>
  <c r="DC53" i="6"/>
  <c r="DD53" i="6"/>
  <c r="A54" i="6"/>
  <c r="B54" i="6"/>
  <c r="C54" i="6"/>
  <c r="K49" i="10" s="1"/>
  <c r="F54" i="6"/>
  <c r="M54" i="6"/>
  <c r="P54" i="6"/>
  <c r="G54" i="6" s="1"/>
  <c r="V54" i="6"/>
  <c r="CY54" i="6"/>
  <c r="DB54" i="6"/>
  <c r="DC54" i="6"/>
  <c r="DD54" i="6"/>
  <c r="DR54" i="6"/>
  <c r="A55" i="6"/>
  <c r="F55" i="6"/>
  <c r="P55" i="6"/>
  <c r="G55" i="6" s="1"/>
  <c r="V55" i="6"/>
  <c r="DB55" i="6" s="1"/>
  <c r="CY55" i="6"/>
  <c r="DC55" i="6"/>
  <c r="DD55" i="6"/>
  <c r="A56" i="6"/>
  <c r="C56" i="6"/>
  <c r="D56" i="6"/>
  <c r="F56" i="6"/>
  <c r="N56" i="6" s="1"/>
  <c r="O56" i="6"/>
  <c r="CY56" i="6"/>
  <c r="CZ56" i="6"/>
  <c r="DC56" i="6"/>
  <c r="DD56" i="6"/>
  <c r="DR59" i="6"/>
  <c r="B65" i="6"/>
  <c r="C65" i="6"/>
  <c r="D65" i="6"/>
  <c r="E65" i="6"/>
  <c r="F65" i="6"/>
  <c r="G65" i="6"/>
  <c r="H65" i="6"/>
  <c r="I65" i="6"/>
  <c r="J65" i="6"/>
  <c r="K65" i="6"/>
  <c r="V65" i="6"/>
  <c r="W65" i="6"/>
  <c r="X65" i="6"/>
  <c r="Y65" i="6"/>
  <c r="Z65" i="6"/>
  <c r="AA65" i="6"/>
  <c r="AB65" i="6"/>
  <c r="AC65" i="6"/>
  <c r="AD65" i="6"/>
  <c r="AE65" i="6"/>
  <c r="AP65" i="6"/>
  <c r="L66" i="6"/>
  <c r="M66" i="6"/>
  <c r="N66" i="6"/>
  <c r="O66" i="6"/>
  <c r="P66" i="6"/>
  <c r="Q66" i="6"/>
  <c r="R66" i="6"/>
  <c r="S66" i="6"/>
  <c r="T66" i="6"/>
  <c r="U66" i="6"/>
  <c r="AF66" i="6"/>
  <c r="AG66" i="6"/>
  <c r="AH66" i="6"/>
  <c r="AK66" i="6"/>
  <c r="AL66" i="6"/>
  <c r="AM66" i="6"/>
  <c r="AN66" i="6"/>
  <c r="AO66" i="6"/>
  <c r="L4" i="7"/>
  <c r="M4" i="7"/>
  <c r="H5" i="7"/>
  <c r="L5" i="7"/>
  <c r="M5" i="7"/>
  <c r="N5" i="7"/>
  <c r="P5" i="7"/>
  <c r="H6" i="7"/>
  <c r="L6" i="7"/>
  <c r="M6" i="7"/>
  <c r="N6" i="7"/>
  <c r="O6" i="7"/>
  <c r="P6" i="7"/>
  <c r="R6" i="7"/>
  <c r="L7" i="7"/>
  <c r="M7" i="7"/>
  <c r="N7" i="7"/>
  <c r="Q7" i="7"/>
  <c r="A8" i="7"/>
  <c r="K8" i="7"/>
  <c r="L8" i="7"/>
  <c r="M8" i="7"/>
  <c r="N8" i="7"/>
  <c r="E9" i="7"/>
  <c r="H9" i="7" s="1"/>
  <c r="L9" i="7"/>
  <c r="M9" i="7"/>
  <c r="N9" i="7"/>
  <c r="L10" i="7"/>
  <c r="M10" i="7"/>
  <c r="N10" i="7"/>
  <c r="P10" i="7"/>
  <c r="D11" i="7"/>
  <c r="L11" i="7"/>
  <c r="M11" i="7"/>
  <c r="N11" i="7"/>
  <c r="O11" i="7"/>
  <c r="P11" i="7"/>
  <c r="B12" i="7"/>
  <c r="L12" i="7"/>
  <c r="M12" i="7"/>
  <c r="N12" i="7"/>
  <c r="O12" i="7"/>
  <c r="P12" i="7"/>
  <c r="A13" i="7"/>
  <c r="K13" i="7"/>
  <c r="L13" i="7"/>
  <c r="M13" i="7"/>
  <c r="N13" i="7"/>
  <c r="P13" i="7"/>
  <c r="Q13" i="7"/>
  <c r="I14" i="7"/>
  <c r="L14" i="7"/>
  <c r="M14" i="7"/>
  <c r="N14" i="7"/>
  <c r="O14" i="7"/>
  <c r="P14" i="7"/>
  <c r="Q14" i="7"/>
  <c r="C15" i="7"/>
  <c r="L15" i="7"/>
  <c r="M15" i="7"/>
  <c r="N15" i="7"/>
  <c r="L16" i="7"/>
  <c r="M16" i="7"/>
  <c r="N16" i="7"/>
  <c r="O16" i="7"/>
  <c r="Q16" i="7"/>
  <c r="D17" i="7"/>
  <c r="L17" i="7"/>
  <c r="M17" i="7"/>
  <c r="P17" i="7"/>
  <c r="B18" i="7"/>
  <c r="L18" i="7"/>
  <c r="M18" i="7"/>
  <c r="N18" i="7"/>
  <c r="O18" i="7"/>
  <c r="Q18" i="7"/>
  <c r="H19" i="7"/>
  <c r="L19" i="7"/>
  <c r="M19" i="7"/>
  <c r="N19" i="7"/>
  <c r="O19" i="7"/>
  <c r="B20" i="7"/>
  <c r="L20" i="7"/>
  <c r="M20" i="7"/>
  <c r="O20" i="7"/>
  <c r="A21" i="7"/>
  <c r="D21" i="7"/>
  <c r="K21" i="7"/>
  <c r="L21" i="7"/>
  <c r="M21" i="7"/>
  <c r="N21" i="7"/>
  <c r="P21" i="7"/>
  <c r="L22" i="7"/>
  <c r="M22" i="7"/>
  <c r="N22" i="7"/>
  <c r="O22" i="7"/>
  <c r="Q22" i="7"/>
  <c r="A23" i="7"/>
  <c r="I23" i="7"/>
  <c r="K23" i="7"/>
  <c r="L23" i="7"/>
  <c r="M23" i="7"/>
  <c r="N23" i="7"/>
  <c r="Q23" i="7"/>
  <c r="L24" i="7"/>
  <c r="M24" i="7"/>
  <c r="N24" i="7"/>
  <c r="O24" i="7"/>
  <c r="H25" i="7"/>
  <c r="L25" i="7"/>
  <c r="M25" i="7"/>
  <c r="H26" i="7"/>
  <c r="L26" i="7"/>
  <c r="M26" i="7"/>
  <c r="N26" i="7"/>
  <c r="O26" i="7"/>
  <c r="P26" i="7"/>
  <c r="Q26" i="7"/>
  <c r="L27" i="7"/>
  <c r="M27" i="7"/>
  <c r="N27" i="7"/>
  <c r="L28" i="7"/>
  <c r="M28" i="7"/>
  <c r="O28" i="7"/>
  <c r="P28" i="7"/>
  <c r="L29" i="7"/>
  <c r="M29" i="7"/>
  <c r="N29" i="7"/>
  <c r="P29" i="7"/>
  <c r="L30" i="7"/>
  <c r="M30" i="7"/>
  <c r="N30" i="7"/>
  <c r="P30" i="7"/>
  <c r="Q30" i="7"/>
  <c r="I31" i="7"/>
  <c r="L31" i="7"/>
  <c r="M31" i="7"/>
  <c r="N31" i="7"/>
  <c r="O31" i="7"/>
  <c r="D32" i="7"/>
  <c r="L32" i="7"/>
  <c r="M32" i="7"/>
  <c r="N32" i="7"/>
  <c r="O32" i="7"/>
  <c r="P32" i="7"/>
  <c r="L33" i="7"/>
  <c r="M33" i="7"/>
  <c r="O33" i="7"/>
  <c r="I34" i="7"/>
  <c r="L34" i="7"/>
  <c r="M34" i="7"/>
  <c r="N34" i="7"/>
  <c r="O34" i="7"/>
  <c r="Q34" i="7"/>
  <c r="C35" i="7"/>
  <c r="H35" i="7"/>
  <c r="L35" i="7"/>
  <c r="N35" i="7"/>
  <c r="O35" i="7"/>
  <c r="Q35" i="7"/>
  <c r="H37" i="7"/>
  <c r="I37" i="7"/>
  <c r="K37" i="7"/>
  <c r="H38" i="7"/>
  <c r="I38" i="7"/>
  <c r="L40" i="7"/>
  <c r="M40" i="7"/>
  <c r="N40" i="7"/>
  <c r="O40" i="7"/>
  <c r="P40" i="7"/>
  <c r="L41" i="7"/>
  <c r="M41" i="7"/>
  <c r="N41" i="7"/>
  <c r="O41" i="7"/>
  <c r="P41" i="7"/>
  <c r="L42" i="7"/>
  <c r="M42" i="7"/>
  <c r="N42" i="7"/>
  <c r="Q42" i="7"/>
  <c r="L43" i="7"/>
  <c r="M43" i="7"/>
  <c r="N43" i="7"/>
  <c r="C44" i="7"/>
  <c r="L44" i="7"/>
  <c r="M44" i="7"/>
  <c r="N44" i="7"/>
  <c r="O44" i="7"/>
  <c r="L45" i="7"/>
  <c r="N45" i="7"/>
  <c r="O45" i="7"/>
  <c r="L46" i="7"/>
  <c r="M46" i="7"/>
  <c r="N46" i="7"/>
  <c r="O46" i="7"/>
  <c r="L47" i="7"/>
  <c r="M47" i="7"/>
  <c r="N47" i="7"/>
  <c r="O47" i="7"/>
  <c r="P47" i="7"/>
  <c r="L48" i="7"/>
  <c r="M48" i="7"/>
  <c r="N48" i="7"/>
  <c r="P48" i="7"/>
  <c r="L49" i="7"/>
  <c r="M49" i="7"/>
  <c r="N49" i="7"/>
  <c r="O49" i="7"/>
  <c r="P49" i="7"/>
  <c r="L50" i="7"/>
  <c r="M50" i="7"/>
  <c r="N50" i="7"/>
  <c r="L51" i="7"/>
  <c r="M51" i="7"/>
  <c r="N51" i="7"/>
  <c r="O51" i="7"/>
  <c r="C52" i="7"/>
  <c r="L52" i="7"/>
  <c r="M52" i="7"/>
  <c r="N52" i="7"/>
  <c r="O52" i="7"/>
  <c r="L53" i="7"/>
  <c r="M53" i="7"/>
  <c r="N53" i="7"/>
  <c r="Q53" i="7"/>
  <c r="C54" i="7"/>
  <c r="L54" i="7"/>
  <c r="M54" i="7"/>
  <c r="N54" i="7"/>
  <c r="O54" i="7"/>
  <c r="Q54" i="7"/>
  <c r="D3" i="9"/>
  <c r="E3" i="9"/>
  <c r="G3" i="9"/>
  <c r="D4" i="9"/>
  <c r="M4" i="9" s="1"/>
  <c r="E4" i="9"/>
  <c r="E5" i="9" s="1"/>
  <c r="E7" i="9" s="1"/>
  <c r="G4" i="9"/>
  <c r="J4" i="9"/>
  <c r="K4" i="9"/>
  <c r="L4" i="9" s="1"/>
  <c r="C5" i="9"/>
  <c r="F5" i="9" s="1"/>
  <c r="G5" i="9"/>
  <c r="H5" i="9"/>
  <c r="I5" i="9"/>
  <c r="N5" i="9"/>
  <c r="D6" i="9"/>
  <c r="E6" i="9"/>
  <c r="K6" i="9" s="1"/>
  <c r="C7" i="9"/>
  <c r="F7" i="9"/>
  <c r="G7" i="9"/>
  <c r="H7" i="9"/>
  <c r="N7" i="9"/>
  <c r="N21" i="9" s="1"/>
  <c r="D8" i="9"/>
  <c r="E8" i="9"/>
  <c r="D9" i="9"/>
  <c r="E9" i="9"/>
  <c r="J9" i="9"/>
  <c r="K9" i="9"/>
  <c r="L9" i="9"/>
  <c r="M9" i="9"/>
  <c r="D10" i="9"/>
  <c r="M31" i="9" s="1"/>
  <c r="E10" i="9"/>
  <c r="M10" i="9"/>
  <c r="C11" i="9"/>
  <c r="N11" i="9"/>
  <c r="D12" i="9"/>
  <c r="E12" i="9"/>
  <c r="G12" i="9"/>
  <c r="J12" i="9"/>
  <c r="K12" i="9"/>
  <c r="L12" i="9" s="1"/>
  <c r="M12" i="9"/>
  <c r="D13" i="9"/>
  <c r="E13" i="9"/>
  <c r="G13" i="9"/>
  <c r="J13" i="9" s="1"/>
  <c r="K13" i="9"/>
  <c r="L13" i="9"/>
  <c r="M13" i="9"/>
  <c r="C14" i="9"/>
  <c r="N14" i="9"/>
  <c r="D15" i="9"/>
  <c r="E15" i="9"/>
  <c r="J15" i="9" s="1"/>
  <c r="K15" i="9"/>
  <c r="L15" i="9" s="1"/>
  <c r="C16" i="9"/>
  <c r="N16" i="9"/>
  <c r="D17" i="9"/>
  <c r="E17" i="9"/>
  <c r="G17" i="9"/>
  <c r="K17" i="9"/>
  <c r="M17" i="9"/>
  <c r="D18" i="9"/>
  <c r="E18" i="9"/>
  <c r="G18" i="9"/>
  <c r="D19" i="9"/>
  <c r="E19" i="9"/>
  <c r="E20" i="9" s="1"/>
  <c r="M41" i="9" s="1"/>
  <c r="G19" i="9"/>
  <c r="G20" i="9" s="1"/>
  <c r="C20" i="9"/>
  <c r="I20" i="9" s="1"/>
  <c r="D20" i="9"/>
  <c r="F20" i="9"/>
  <c r="H20" i="9"/>
  <c r="N20" i="9"/>
  <c r="C21" i="9"/>
  <c r="J24" i="9"/>
  <c r="L24" i="9" s="1"/>
  <c r="K24" i="9"/>
  <c r="J25" i="9"/>
  <c r="K25" i="9"/>
  <c r="L25" i="9" s="1"/>
  <c r="C26" i="9"/>
  <c r="H26" i="9"/>
  <c r="H28" i="9" s="1"/>
  <c r="J27" i="9"/>
  <c r="K27" i="9"/>
  <c r="L27" i="9"/>
  <c r="C28" i="9"/>
  <c r="J29" i="9"/>
  <c r="K29" i="9"/>
  <c r="J30" i="9"/>
  <c r="K30" i="9"/>
  <c r="L30" i="9"/>
  <c r="M30" i="9"/>
  <c r="J31" i="9"/>
  <c r="K31" i="9"/>
  <c r="L31" i="9" s="1"/>
  <c r="C32" i="9"/>
  <c r="D32" i="9"/>
  <c r="E32" i="9"/>
  <c r="F32" i="9"/>
  <c r="G32" i="9"/>
  <c r="H32" i="9"/>
  <c r="I32" i="9"/>
  <c r="J33" i="9"/>
  <c r="K33" i="9"/>
  <c r="L33" i="9" s="1"/>
  <c r="M33" i="9"/>
  <c r="J34" i="9"/>
  <c r="L34" i="9" s="1"/>
  <c r="K34" i="9"/>
  <c r="M34" i="9"/>
  <c r="C35" i="9"/>
  <c r="D35" i="9"/>
  <c r="E35" i="9"/>
  <c r="J36" i="9"/>
  <c r="K36" i="9"/>
  <c r="M36" i="9"/>
  <c r="J38" i="9"/>
  <c r="K38" i="9"/>
  <c r="L38" i="9" s="1"/>
  <c r="J39" i="9"/>
  <c r="K39" i="9"/>
  <c r="L39" i="9" s="1"/>
  <c r="J40" i="9"/>
  <c r="K40" i="9"/>
  <c r="L40" i="9"/>
  <c r="C41" i="9"/>
  <c r="D41" i="9"/>
  <c r="E41" i="9"/>
  <c r="B5" i="8"/>
  <c r="B4" i="7" s="1"/>
  <c r="Q5" i="8"/>
  <c r="E4" i="7" s="1"/>
  <c r="H4" i="7" s="1"/>
  <c r="L6" i="8"/>
  <c r="D5" i="7" s="1"/>
  <c r="Q6" i="8"/>
  <c r="E5" i="7" s="1"/>
  <c r="R6" i="8"/>
  <c r="H7" i="8"/>
  <c r="I7" i="8"/>
  <c r="Q7" i="8"/>
  <c r="E6" i="7" s="1"/>
  <c r="A9" i="8"/>
  <c r="F9" i="8"/>
  <c r="K9" i="8"/>
  <c r="P9" i="8"/>
  <c r="R9" i="8"/>
  <c r="U9" i="8"/>
  <c r="B10" i="8"/>
  <c r="B9" i="7" s="1"/>
  <c r="Q10" i="8"/>
  <c r="L12" i="8"/>
  <c r="V12" i="8"/>
  <c r="F11" i="7" s="1"/>
  <c r="I11" i="7" s="1"/>
  <c r="B13" i="8"/>
  <c r="D13" i="8"/>
  <c r="G13" i="8"/>
  <c r="C12" i="7" s="1"/>
  <c r="L13" i="8"/>
  <c r="D12" i="7" s="1"/>
  <c r="Q13" i="8"/>
  <c r="E12" i="7" s="1"/>
  <c r="H12" i="7" s="1"/>
  <c r="A14" i="8"/>
  <c r="B14" i="8"/>
  <c r="B13" i="7" s="1"/>
  <c r="F14" i="8"/>
  <c r="K14" i="8"/>
  <c r="P14" i="8"/>
  <c r="U14" i="8"/>
  <c r="I15" i="8"/>
  <c r="V15" i="8"/>
  <c r="F14" i="7" s="1"/>
  <c r="G16" i="8"/>
  <c r="Q16" i="8"/>
  <c r="E15" i="7" s="1"/>
  <c r="H15" i="7" s="1"/>
  <c r="R16" i="8"/>
  <c r="B17" i="8"/>
  <c r="B16" i="7" s="1"/>
  <c r="G17" i="8"/>
  <c r="C16" i="7" s="1"/>
  <c r="Q17" i="8"/>
  <c r="E16" i="7" s="1"/>
  <c r="H16" i="7" s="1"/>
  <c r="B18" i="8"/>
  <c r="B17" i="7" s="1"/>
  <c r="L18" i="8"/>
  <c r="Q18" i="8"/>
  <c r="E17" i="7" s="1"/>
  <c r="H17" i="7" s="1"/>
  <c r="R18" i="8"/>
  <c r="B19" i="8"/>
  <c r="B20" i="8"/>
  <c r="B19" i="7" s="1"/>
  <c r="Q20" i="8"/>
  <c r="E19" i="7" s="1"/>
  <c r="B21" i="8"/>
  <c r="D21" i="8"/>
  <c r="G21" i="8"/>
  <c r="C20" i="7" s="1"/>
  <c r="A22" i="8"/>
  <c r="B22" i="8"/>
  <c r="B21" i="7" s="1"/>
  <c r="G21" i="7" s="1"/>
  <c r="F22" i="8"/>
  <c r="G22" i="8"/>
  <c r="C21" i="7" s="1"/>
  <c r="K22" i="8"/>
  <c r="L22" i="8"/>
  <c r="P22" i="8"/>
  <c r="U22" i="8"/>
  <c r="L23" i="8"/>
  <c r="D22" i="7" s="1"/>
  <c r="Q23" i="8"/>
  <c r="E22" i="7" s="1"/>
  <c r="H22" i="7" s="1"/>
  <c r="R23" i="8"/>
  <c r="S23" i="8"/>
  <c r="A24" i="8"/>
  <c r="B24" i="8"/>
  <c r="B23" i="7" s="1"/>
  <c r="F24" i="8"/>
  <c r="G24" i="8"/>
  <c r="C23" i="7" s="1"/>
  <c r="K24" i="8"/>
  <c r="P24" i="8"/>
  <c r="Q24" i="8"/>
  <c r="E23" i="7" s="1"/>
  <c r="H23" i="7" s="1"/>
  <c r="U24" i="8"/>
  <c r="B25" i="8"/>
  <c r="B24" i="7" s="1"/>
  <c r="D25" i="8"/>
  <c r="B26" i="8"/>
  <c r="B25" i="7" s="1"/>
  <c r="L26" i="8"/>
  <c r="D25" i="7" s="1"/>
  <c r="Q26" i="8"/>
  <c r="E25" i="7" s="1"/>
  <c r="V26" i="8"/>
  <c r="F25" i="7" s="1"/>
  <c r="I25" i="7" s="1"/>
  <c r="Q27" i="8"/>
  <c r="E26" i="7" s="1"/>
  <c r="R27" i="8"/>
  <c r="G28" i="8"/>
  <c r="C27" i="7" s="1"/>
  <c r="Q28" i="8"/>
  <c r="E27" i="7" s="1"/>
  <c r="H27" i="7" s="1"/>
  <c r="B29" i="8"/>
  <c r="B28" i="7" s="1"/>
  <c r="L29" i="8"/>
  <c r="D28" i="7" s="1"/>
  <c r="Q29" i="8"/>
  <c r="E28" i="7" s="1"/>
  <c r="H28" i="7" s="1"/>
  <c r="V31" i="8"/>
  <c r="F30" i="7" s="1"/>
  <c r="I30" i="7" s="1"/>
  <c r="R32" i="8"/>
  <c r="V32" i="8"/>
  <c r="F31" i="7" s="1"/>
  <c r="L33" i="8"/>
  <c r="R34" i="8"/>
  <c r="R35" i="8"/>
  <c r="V35" i="8"/>
  <c r="F34" i="7" s="1"/>
  <c r="C36" i="8"/>
  <c r="G36" i="8"/>
  <c r="Q36" i="8"/>
  <c r="E35" i="7" s="1"/>
  <c r="I41" i="8"/>
  <c r="G45" i="8"/>
  <c r="G53" i="8"/>
  <c r="M54" i="8"/>
  <c r="N54" i="8"/>
  <c r="W54" i="8"/>
  <c r="X54" i="8"/>
  <c r="B55" i="8"/>
  <c r="B54" i="7" s="1"/>
  <c r="G54" i="7" s="1"/>
  <c r="G55" i="8"/>
  <c r="L55" i="8"/>
  <c r="D54" i="7" s="1"/>
  <c r="M55" i="8"/>
  <c r="N55" i="8"/>
  <c r="R55" i="8"/>
  <c r="S55" i="8"/>
  <c r="W55" i="8"/>
  <c r="X55" i="8"/>
  <c r="P18" i="10" l="1"/>
  <c r="W16" i="8" s="1"/>
  <c r="R27" i="4"/>
  <c r="DH27" i="4"/>
  <c r="J27" i="4" s="1"/>
  <c r="S22" i="10" s="1"/>
  <c r="N20" i="8" s="1"/>
  <c r="DI27" i="4"/>
  <c r="Q19" i="7"/>
  <c r="F41" i="10"/>
  <c r="V43" i="8" s="1"/>
  <c r="F42" i="7" s="1"/>
  <c r="I42" i="7" s="1"/>
  <c r="I46" i="6"/>
  <c r="E46" i="6"/>
  <c r="M20" i="9"/>
  <c r="G28" i="7"/>
  <c r="P29" i="10"/>
  <c r="W27" i="8" s="1"/>
  <c r="DH42" i="3"/>
  <c r="J42" i="3" s="1"/>
  <c r="R37" i="10" s="1"/>
  <c r="I35" i="8" s="1"/>
  <c r="R42" i="3"/>
  <c r="P34" i="7"/>
  <c r="DI42" i="3"/>
  <c r="M39" i="9"/>
  <c r="J18" i="9"/>
  <c r="M8" i="9"/>
  <c r="M29" i="9"/>
  <c r="M3" i="9"/>
  <c r="D5" i="9"/>
  <c r="M24" i="9"/>
  <c r="K3" i="9"/>
  <c r="R40" i="4"/>
  <c r="Q32" i="7"/>
  <c r="DI40" i="4"/>
  <c r="G9" i="7"/>
  <c r="K20" i="9"/>
  <c r="L20" i="9" s="1"/>
  <c r="M27" i="9"/>
  <c r="M6" i="9"/>
  <c r="D45" i="6"/>
  <c r="M45" i="6"/>
  <c r="DR45" i="6"/>
  <c r="B45" i="6" s="1"/>
  <c r="DA23" i="6"/>
  <c r="DA58" i="6" s="1"/>
  <c r="I27" i="10"/>
  <c r="L25" i="8" s="1"/>
  <c r="D24" i="7" s="1"/>
  <c r="H25" i="4"/>
  <c r="P25" i="4"/>
  <c r="G25" i="4" s="1"/>
  <c r="N17" i="7"/>
  <c r="H35" i="9"/>
  <c r="I35" i="9"/>
  <c r="C37" i="9"/>
  <c r="C42" i="9" s="1"/>
  <c r="G35" i="9"/>
  <c r="G37" i="9" s="1"/>
  <c r="V45" i="6"/>
  <c r="DB45" i="6" s="1"/>
  <c r="P25" i="10"/>
  <c r="W23" i="8" s="1"/>
  <c r="K30" i="6"/>
  <c r="DR56" i="6"/>
  <c r="B56" i="6" s="1"/>
  <c r="V56" i="6"/>
  <c r="DB56" i="6" s="1"/>
  <c r="K41" i="10"/>
  <c r="CZ40" i="6"/>
  <c r="DA40" i="6"/>
  <c r="P33" i="10"/>
  <c r="W31" i="8" s="1"/>
  <c r="R37" i="6"/>
  <c r="DH37" i="6"/>
  <c r="DI37" i="6"/>
  <c r="F20" i="10"/>
  <c r="V18" i="8" s="1"/>
  <c r="F17" i="7" s="1"/>
  <c r="I17" i="7" s="1"/>
  <c r="I25" i="6"/>
  <c r="H16" i="6"/>
  <c r="P16" i="6"/>
  <c r="G16" i="6" s="1"/>
  <c r="I16" i="6" s="1"/>
  <c r="CZ60" i="4"/>
  <c r="C60" i="4"/>
  <c r="E60" i="4" s="1"/>
  <c r="R54" i="4"/>
  <c r="DI54" i="4"/>
  <c r="Q50" i="7"/>
  <c r="R51" i="4"/>
  <c r="Q47" i="7"/>
  <c r="N38" i="10"/>
  <c r="M36" i="8" s="1"/>
  <c r="H39" i="4"/>
  <c r="I39" i="4"/>
  <c r="R35" i="4"/>
  <c r="DH35" i="4"/>
  <c r="DI35" i="4"/>
  <c r="CZ22" i="4"/>
  <c r="DA22" i="4"/>
  <c r="M35" i="10"/>
  <c r="H33" i="8" s="1"/>
  <c r="D37" i="3"/>
  <c r="E37" i="3" s="1"/>
  <c r="M37" i="3"/>
  <c r="V37" i="3"/>
  <c r="DB37" i="3" s="1"/>
  <c r="DH55" i="2"/>
  <c r="J55" i="2" s="1"/>
  <c r="Q50" i="10" s="1"/>
  <c r="D52" i="8" s="1"/>
  <c r="R55" i="2"/>
  <c r="DI55" i="2"/>
  <c r="F35" i="9"/>
  <c r="F37" i="9" s="1"/>
  <c r="J32" i="9"/>
  <c r="L29" i="9"/>
  <c r="M25" i="9"/>
  <c r="F14" i="9"/>
  <c r="F16" i="9" s="1"/>
  <c r="G14" i="9"/>
  <c r="G16" i="9" s="1"/>
  <c r="H14" i="9"/>
  <c r="H16" i="9" s="1"/>
  <c r="E14" i="9"/>
  <c r="E16" i="9" s="1"/>
  <c r="K8" i="9"/>
  <c r="L8" i="9" s="1"/>
  <c r="E11" i="9"/>
  <c r="E21" i="9" s="1"/>
  <c r="J6" i="9"/>
  <c r="Q27" i="7"/>
  <c r="R11" i="7"/>
  <c r="AP66" i="6"/>
  <c r="C55" i="6"/>
  <c r="K50" i="10" s="1"/>
  <c r="CZ55" i="6"/>
  <c r="C45" i="6"/>
  <c r="K40" i="10" s="1"/>
  <c r="DA44" i="6"/>
  <c r="V44" i="6"/>
  <c r="DB44" i="6" s="1"/>
  <c r="D44" i="6"/>
  <c r="DR44" i="6"/>
  <c r="B44" i="6" s="1"/>
  <c r="M44" i="6"/>
  <c r="V40" i="6"/>
  <c r="DB40" i="6" s="1"/>
  <c r="D40" i="6"/>
  <c r="E40" i="6" s="1"/>
  <c r="D38" i="6"/>
  <c r="M38" i="6"/>
  <c r="F31" i="10"/>
  <c r="V29" i="8" s="1"/>
  <c r="F28" i="7" s="1"/>
  <c r="I28" i="7" s="1"/>
  <c r="I36" i="6"/>
  <c r="CZ35" i="6"/>
  <c r="H34" i="6"/>
  <c r="R30" i="6"/>
  <c r="D26" i="6"/>
  <c r="E26" i="6" s="1"/>
  <c r="R24" i="6"/>
  <c r="DH24" i="6"/>
  <c r="DI24" i="6"/>
  <c r="H23" i="6"/>
  <c r="C20" i="6"/>
  <c r="K15" i="10" s="1"/>
  <c r="CZ20" i="6"/>
  <c r="CZ57" i="4"/>
  <c r="N51" i="10"/>
  <c r="M53" i="8" s="1"/>
  <c r="C45" i="4"/>
  <c r="CZ45" i="4"/>
  <c r="P28" i="4"/>
  <c r="G28" i="4" s="1"/>
  <c r="I28" i="4" s="1"/>
  <c r="H28" i="4"/>
  <c r="N20" i="7"/>
  <c r="P17" i="4"/>
  <c r="G17" i="4" s="1"/>
  <c r="I17" i="4" s="1"/>
  <c r="I9" i="10"/>
  <c r="L7" i="8" s="1"/>
  <c r="D6" i="7" s="1"/>
  <c r="DR54" i="2"/>
  <c r="B54" i="2" s="1"/>
  <c r="B54" i="3"/>
  <c r="DR54" i="4"/>
  <c r="B54" i="4" s="1"/>
  <c r="R41" i="3"/>
  <c r="DI41" i="3"/>
  <c r="DH41" i="3"/>
  <c r="P33" i="7"/>
  <c r="D12" i="6"/>
  <c r="D53" i="6"/>
  <c r="M53" i="6"/>
  <c r="DR53" i="6"/>
  <c r="P49" i="6"/>
  <c r="G49" i="6" s="1"/>
  <c r="I49" i="6" s="1"/>
  <c r="D47" i="6"/>
  <c r="M47" i="6"/>
  <c r="DR47" i="6"/>
  <c r="B47" i="6" s="1"/>
  <c r="H14" i="5"/>
  <c r="I14" i="5"/>
  <c r="O9" i="10" s="1"/>
  <c r="R7" i="8" s="1"/>
  <c r="D37" i="9"/>
  <c r="DI42" i="6"/>
  <c r="R42" i="6"/>
  <c r="DH42" i="6"/>
  <c r="R20" i="6"/>
  <c r="DH20" i="6"/>
  <c r="V19" i="6"/>
  <c r="DB19" i="6" s="1"/>
  <c r="D19" i="6"/>
  <c r="M19" i="6"/>
  <c r="N35" i="10"/>
  <c r="M33" i="8" s="1"/>
  <c r="F46" i="10"/>
  <c r="P39" i="6"/>
  <c r="G39" i="6" s="1"/>
  <c r="I39" i="6" s="1"/>
  <c r="R35" i="6"/>
  <c r="DH35" i="6"/>
  <c r="J35" i="6" s="1"/>
  <c r="U30" i="10" s="1"/>
  <c r="X28" i="8" s="1"/>
  <c r="DI35" i="6"/>
  <c r="DI20" i="6"/>
  <c r="F12" i="10"/>
  <c r="V10" i="8" s="1"/>
  <c r="F9" i="7" s="1"/>
  <c r="I9" i="7" s="1"/>
  <c r="I17" i="6"/>
  <c r="F8" i="10"/>
  <c r="V6" i="8" s="1"/>
  <c r="F5" i="7" s="1"/>
  <c r="I5" i="7" s="1"/>
  <c r="I13" i="6"/>
  <c r="DH40" i="4"/>
  <c r="CZ31" i="4"/>
  <c r="C31" i="4"/>
  <c r="I26" i="10" s="1"/>
  <c r="D11" i="10"/>
  <c r="L9" i="8" s="1"/>
  <c r="D8" i="7" s="1"/>
  <c r="I16" i="4"/>
  <c r="CZ57" i="3"/>
  <c r="C57" i="3"/>
  <c r="J55" i="3"/>
  <c r="R50" i="10" s="1"/>
  <c r="I52" i="8" s="1"/>
  <c r="R53" i="3"/>
  <c r="DI53" i="3"/>
  <c r="DH53" i="3"/>
  <c r="R50" i="3"/>
  <c r="DH50" i="3"/>
  <c r="DI50" i="3"/>
  <c r="P46" i="7"/>
  <c r="M36" i="3"/>
  <c r="V36" i="3"/>
  <c r="DB36" i="3" s="1"/>
  <c r="A12" i="8"/>
  <c r="K12" i="8"/>
  <c r="U12" i="8"/>
  <c r="A11" i="7" s="1"/>
  <c r="K11" i="7" s="1"/>
  <c r="P12" i="8"/>
  <c r="L36" i="9"/>
  <c r="K19" i="9"/>
  <c r="F11" i="9"/>
  <c r="F21" i="9" s="1"/>
  <c r="G11" i="9"/>
  <c r="H11" i="9"/>
  <c r="H21" i="9" s="1"/>
  <c r="I11" i="9"/>
  <c r="G21" i="9"/>
  <c r="K5" i="9"/>
  <c r="I7" i="9"/>
  <c r="H55" i="6"/>
  <c r="R48" i="6"/>
  <c r="P36" i="10"/>
  <c r="W34" i="8" s="1"/>
  <c r="K41" i="6"/>
  <c r="J38" i="6"/>
  <c r="U33" i="10" s="1"/>
  <c r="X31" i="8" s="1"/>
  <c r="CZ32" i="6"/>
  <c r="C32" i="6"/>
  <c r="F24" i="10"/>
  <c r="V22" i="8" s="1"/>
  <c r="F21" i="7" s="1"/>
  <c r="I21" i="7" s="1"/>
  <c r="I29" i="6"/>
  <c r="R15" i="6"/>
  <c r="DI15" i="6"/>
  <c r="CZ47" i="4"/>
  <c r="D46" i="4"/>
  <c r="M46" i="4"/>
  <c r="V46" i="4"/>
  <c r="DB46" i="4" s="1"/>
  <c r="P41" i="4"/>
  <c r="G41" i="4" s="1"/>
  <c r="I41" i="4" s="1"/>
  <c r="N33" i="7"/>
  <c r="N30" i="10"/>
  <c r="M28" i="8" s="1"/>
  <c r="I18" i="4"/>
  <c r="H18" i="4"/>
  <c r="C48" i="10"/>
  <c r="I53" i="3"/>
  <c r="V51" i="3"/>
  <c r="DB51" i="3" s="1"/>
  <c r="D51" i="3"/>
  <c r="DR51" i="3"/>
  <c r="M51" i="3"/>
  <c r="H44" i="10"/>
  <c r="G46" i="8" s="1"/>
  <c r="C45" i="7" s="1"/>
  <c r="E49" i="3"/>
  <c r="C32" i="10"/>
  <c r="G30" i="8" s="1"/>
  <c r="C29" i="7" s="1"/>
  <c r="I37" i="3"/>
  <c r="H31" i="10"/>
  <c r="G29" i="8" s="1"/>
  <c r="C28" i="7" s="1"/>
  <c r="J34" i="3"/>
  <c r="R29" i="10" s="1"/>
  <c r="I27" i="8" s="1"/>
  <c r="V25" i="3"/>
  <c r="DB25" i="3" s="1"/>
  <c r="M25" i="3"/>
  <c r="C40" i="2"/>
  <c r="CZ40" i="2"/>
  <c r="L34" i="10"/>
  <c r="C32" i="8" s="1"/>
  <c r="K36" i="2"/>
  <c r="L31" i="10"/>
  <c r="C29" i="8" s="1"/>
  <c r="DH34" i="2"/>
  <c r="DI34" i="2"/>
  <c r="R34" i="2"/>
  <c r="L6" i="9"/>
  <c r="P38" i="10"/>
  <c r="W36" i="8" s="1"/>
  <c r="N10" i="10"/>
  <c r="M8" i="8" s="1"/>
  <c r="K15" i="4"/>
  <c r="H12" i="4"/>
  <c r="AE71" i="4" s="1"/>
  <c r="N4" i="7"/>
  <c r="H49" i="3"/>
  <c r="P49" i="3"/>
  <c r="G49" i="3" s="1"/>
  <c r="M45" i="7"/>
  <c r="R23" i="3"/>
  <c r="DI23" i="3"/>
  <c r="P15" i="7"/>
  <c r="DH23" i="3"/>
  <c r="J23" i="3" s="1"/>
  <c r="R18" i="10" s="1"/>
  <c r="I16" i="8" s="1"/>
  <c r="E10" i="10"/>
  <c r="I51" i="6"/>
  <c r="C21" i="6"/>
  <c r="K16" i="10" s="1"/>
  <c r="V14" i="8" s="1"/>
  <c r="F13" i="7" s="1"/>
  <c r="I13" i="7" s="1"/>
  <c r="CZ21" i="6"/>
  <c r="G41" i="9"/>
  <c r="H41" i="9"/>
  <c r="I41" i="9"/>
  <c r="F41" i="9"/>
  <c r="J41" i="9" s="1"/>
  <c r="M18" i="9"/>
  <c r="J3" i="9"/>
  <c r="D55" i="6"/>
  <c r="M55" i="6"/>
  <c r="DR55" i="6"/>
  <c r="B55" i="6" s="1"/>
  <c r="V51" i="6"/>
  <c r="DB51" i="6" s="1"/>
  <c r="D51" i="6"/>
  <c r="E51" i="6" s="1"/>
  <c r="M51" i="6"/>
  <c r="R45" i="6"/>
  <c r="J45" i="6"/>
  <c r="U40" i="10" s="1"/>
  <c r="X42" i="8" s="1"/>
  <c r="R44" i="6"/>
  <c r="DH44" i="6"/>
  <c r="DI44" i="6"/>
  <c r="D35" i="6"/>
  <c r="V35" i="6"/>
  <c r="DB35" i="6" s="1"/>
  <c r="M35" i="6"/>
  <c r="P28" i="6"/>
  <c r="G28" i="6" s="1"/>
  <c r="H28" i="6" s="1"/>
  <c r="P17" i="10"/>
  <c r="W15" i="8" s="1"/>
  <c r="K22" i="6"/>
  <c r="J21" i="6"/>
  <c r="U16" i="10" s="1"/>
  <c r="X14" i="8" s="1"/>
  <c r="P16" i="10"/>
  <c r="W14" i="8" s="1"/>
  <c r="K21" i="6"/>
  <c r="F7" i="10"/>
  <c r="V5" i="8" s="1"/>
  <c r="F4" i="7" s="1"/>
  <c r="I4" i="7" s="1"/>
  <c r="E12" i="6"/>
  <c r="I12" i="6"/>
  <c r="DH54" i="4"/>
  <c r="J54" i="4" s="1"/>
  <c r="S49" i="10" s="1"/>
  <c r="N51" i="8" s="1"/>
  <c r="DH51" i="4"/>
  <c r="P48" i="4"/>
  <c r="G48" i="4" s="1"/>
  <c r="I48" i="4" s="1"/>
  <c r="H48" i="4"/>
  <c r="D39" i="10"/>
  <c r="I44" i="4"/>
  <c r="R38" i="4"/>
  <c r="DH38" i="4"/>
  <c r="J38" i="4" s="1"/>
  <c r="S33" i="10" s="1"/>
  <c r="N31" i="8" s="1"/>
  <c r="DI38" i="4"/>
  <c r="D52" i="3"/>
  <c r="M52" i="3"/>
  <c r="V52" i="3"/>
  <c r="DB52" i="3" s="1"/>
  <c r="DR52" i="3"/>
  <c r="H33" i="10"/>
  <c r="G31" i="8" s="1"/>
  <c r="C30" i="7" s="1"/>
  <c r="R33" i="3"/>
  <c r="DH33" i="3"/>
  <c r="J33" i="3" s="1"/>
  <c r="R28" i="10" s="1"/>
  <c r="I26" i="8" s="1"/>
  <c r="DI33" i="3"/>
  <c r="P25" i="7"/>
  <c r="CZ41" i="2"/>
  <c r="C41" i="2"/>
  <c r="G36" i="10" s="1"/>
  <c r="R40" i="2"/>
  <c r="DH40" i="2"/>
  <c r="DI40" i="2"/>
  <c r="J20" i="9"/>
  <c r="P37" i="10"/>
  <c r="W35" i="8" s="1"/>
  <c r="D60" i="4"/>
  <c r="M60" i="4"/>
  <c r="R44" i="4"/>
  <c r="Q40" i="7"/>
  <c r="R16" i="4"/>
  <c r="DI16" i="4"/>
  <c r="J16" i="4" s="1"/>
  <c r="S11" i="10" s="1"/>
  <c r="N9" i="8" s="1"/>
  <c r="Q8" i="7"/>
  <c r="P43" i="3"/>
  <c r="G43" i="3" s="1"/>
  <c r="H43" i="3" s="1"/>
  <c r="J41" i="6"/>
  <c r="U36" i="10" s="1"/>
  <c r="X34" i="8" s="1"/>
  <c r="P31" i="6"/>
  <c r="G31" i="6" s="1"/>
  <c r="I31" i="6" s="1"/>
  <c r="CZ14" i="4"/>
  <c r="DA14" i="4"/>
  <c r="DH60" i="2"/>
  <c r="DI60" i="2"/>
  <c r="D16" i="5"/>
  <c r="V16" i="5"/>
  <c r="DB16" i="5" s="1"/>
  <c r="M16" i="5"/>
  <c r="D11" i="9"/>
  <c r="F49" i="10"/>
  <c r="V51" i="8" s="1"/>
  <c r="F50" i="7" s="1"/>
  <c r="I50" i="7" s="1"/>
  <c r="I54" i="6"/>
  <c r="J15" i="6"/>
  <c r="M40" i="9"/>
  <c r="M19" i="9"/>
  <c r="J19" i="9"/>
  <c r="K38" i="10"/>
  <c r="V36" i="8" s="1"/>
  <c r="F35" i="7" s="1"/>
  <c r="I35" i="7" s="1"/>
  <c r="E43" i="6"/>
  <c r="R36" i="6"/>
  <c r="DH36" i="6"/>
  <c r="J36" i="6" s="1"/>
  <c r="U31" i="10" s="1"/>
  <c r="X29" i="8" s="1"/>
  <c r="DI36" i="6"/>
  <c r="F30" i="10"/>
  <c r="V28" i="8" s="1"/>
  <c r="F27" i="7" s="1"/>
  <c r="I27" i="7" s="1"/>
  <c r="E35" i="6"/>
  <c r="I35" i="6"/>
  <c r="DA34" i="6"/>
  <c r="F15" i="10"/>
  <c r="V13" i="8" s="1"/>
  <c r="F12" i="7" s="1"/>
  <c r="I12" i="7" s="1"/>
  <c r="I20" i="6"/>
  <c r="R23" i="4"/>
  <c r="DH23" i="4"/>
  <c r="DI23" i="4"/>
  <c r="H47" i="10"/>
  <c r="R26" i="3"/>
  <c r="DI26" i="3"/>
  <c r="DH26" i="3"/>
  <c r="J26" i="3" s="1"/>
  <c r="R21" i="10" s="1"/>
  <c r="I19" i="8" s="1"/>
  <c r="P18" i="7"/>
  <c r="F12" i="8"/>
  <c r="I26" i="9"/>
  <c r="E26" i="9"/>
  <c r="E28" i="9" s="1"/>
  <c r="F26" i="9"/>
  <c r="F28" i="9" s="1"/>
  <c r="F42" i="9" s="1"/>
  <c r="G26" i="9"/>
  <c r="G28" i="9" s="1"/>
  <c r="G42" i="9" s="1"/>
  <c r="D26" i="9"/>
  <c r="I14" i="9"/>
  <c r="J8" i="9"/>
  <c r="G12" i="7"/>
  <c r="M56" i="6"/>
  <c r="K48" i="10"/>
  <c r="H47" i="6"/>
  <c r="P47" i="6"/>
  <c r="G47" i="6" s="1"/>
  <c r="F35" i="10"/>
  <c r="V33" i="8" s="1"/>
  <c r="F32" i="7" s="1"/>
  <c r="I32" i="7" s="1"/>
  <c r="DI33" i="6"/>
  <c r="J33" i="6" s="1"/>
  <c r="U28" i="10" s="1"/>
  <c r="X26" i="8" s="1"/>
  <c r="P28" i="10"/>
  <c r="W26" i="8" s="1"/>
  <c r="K33" i="6"/>
  <c r="CZ31" i="6"/>
  <c r="H27" i="6"/>
  <c r="F21" i="10"/>
  <c r="V19" i="8" s="1"/>
  <c r="F18" i="7" s="1"/>
  <c r="I18" i="7" s="1"/>
  <c r="R22" i="6"/>
  <c r="DI22" i="6"/>
  <c r="J22" i="6" s="1"/>
  <c r="U17" i="10" s="1"/>
  <c r="X15" i="8" s="1"/>
  <c r="F13" i="10"/>
  <c r="V11" i="8" s="1"/>
  <c r="F10" i="7" s="1"/>
  <c r="I10" i="7" s="1"/>
  <c r="I18" i="6"/>
  <c r="R17" i="6"/>
  <c r="DI17" i="6"/>
  <c r="DH17" i="6"/>
  <c r="V12" i="6"/>
  <c r="DB12" i="6" s="1"/>
  <c r="M12" i="6"/>
  <c r="H56" i="4"/>
  <c r="DI44" i="4"/>
  <c r="J44" i="4" s="1"/>
  <c r="S39" i="10" s="1"/>
  <c r="N41" i="8" s="1"/>
  <c r="D22" i="10"/>
  <c r="L20" i="8" s="1"/>
  <c r="D19" i="7" s="1"/>
  <c r="I27" i="4"/>
  <c r="DA26" i="4"/>
  <c r="P12" i="4"/>
  <c r="G12" i="4" s="1"/>
  <c r="I12" i="4" s="1"/>
  <c r="M36" i="10"/>
  <c r="H34" i="8" s="1"/>
  <c r="K32" i="9"/>
  <c r="L32" i="9" s="1"/>
  <c r="K18" i="9"/>
  <c r="L18" i="9" s="1"/>
  <c r="F44" i="10"/>
  <c r="D42" i="6"/>
  <c r="M42" i="6"/>
  <c r="CZ39" i="6"/>
  <c r="DA39" i="6"/>
  <c r="E38" i="6"/>
  <c r="D37" i="6"/>
  <c r="M37" i="6"/>
  <c r="V33" i="6"/>
  <c r="DB33" i="6" s="1"/>
  <c r="M33" i="6"/>
  <c r="D33" i="6"/>
  <c r="H25" i="6"/>
  <c r="D22" i="6"/>
  <c r="E22" i="6" s="1"/>
  <c r="M22" i="6"/>
  <c r="H18" i="6"/>
  <c r="P18" i="6"/>
  <c r="G18" i="6" s="1"/>
  <c r="R13" i="6"/>
  <c r="DH13" i="6"/>
  <c r="J13" i="6" s="1"/>
  <c r="U8" i="10" s="1"/>
  <c r="X6" i="8" s="1"/>
  <c r="D55" i="4"/>
  <c r="M55" i="4"/>
  <c r="V55" i="4"/>
  <c r="DB55" i="4" s="1"/>
  <c r="D44" i="10"/>
  <c r="L46" i="8" s="1"/>
  <c r="D45" i="7" s="1"/>
  <c r="E49" i="4"/>
  <c r="H33" i="4"/>
  <c r="P33" i="4"/>
  <c r="G33" i="4" s="1"/>
  <c r="N25" i="7"/>
  <c r="C28" i="4"/>
  <c r="CZ28" i="4"/>
  <c r="N19" i="10"/>
  <c r="M17" i="8" s="1"/>
  <c r="CZ55" i="3"/>
  <c r="C55" i="3"/>
  <c r="H50" i="10" s="1"/>
  <c r="H49" i="10"/>
  <c r="D45" i="3"/>
  <c r="M45" i="3"/>
  <c r="DR45" i="3"/>
  <c r="V45" i="3"/>
  <c r="DB45" i="3" s="1"/>
  <c r="M40" i="3"/>
  <c r="V40" i="3"/>
  <c r="DB40" i="3" s="1"/>
  <c r="M33" i="10"/>
  <c r="H31" i="8" s="1"/>
  <c r="V33" i="3"/>
  <c r="DB33" i="3" s="1"/>
  <c r="M33" i="3"/>
  <c r="D33" i="3"/>
  <c r="E33" i="3" s="1"/>
  <c r="M18" i="10"/>
  <c r="H16" i="8" s="1"/>
  <c r="V13" i="3"/>
  <c r="DB13" i="3" s="1"/>
  <c r="M13" i="3"/>
  <c r="A32" i="5"/>
  <c r="D32" i="2"/>
  <c r="M32" i="2"/>
  <c r="A27" i="10"/>
  <c r="A32" i="3"/>
  <c r="V32" i="2"/>
  <c r="DB32" i="2" s="1"/>
  <c r="A32" i="6"/>
  <c r="A17" i="5"/>
  <c r="V17" i="2"/>
  <c r="DB17" i="2" s="1"/>
  <c r="A17" i="3"/>
  <c r="M17" i="2"/>
  <c r="A12" i="10"/>
  <c r="A17" i="6"/>
  <c r="A17" i="4"/>
  <c r="K10" i="9"/>
  <c r="CZ50" i="6"/>
  <c r="K44" i="10"/>
  <c r="DR48" i="6"/>
  <c r="B48" i="6" s="1"/>
  <c r="V48" i="6"/>
  <c r="DB48" i="6" s="1"/>
  <c r="F36" i="10"/>
  <c r="V34" i="8" s="1"/>
  <c r="F33" i="7" s="1"/>
  <c r="I33" i="7" s="1"/>
  <c r="H40" i="6"/>
  <c r="F29" i="10"/>
  <c r="V27" i="8" s="1"/>
  <c r="F26" i="7" s="1"/>
  <c r="I26" i="7" s="1"/>
  <c r="F23" i="10"/>
  <c r="V21" i="8" s="1"/>
  <c r="F20" i="7" s="1"/>
  <c r="I20" i="7" s="1"/>
  <c r="CZ27" i="6"/>
  <c r="DA27" i="6"/>
  <c r="F19" i="10"/>
  <c r="V17" i="8" s="1"/>
  <c r="F16" i="7" s="1"/>
  <c r="I16" i="7" s="1"/>
  <c r="I24" i="6"/>
  <c r="F18" i="10"/>
  <c r="V16" i="8" s="1"/>
  <c r="F15" i="7" s="1"/>
  <c r="I15" i="7" s="1"/>
  <c r="E23" i="6"/>
  <c r="R55" i="4"/>
  <c r="DI55" i="4"/>
  <c r="DH55" i="4"/>
  <c r="Q51" i="7"/>
  <c r="C54" i="4"/>
  <c r="I49" i="10" s="1"/>
  <c r="CZ54" i="4"/>
  <c r="DI53" i="4"/>
  <c r="R53" i="4"/>
  <c r="P50" i="4"/>
  <c r="G50" i="4" s="1"/>
  <c r="H50" i="4" s="1"/>
  <c r="D48" i="4"/>
  <c r="M48" i="4"/>
  <c r="V48" i="4"/>
  <c r="DB48" i="4" s="1"/>
  <c r="CZ37" i="4"/>
  <c r="A32" i="4"/>
  <c r="N26" i="10"/>
  <c r="M24" i="8" s="1"/>
  <c r="CZ20" i="4"/>
  <c r="DA20" i="4"/>
  <c r="D16" i="4"/>
  <c r="E16" i="4" s="1"/>
  <c r="M16" i="4"/>
  <c r="V16" i="4"/>
  <c r="DB16" i="4" s="1"/>
  <c r="AP69" i="3"/>
  <c r="I57" i="3"/>
  <c r="H57" i="3"/>
  <c r="CZ40" i="3"/>
  <c r="DA40" i="3"/>
  <c r="I30" i="3"/>
  <c r="C25" i="10"/>
  <c r="C55" i="2"/>
  <c r="G50" i="10" s="1"/>
  <c r="CZ55" i="2"/>
  <c r="M22" i="10"/>
  <c r="H20" i="8" s="1"/>
  <c r="J10" i="9"/>
  <c r="H54" i="6"/>
  <c r="CZ43" i="6"/>
  <c r="DA43" i="6"/>
  <c r="E42" i="6"/>
  <c r="D41" i="6"/>
  <c r="E41" i="6" s="1"/>
  <c r="M41" i="6"/>
  <c r="V37" i="6"/>
  <c r="DB37" i="6" s="1"/>
  <c r="M34" i="6"/>
  <c r="D34" i="6"/>
  <c r="E34" i="6" s="1"/>
  <c r="V34" i="6"/>
  <c r="DB34" i="6" s="1"/>
  <c r="E33" i="6"/>
  <c r="H32" i="6"/>
  <c r="CZ30" i="6"/>
  <c r="H29" i="6"/>
  <c r="D27" i="6"/>
  <c r="E27" i="6" s="1"/>
  <c r="CZ26" i="6"/>
  <c r="DA26" i="6"/>
  <c r="P26" i="6"/>
  <c r="G26" i="6" s="1"/>
  <c r="H26" i="6" s="1"/>
  <c r="D23" i="6"/>
  <c r="V23" i="6"/>
  <c r="DB23" i="6" s="1"/>
  <c r="F9" i="10"/>
  <c r="I14" i="6"/>
  <c r="CZ13" i="6"/>
  <c r="DH53" i="4"/>
  <c r="I44" i="10"/>
  <c r="D42" i="10"/>
  <c r="L44" i="8" s="1"/>
  <c r="D43" i="7" s="1"/>
  <c r="I47" i="4"/>
  <c r="I38" i="4"/>
  <c r="D33" i="10"/>
  <c r="L31" i="8" s="1"/>
  <c r="D30" i="7" s="1"/>
  <c r="P36" i="4"/>
  <c r="G36" i="4" s="1"/>
  <c r="N28" i="7"/>
  <c r="D30" i="10"/>
  <c r="L28" i="8" s="1"/>
  <c r="D27" i="7" s="1"/>
  <c r="R31" i="4"/>
  <c r="DH31" i="4"/>
  <c r="DI31" i="4"/>
  <c r="CZ30" i="4"/>
  <c r="DA30" i="4"/>
  <c r="E23" i="4"/>
  <c r="D18" i="10"/>
  <c r="L16" i="8" s="1"/>
  <c r="D15" i="7" s="1"/>
  <c r="I23" i="4"/>
  <c r="I12" i="10"/>
  <c r="L10" i="8" s="1"/>
  <c r="D9" i="7" s="1"/>
  <c r="CZ15" i="4"/>
  <c r="C15" i="4"/>
  <c r="I10" i="10" s="1"/>
  <c r="H60" i="3"/>
  <c r="I59" i="3"/>
  <c r="AN70" i="2"/>
  <c r="P57" i="2"/>
  <c r="G57" i="2" s="1"/>
  <c r="I50" i="10"/>
  <c r="P30" i="3"/>
  <c r="G30" i="3" s="1"/>
  <c r="H30" i="3" s="1"/>
  <c r="L44" i="10"/>
  <c r="C46" i="8" s="1"/>
  <c r="J17" i="9"/>
  <c r="L17" i="9" s="1"/>
  <c r="M38" i="9"/>
  <c r="M15" i="9"/>
  <c r="D14" i="9"/>
  <c r="M35" i="9" s="1"/>
  <c r="R12" i="7"/>
  <c r="CZ54" i="6"/>
  <c r="CZ52" i="6"/>
  <c r="C52" i="6"/>
  <c r="K46" i="10"/>
  <c r="D50" i="6"/>
  <c r="M50" i="6"/>
  <c r="DR50" i="6"/>
  <c r="H46" i="6"/>
  <c r="K39" i="10"/>
  <c r="H43" i="6"/>
  <c r="V42" i="6"/>
  <c r="DB42" i="6" s="1"/>
  <c r="CZ38" i="6"/>
  <c r="F32" i="10"/>
  <c r="V30" i="8" s="1"/>
  <c r="F29" i="7" s="1"/>
  <c r="I29" i="7" s="1"/>
  <c r="E37" i="6"/>
  <c r="CZ33" i="6"/>
  <c r="F22" i="10"/>
  <c r="V20" i="8" s="1"/>
  <c r="F19" i="7" s="1"/>
  <c r="I19" i="7" s="1"/>
  <c r="I27" i="6"/>
  <c r="CZ22" i="6"/>
  <c r="H19" i="6"/>
  <c r="D15" i="6"/>
  <c r="M15" i="6"/>
  <c r="CZ14" i="6"/>
  <c r="C14" i="6"/>
  <c r="K9" i="10" s="1"/>
  <c r="AP70" i="4"/>
  <c r="D50" i="10"/>
  <c r="E55" i="4"/>
  <c r="I55" i="4"/>
  <c r="M50" i="4"/>
  <c r="V50" i="4"/>
  <c r="DB50" i="4" s="1"/>
  <c r="P47" i="4"/>
  <c r="G47" i="4" s="1"/>
  <c r="H47" i="4" s="1"/>
  <c r="J24" i="4"/>
  <c r="S19" i="10" s="1"/>
  <c r="N17" i="8" s="1"/>
  <c r="D23" i="4"/>
  <c r="M23" i="4"/>
  <c r="V23" i="4"/>
  <c r="DB23" i="4" s="1"/>
  <c r="CZ18" i="4"/>
  <c r="C18" i="4"/>
  <c r="CZ54" i="3"/>
  <c r="CZ34" i="3"/>
  <c r="C34" i="3"/>
  <c r="H29" i="10" s="1"/>
  <c r="H31" i="3"/>
  <c r="I31" i="3"/>
  <c r="R59" i="2"/>
  <c r="DH59" i="2"/>
  <c r="J59" i="2" s="1"/>
  <c r="K59" i="2" s="1"/>
  <c r="B51" i="10"/>
  <c r="B53" i="8" s="1"/>
  <c r="B52" i="7" s="1"/>
  <c r="G52" i="7" s="1"/>
  <c r="I56" i="2"/>
  <c r="E56" i="2"/>
  <c r="A52" i="5"/>
  <c r="D52" i="2"/>
  <c r="E52" i="2" s="1"/>
  <c r="M52" i="2"/>
  <c r="V52" i="2"/>
  <c r="DB52" i="2" s="1"/>
  <c r="A52" i="6"/>
  <c r="A52" i="4"/>
  <c r="P56" i="6"/>
  <c r="G56" i="6" s="1"/>
  <c r="H56" i="6" s="1"/>
  <c r="F25" i="10"/>
  <c r="V23" i="8" s="1"/>
  <c r="F22" i="7" s="1"/>
  <c r="I22" i="7" s="1"/>
  <c r="CZ24" i="6"/>
  <c r="E19" i="6"/>
  <c r="M16" i="6"/>
  <c r="P60" i="4"/>
  <c r="G60" i="4" s="1"/>
  <c r="I60" i="4" s="1"/>
  <c r="K60" i="4" s="1"/>
  <c r="P58" i="4"/>
  <c r="G58" i="4" s="1"/>
  <c r="H58" i="4" s="1"/>
  <c r="R58" i="4" s="1"/>
  <c r="C51" i="4"/>
  <c r="CZ51" i="4"/>
  <c r="P49" i="4"/>
  <c r="G49" i="4" s="1"/>
  <c r="I49" i="4" s="1"/>
  <c r="H49" i="4"/>
  <c r="CZ48" i="4"/>
  <c r="D47" i="4"/>
  <c r="E47" i="4" s="1"/>
  <c r="M47" i="4"/>
  <c r="D38" i="10"/>
  <c r="L36" i="8" s="1"/>
  <c r="D35" i="7" s="1"/>
  <c r="CZ41" i="4"/>
  <c r="D39" i="4"/>
  <c r="M39" i="4"/>
  <c r="V39" i="4"/>
  <c r="DB39" i="4" s="1"/>
  <c r="D28" i="4"/>
  <c r="M28" i="4"/>
  <c r="D21" i="10"/>
  <c r="L19" i="8" s="1"/>
  <c r="D18" i="7" s="1"/>
  <c r="I26" i="4"/>
  <c r="CZ24" i="4"/>
  <c r="D24" i="4"/>
  <c r="E24" i="4" s="1"/>
  <c r="M24" i="4"/>
  <c r="D16" i="10"/>
  <c r="L14" i="8" s="1"/>
  <c r="D13" i="7" s="1"/>
  <c r="G13" i="7" s="1"/>
  <c r="I21" i="4"/>
  <c r="CZ16" i="4"/>
  <c r="D10" i="10"/>
  <c r="L8" i="8" s="1"/>
  <c r="D7" i="7" s="1"/>
  <c r="H56" i="3"/>
  <c r="P54" i="3"/>
  <c r="G54" i="3" s="1"/>
  <c r="H54" i="3"/>
  <c r="H47" i="3"/>
  <c r="H46" i="3"/>
  <c r="DR44" i="2"/>
  <c r="B44" i="2" s="1"/>
  <c r="B44" i="3"/>
  <c r="CZ42" i="3"/>
  <c r="C42" i="3"/>
  <c r="C34" i="10"/>
  <c r="G32" i="8" s="1"/>
  <c r="C31" i="7" s="1"/>
  <c r="I39" i="3"/>
  <c r="V38" i="3"/>
  <c r="DB38" i="3" s="1"/>
  <c r="M31" i="10"/>
  <c r="H29" i="8" s="1"/>
  <c r="P15" i="3"/>
  <c r="G15" i="3" s="1"/>
  <c r="I15" i="3" s="1"/>
  <c r="P37" i="2"/>
  <c r="G37" i="2" s="1"/>
  <c r="H37" i="2" s="1"/>
  <c r="CZ17" i="6"/>
  <c r="H12" i="6"/>
  <c r="Y67" i="6" s="1"/>
  <c r="DR58" i="5"/>
  <c r="B58" i="4"/>
  <c r="P57" i="4"/>
  <c r="G57" i="4" s="1"/>
  <c r="H57" i="4"/>
  <c r="R57" i="4" s="1"/>
  <c r="D45" i="10"/>
  <c r="L47" i="8" s="1"/>
  <c r="D46" i="7" s="1"/>
  <c r="E50" i="4"/>
  <c r="D41" i="10"/>
  <c r="L43" i="8" s="1"/>
  <c r="D42" i="7" s="1"/>
  <c r="E46" i="4"/>
  <c r="I46" i="4"/>
  <c r="D43" i="4"/>
  <c r="E43" i="4" s="1"/>
  <c r="M43" i="4"/>
  <c r="V43" i="4"/>
  <c r="DB43" i="4" s="1"/>
  <c r="D37" i="10"/>
  <c r="L35" i="8" s="1"/>
  <c r="D34" i="7" s="1"/>
  <c r="I42" i="4"/>
  <c r="R26" i="4"/>
  <c r="DH26" i="4"/>
  <c r="DI26" i="4"/>
  <c r="I19" i="10"/>
  <c r="L17" i="8" s="1"/>
  <c r="D16" i="7" s="1"/>
  <c r="G16" i="7" s="1"/>
  <c r="V22" i="4"/>
  <c r="DB22" i="4" s="1"/>
  <c r="M22" i="4"/>
  <c r="R21" i="4"/>
  <c r="DH21" i="4"/>
  <c r="J21" i="4" s="1"/>
  <c r="S16" i="10" s="1"/>
  <c r="N14" i="8" s="1"/>
  <c r="DI21" i="4"/>
  <c r="M15" i="4"/>
  <c r="V15" i="4"/>
  <c r="DB15" i="4" s="1"/>
  <c r="M54" i="3"/>
  <c r="V54" i="3"/>
  <c r="DB54" i="3" s="1"/>
  <c r="R52" i="3"/>
  <c r="DH52" i="3"/>
  <c r="DI52" i="3"/>
  <c r="C45" i="10"/>
  <c r="G47" i="8" s="1"/>
  <c r="C46" i="7" s="1"/>
  <c r="I50" i="3"/>
  <c r="E50" i="3"/>
  <c r="C45" i="3"/>
  <c r="H40" i="10" s="1"/>
  <c r="CZ45" i="3"/>
  <c r="C41" i="3"/>
  <c r="H36" i="10" s="1"/>
  <c r="CZ41" i="3"/>
  <c r="C36" i="10"/>
  <c r="G34" i="8" s="1"/>
  <c r="C33" i="7" s="1"/>
  <c r="V39" i="3"/>
  <c r="DB39" i="3" s="1"/>
  <c r="R37" i="3"/>
  <c r="DH37" i="3"/>
  <c r="J37" i="3" s="1"/>
  <c r="R32" i="10" s="1"/>
  <c r="I30" i="8" s="1"/>
  <c r="DI37" i="3"/>
  <c r="P35" i="3"/>
  <c r="G35" i="3" s="1"/>
  <c r="I35" i="3" s="1"/>
  <c r="C29" i="10"/>
  <c r="I34" i="3"/>
  <c r="CZ33" i="3"/>
  <c r="H32" i="3"/>
  <c r="P32" i="3"/>
  <c r="G32" i="3" s="1"/>
  <c r="M16" i="10"/>
  <c r="H14" i="8" s="1"/>
  <c r="C38" i="2"/>
  <c r="CZ38" i="2"/>
  <c r="J24" i="2"/>
  <c r="Q19" i="10" s="1"/>
  <c r="D17" i="8" s="1"/>
  <c r="A24" i="5"/>
  <c r="A19" i="10"/>
  <c r="D24" i="2"/>
  <c r="M24" i="2"/>
  <c r="A24" i="3"/>
  <c r="V24" i="2"/>
  <c r="DB24" i="2" s="1"/>
  <c r="A24" i="6"/>
  <c r="L14" i="10"/>
  <c r="C12" i="8" s="1"/>
  <c r="F27" i="10"/>
  <c r="I32" i="6"/>
  <c r="CZ28" i="6"/>
  <c r="F10" i="10"/>
  <c r="V8" i="8" s="1"/>
  <c r="F7" i="7" s="1"/>
  <c r="I7" i="7" s="1"/>
  <c r="E15" i="6"/>
  <c r="I50" i="4"/>
  <c r="J46" i="4"/>
  <c r="S41" i="10" s="1"/>
  <c r="N43" i="8" s="1"/>
  <c r="C44" i="4"/>
  <c r="I39" i="10" s="1"/>
  <c r="CZ44" i="4"/>
  <c r="D44" i="4"/>
  <c r="M44" i="4"/>
  <c r="R42" i="4"/>
  <c r="DH42" i="4"/>
  <c r="DI42" i="4"/>
  <c r="C39" i="4"/>
  <c r="I34" i="10" s="1"/>
  <c r="CZ39" i="4"/>
  <c r="P32" i="4"/>
  <c r="G32" i="4" s="1"/>
  <c r="I32" i="4" s="1"/>
  <c r="D31" i="4"/>
  <c r="M31" i="4"/>
  <c r="V31" i="4"/>
  <c r="DB31" i="4" s="1"/>
  <c r="N17" i="10"/>
  <c r="M15" i="8" s="1"/>
  <c r="H14" i="4"/>
  <c r="CZ12" i="4"/>
  <c r="C12" i="4"/>
  <c r="H58" i="3"/>
  <c r="P58" i="3"/>
  <c r="G58" i="3" s="1"/>
  <c r="DR53" i="2"/>
  <c r="DR53" i="4"/>
  <c r="B53" i="4" s="1"/>
  <c r="DR46" i="2"/>
  <c r="B46" i="2" s="1"/>
  <c r="B46" i="3"/>
  <c r="C35" i="10"/>
  <c r="G33" i="8" s="1"/>
  <c r="C32" i="7" s="1"/>
  <c r="C30" i="3"/>
  <c r="H25" i="10" s="1"/>
  <c r="CZ30" i="3"/>
  <c r="P28" i="3"/>
  <c r="G28" i="3" s="1"/>
  <c r="H28" i="3" s="1"/>
  <c r="M17" i="10"/>
  <c r="H15" i="8" s="1"/>
  <c r="K22" i="3"/>
  <c r="R21" i="3"/>
  <c r="DI21" i="3"/>
  <c r="DH21" i="3"/>
  <c r="J21" i="3" s="1"/>
  <c r="R16" i="10" s="1"/>
  <c r="I14" i="8" s="1"/>
  <c r="AN69" i="2"/>
  <c r="D12" i="2" s="1"/>
  <c r="E12" i="2" s="1"/>
  <c r="R56" i="2"/>
  <c r="DI56" i="2"/>
  <c r="DH56" i="2"/>
  <c r="J56" i="2" s="1"/>
  <c r="Q51" i="10" s="1"/>
  <c r="D53" i="8" s="1"/>
  <c r="J48" i="2"/>
  <c r="Q43" i="10" s="1"/>
  <c r="D45" i="8" s="1"/>
  <c r="H35" i="2"/>
  <c r="I35" i="2"/>
  <c r="CZ34" i="2"/>
  <c r="DA34" i="2"/>
  <c r="B17" i="10"/>
  <c r="B15" i="8" s="1"/>
  <c r="B14" i="7" s="1"/>
  <c r="E22" i="2"/>
  <c r="I22" i="2"/>
  <c r="D45" i="4"/>
  <c r="M45" i="4"/>
  <c r="R34" i="4"/>
  <c r="DH34" i="4"/>
  <c r="DI34" i="4"/>
  <c r="D29" i="10"/>
  <c r="L27" i="8" s="1"/>
  <c r="D26" i="7" s="1"/>
  <c r="I34" i="4"/>
  <c r="CZ33" i="4"/>
  <c r="D17" i="10"/>
  <c r="L15" i="8" s="1"/>
  <c r="D14" i="7" s="1"/>
  <c r="H46" i="10"/>
  <c r="H48" i="3"/>
  <c r="H41" i="10"/>
  <c r="C28" i="10"/>
  <c r="G26" i="8" s="1"/>
  <c r="C25" i="7" s="1"/>
  <c r="G25" i="7" s="1"/>
  <c r="I33" i="3"/>
  <c r="H12" i="10"/>
  <c r="G10" i="8" s="1"/>
  <c r="C9" i="7" s="1"/>
  <c r="L37" i="10"/>
  <c r="C35" i="8" s="1"/>
  <c r="A20" i="5"/>
  <c r="A15" i="10"/>
  <c r="D20" i="2"/>
  <c r="M20" i="2"/>
  <c r="V20" i="2"/>
  <c r="DB20" i="2" s="1"/>
  <c r="A20" i="4"/>
  <c r="R14" i="2"/>
  <c r="DH14" i="2"/>
  <c r="DI14" i="2"/>
  <c r="D34" i="10"/>
  <c r="L32" i="8" s="1"/>
  <c r="D31" i="7" s="1"/>
  <c r="M13" i="6"/>
  <c r="J60" i="4"/>
  <c r="I59" i="5"/>
  <c r="D51" i="10"/>
  <c r="L53" i="8" s="1"/>
  <c r="D52" i="7" s="1"/>
  <c r="E56" i="4"/>
  <c r="H52" i="4"/>
  <c r="D43" i="10"/>
  <c r="L45" i="8" s="1"/>
  <c r="D44" i="7" s="1"/>
  <c r="E48" i="4"/>
  <c r="H45" i="4"/>
  <c r="P37" i="4"/>
  <c r="G37" i="4" s="1"/>
  <c r="H37" i="4" s="1"/>
  <c r="D36" i="4"/>
  <c r="M36" i="4"/>
  <c r="E31" i="4"/>
  <c r="D26" i="10"/>
  <c r="L24" i="8" s="1"/>
  <c r="D23" i="7" s="1"/>
  <c r="G23" i="7" s="1"/>
  <c r="H29" i="4"/>
  <c r="D27" i="4"/>
  <c r="E27" i="4" s="1"/>
  <c r="M27" i="4"/>
  <c r="V27" i="4"/>
  <c r="DB27" i="4" s="1"/>
  <c r="H20" i="4"/>
  <c r="H19" i="4"/>
  <c r="I60" i="3"/>
  <c r="P59" i="3"/>
  <c r="G59" i="3" s="1"/>
  <c r="H59" i="3" s="1"/>
  <c r="H48" i="10"/>
  <c r="D53" i="3"/>
  <c r="E53" i="3" s="1"/>
  <c r="M53" i="3"/>
  <c r="P48" i="3"/>
  <c r="G48" i="3" s="1"/>
  <c r="CZ47" i="3"/>
  <c r="C47" i="3"/>
  <c r="H42" i="10" s="1"/>
  <c r="D44" i="3"/>
  <c r="CZ43" i="3"/>
  <c r="DA43" i="3"/>
  <c r="E43" i="3"/>
  <c r="R40" i="3"/>
  <c r="DH40" i="3"/>
  <c r="DI40" i="3"/>
  <c r="D30" i="3"/>
  <c r="E30" i="3" s="1"/>
  <c r="M30" i="3"/>
  <c r="V30" i="3"/>
  <c r="DB30" i="3" s="1"/>
  <c r="H24" i="3"/>
  <c r="V20" i="3"/>
  <c r="DB20" i="3" s="1"/>
  <c r="R19" i="3"/>
  <c r="DH19" i="3"/>
  <c r="DI19" i="3"/>
  <c r="DA13" i="3"/>
  <c r="DA62" i="3" s="1"/>
  <c r="CZ13" i="3"/>
  <c r="J36" i="2"/>
  <c r="Q31" i="10" s="1"/>
  <c r="D29" i="8" s="1"/>
  <c r="A15" i="5"/>
  <c r="A10" i="10"/>
  <c r="D15" i="2"/>
  <c r="M15" i="2"/>
  <c r="V15" i="2"/>
  <c r="DB15" i="2" s="1"/>
  <c r="A15" i="3"/>
  <c r="R46" i="5"/>
  <c r="I60" i="5"/>
  <c r="E52" i="10"/>
  <c r="I48" i="10"/>
  <c r="R43" i="4"/>
  <c r="DH43" i="4"/>
  <c r="J43" i="4" s="1"/>
  <c r="S38" i="10" s="1"/>
  <c r="N36" i="8" s="1"/>
  <c r="D40" i="4"/>
  <c r="M40" i="4"/>
  <c r="D35" i="4"/>
  <c r="E35" i="4" s="1"/>
  <c r="M35" i="4"/>
  <c r="V35" i="4"/>
  <c r="DB35" i="4" s="1"/>
  <c r="CZ34" i="4"/>
  <c r="R30" i="4"/>
  <c r="DH30" i="4"/>
  <c r="J30" i="4" s="1"/>
  <c r="S25" i="10" s="1"/>
  <c r="N23" i="8" s="1"/>
  <c r="DI30" i="4"/>
  <c r="I30" i="4"/>
  <c r="CZ29" i="4"/>
  <c r="CZ19" i="4"/>
  <c r="H13" i="4"/>
  <c r="AP70" i="3"/>
  <c r="D25" i="3" s="1"/>
  <c r="E25" i="3" s="1"/>
  <c r="DR57" i="2"/>
  <c r="B52" i="10" s="1"/>
  <c r="C52" i="10"/>
  <c r="DR57" i="4"/>
  <c r="D46" i="3"/>
  <c r="M46" i="3"/>
  <c r="M41" i="3"/>
  <c r="R38" i="3"/>
  <c r="DH38" i="3"/>
  <c r="DI38" i="3"/>
  <c r="R36" i="3"/>
  <c r="DH36" i="3"/>
  <c r="DI36" i="3"/>
  <c r="C14" i="3"/>
  <c r="H9" i="10" s="1"/>
  <c r="CZ14" i="3"/>
  <c r="R13" i="3"/>
  <c r="DH13" i="3"/>
  <c r="DI13" i="3"/>
  <c r="DI48" i="2"/>
  <c r="R48" i="2"/>
  <c r="C39" i="2"/>
  <c r="G34" i="10" s="1"/>
  <c r="B32" i="8" s="1"/>
  <c r="B31" i="7" s="1"/>
  <c r="CZ39" i="2"/>
  <c r="I38" i="2"/>
  <c r="H38" i="2"/>
  <c r="C41" i="4"/>
  <c r="E40" i="4"/>
  <c r="C37" i="4"/>
  <c r="E36" i="4"/>
  <c r="E50" i="2"/>
  <c r="B45" i="10"/>
  <c r="CZ28" i="3"/>
  <c r="DA28" i="3"/>
  <c r="H27" i="3"/>
  <c r="C15" i="3"/>
  <c r="H10" i="10" s="1"/>
  <c r="G8" i="8" s="1"/>
  <c r="C7" i="7" s="1"/>
  <c r="CZ15" i="3"/>
  <c r="M14" i="3"/>
  <c r="V14" i="3"/>
  <c r="DB14" i="3" s="1"/>
  <c r="A55" i="5"/>
  <c r="D55" i="2"/>
  <c r="E55" i="2" s="1"/>
  <c r="V55" i="2"/>
  <c r="DB55" i="2" s="1"/>
  <c r="M55" i="2"/>
  <c r="R49" i="2"/>
  <c r="DH49" i="2"/>
  <c r="DI49" i="2"/>
  <c r="CZ42" i="2"/>
  <c r="L35" i="10"/>
  <c r="C33" i="8" s="1"/>
  <c r="A30" i="5"/>
  <c r="V30" i="2"/>
  <c r="DB30" i="2" s="1"/>
  <c r="A25" i="10"/>
  <c r="D30" i="2"/>
  <c r="I27" i="2"/>
  <c r="CZ25" i="2"/>
  <c r="H23" i="2"/>
  <c r="A22" i="5"/>
  <c r="V22" i="2"/>
  <c r="DB22" i="2" s="1"/>
  <c r="A17" i="10"/>
  <c r="D22" i="2"/>
  <c r="R19" i="2"/>
  <c r="DH19" i="2"/>
  <c r="DI19" i="2"/>
  <c r="P16" i="2"/>
  <c r="G16" i="2" s="1"/>
  <c r="I16" i="2" s="1"/>
  <c r="L9" i="10"/>
  <c r="C7" i="8" s="1"/>
  <c r="I19" i="5"/>
  <c r="O14" i="10" s="1"/>
  <c r="R12" i="8" s="1"/>
  <c r="E14" i="10"/>
  <c r="Q12" i="8" s="1"/>
  <c r="E11" i="7" s="1"/>
  <c r="H11" i="7" s="1"/>
  <c r="DH22" i="4"/>
  <c r="J22" i="4" s="1"/>
  <c r="S17" i="10" s="1"/>
  <c r="N15" i="8" s="1"/>
  <c r="I20" i="4"/>
  <c r="I14" i="4"/>
  <c r="DH51" i="3"/>
  <c r="J51" i="3" s="1"/>
  <c r="R46" i="10" s="1"/>
  <c r="I48" i="8" s="1"/>
  <c r="I49" i="3"/>
  <c r="C27" i="10"/>
  <c r="G25" i="8" s="1"/>
  <c r="C24" i="7" s="1"/>
  <c r="G24" i="7" s="1"/>
  <c r="I32" i="3"/>
  <c r="C17" i="10"/>
  <c r="R20" i="3"/>
  <c r="DH20" i="3"/>
  <c r="J20" i="3" s="1"/>
  <c r="R15" i="10" s="1"/>
  <c r="I13" i="8" s="1"/>
  <c r="C7" i="10"/>
  <c r="G5" i="8" s="1"/>
  <c r="C4" i="7" s="1"/>
  <c r="I12" i="3"/>
  <c r="V57" i="5"/>
  <c r="D57" i="5"/>
  <c r="M57" i="5"/>
  <c r="P54" i="2"/>
  <c r="G54" i="2" s="1"/>
  <c r="H54" i="2" s="1"/>
  <c r="P47" i="2"/>
  <c r="G47" i="2" s="1"/>
  <c r="H47" i="2" s="1"/>
  <c r="A43" i="5"/>
  <c r="A38" i="10"/>
  <c r="D43" i="2"/>
  <c r="V43" i="2"/>
  <c r="DB43" i="2" s="1"/>
  <c r="M43" i="2"/>
  <c r="R41" i="2"/>
  <c r="DH41" i="2"/>
  <c r="J41" i="2" s="1"/>
  <c r="Q36" i="10" s="1"/>
  <c r="D34" i="8" s="1"/>
  <c r="H31" i="2"/>
  <c r="I31" i="2"/>
  <c r="R27" i="2"/>
  <c r="DH27" i="2"/>
  <c r="DI27" i="2"/>
  <c r="CZ26" i="2"/>
  <c r="DA26" i="2"/>
  <c r="E26" i="2"/>
  <c r="I26" i="2"/>
  <c r="L18" i="10"/>
  <c r="C16" i="8" s="1"/>
  <c r="CZ22" i="2"/>
  <c r="DA22" i="2"/>
  <c r="I37" i="4"/>
  <c r="I33" i="4"/>
  <c r="I29" i="4"/>
  <c r="I25" i="4"/>
  <c r="I19" i="4"/>
  <c r="I13" i="4"/>
  <c r="I58" i="3"/>
  <c r="I56" i="3"/>
  <c r="B55" i="3"/>
  <c r="I48" i="2"/>
  <c r="E48" i="2"/>
  <c r="I48" i="3"/>
  <c r="B47" i="3"/>
  <c r="M35" i="3"/>
  <c r="R29" i="3"/>
  <c r="DH29" i="3"/>
  <c r="J29" i="3" s="1"/>
  <c r="V29" i="3"/>
  <c r="DB29" i="3" s="1"/>
  <c r="D29" i="3"/>
  <c r="E29" i="3" s="1"/>
  <c r="D27" i="3"/>
  <c r="M27" i="3"/>
  <c r="V27" i="3"/>
  <c r="DB27" i="3" s="1"/>
  <c r="C21" i="10"/>
  <c r="G19" i="8" s="1"/>
  <c r="C18" i="7" s="1"/>
  <c r="G18" i="7" s="1"/>
  <c r="I26" i="3"/>
  <c r="C22" i="3"/>
  <c r="H17" i="10" s="1"/>
  <c r="CZ22" i="3"/>
  <c r="D22" i="3"/>
  <c r="M22" i="3"/>
  <c r="C14" i="10"/>
  <c r="G12" i="8" s="1"/>
  <c r="C11" i="7" s="1"/>
  <c r="G11" i="7" s="1"/>
  <c r="I19" i="3"/>
  <c r="R58" i="2"/>
  <c r="DH58" i="2"/>
  <c r="J58" i="2" s="1"/>
  <c r="Q53" i="10" s="1"/>
  <c r="D55" i="8" s="1"/>
  <c r="G48" i="10"/>
  <c r="I50" i="2"/>
  <c r="G43" i="10"/>
  <c r="B45" i="8" s="1"/>
  <c r="B44" i="7" s="1"/>
  <c r="G44" i="7" s="1"/>
  <c r="CZ37" i="2"/>
  <c r="C37" i="2"/>
  <c r="B29" i="10"/>
  <c r="B27" i="8" s="1"/>
  <c r="B26" i="7" s="1"/>
  <c r="I34" i="2"/>
  <c r="CZ33" i="2"/>
  <c r="DH30" i="2"/>
  <c r="J30" i="2" s="1"/>
  <c r="Q25" i="10" s="1"/>
  <c r="D23" i="8" s="1"/>
  <c r="DI30" i="2"/>
  <c r="R30" i="2"/>
  <c r="K28" i="2"/>
  <c r="L23" i="10"/>
  <c r="C21" i="8" s="1"/>
  <c r="I24" i="2"/>
  <c r="H18" i="2"/>
  <c r="I18" i="2"/>
  <c r="B50" i="10"/>
  <c r="B52" i="8" s="1"/>
  <c r="B51" i="7" s="1"/>
  <c r="I55" i="2"/>
  <c r="B47" i="2"/>
  <c r="G42" i="10"/>
  <c r="I42" i="3"/>
  <c r="P39" i="3"/>
  <c r="G39" i="3" s="1"/>
  <c r="H39" i="3" s="1"/>
  <c r="H22" i="10"/>
  <c r="G20" i="8" s="1"/>
  <c r="C19" i="7" s="1"/>
  <c r="G19" i="7" s="1"/>
  <c r="E27" i="3"/>
  <c r="M26" i="3"/>
  <c r="C20" i="10"/>
  <c r="G18" i="8" s="1"/>
  <c r="C17" i="7" s="1"/>
  <c r="G17" i="7" s="1"/>
  <c r="I25" i="3"/>
  <c r="I20" i="3"/>
  <c r="C8" i="10"/>
  <c r="G6" i="8" s="1"/>
  <c r="C5" i="7" s="1"/>
  <c r="I13" i="3"/>
  <c r="I58" i="2"/>
  <c r="R50" i="2"/>
  <c r="DH50" i="2"/>
  <c r="DI50" i="2"/>
  <c r="V49" i="5"/>
  <c r="DB49" i="5" s="1"/>
  <c r="DR49" i="5"/>
  <c r="D49" i="5"/>
  <c r="M49" i="5"/>
  <c r="DH44" i="2"/>
  <c r="J44" i="2" s="1"/>
  <c r="Q39" i="10" s="1"/>
  <c r="D41" i="8" s="1"/>
  <c r="DI44" i="2"/>
  <c r="R44" i="2"/>
  <c r="DH42" i="2"/>
  <c r="R42" i="2"/>
  <c r="DI42" i="2"/>
  <c r="M30" i="2"/>
  <c r="P25" i="2"/>
  <c r="G25" i="2" s="1"/>
  <c r="H25" i="2" s="1"/>
  <c r="DI24" i="2"/>
  <c r="P12" i="2"/>
  <c r="G12" i="2" s="1"/>
  <c r="H12" i="2" s="1"/>
  <c r="D34" i="3"/>
  <c r="M34" i="3"/>
  <c r="R25" i="3"/>
  <c r="DH25" i="3"/>
  <c r="DI25" i="3"/>
  <c r="CZ24" i="3"/>
  <c r="DA24" i="3"/>
  <c r="D23" i="3"/>
  <c r="E23" i="3" s="1"/>
  <c r="M23" i="3"/>
  <c r="DH18" i="3"/>
  <c r="J18" i="3" s="1"/>
  <c r="R13" i="10" s="1"/>
  <c r="I11" i="8" s="1"/>
  <c r="DI18" i="3"/>
  <c r="R18" i="3"/>
  <c r="CZ17" i="3"/>
  <c r="DA17" i="3"/>
  <c r="C9" i="10"/>
  <c r="G7" i="8" s="1"/>
  <c r="C6" i="7" s="1"/>
  <c r="DI51" i="2"/>
  <c r="R51" i="2"/>
  <c r="V49" i="2"/>
  <c r="DB49" i="2" s="1"/>
  <c r="R45" i="2"/>
  <c r="DI45" i="2"/>
  <c r="A44" i="5"/>
  <c r="D44" i="2"/>
  <c r="M44" i="2"/>
  <c r="A39" i="10"/>
  <c r="V44" i="2"/>
  <c r="DB44" i="2" s="1"/>
  <c r="B38" i="10"/>
  <c r="B36" i="8" s="1"/>
  <c r="B35" i="7" s="1"/>
  <c r="G35" i="7" s="1"/>
  <c r="E43" i="2"/>
  <c r="A42" i="5"/>
  <c r="V42" i="2"/>
  <c r="DB42" i="2" s="1"/>
  <c r="A37" i="10"/>
  <c r="M42" i="2"/>
  <c r="D42" i="2"/>
  <c r="I32" i="2"/>
  <c r="CZ30" i="2"/>
  <c r="DA30" i="2"/>
  <c r="E30" i="2"/>
  <c r="B25" i="10"/>
  <c r="B23" i="8" s="1"/>
  <c r="B22" i="7" s="1"/>
  <c r="I30" i="2"/>
  <c r="CZ29" i="2"/>
  <c r="A28" i="5"/>
  <c r="D28" i="2"/>
  <c r="M28" i="2"/>
  <c r="A28" i="3"/>
  <c r="A23" i="10"/>
  <c r="L12" i="10"/>
  <c r="C10" i="8" s="1"/>
  <c r="H15" i="2"/>
  <c r="R51" i="5"/>
  <c r="C13" i="10"/>
  <c r="G11" i="8" s="1"/>
  <c r="C10" i="7" s="1"/>
  <c r="I18" i="3"/>
  <c r="G51" i="10"/>
  <c r="G49" i="10"/>
  <c r="H46" i="2"/>
  <c r="R43" i="2"/>
  <c r="DH43" i="2"/>
  <c r="DI43" i="2"/>
  <c r="DI39" i="2"/>
  <c r="J39" i="2" s="1"/>
  <c r="A34" i="5"/>
  <c r="A29" i="10"/>
  <c r="V34" i="2"/>
  <c r="DB34" i="2" s="1"/>
  <c r="D34" i="2"/>
  <c r="E34" i="2" s="1"/>
  <c r="H29" i="2"/>
  <c r="P29" i="2"/>
  <c r="G29" i="2" s="1"/>
  <c r="DH22" i="2"/>
  <c r="J22" i="2" s="1"/>
  <c r="Q17" i="10" s="1"/>
  <c r="D15" i="8" s="1"/>
  <c r="DI22" i="2"/>
  <c r="R22" i="2"/>
  <c r="CZ16" i="2"/>
  <c r="AP69" i="5"/>
  <c r="D40" i="5" s="1"/>
  <c r="C60" i="5"/>
  <c r="E60" i="5" s="1"/>
  <c r="CZ60" i="5"/>
  <c r="R59" i="5"/>
  <c r="J59" i="5"/>
  <c r="V19" i="5"/>
  <c r="DB19" i="5" s="1"/>
  <c r="M19" i="5"/>
  <c r="O7" i="10"/>
  <c r="C16" i="10"/>
  <c r="G14" i="8" s="1"/>
  <c r="C13" i="7" s="1"/>
  <c r="A59" i="5"/>
  <c r="D59" i="2"/>
  <c r="M59" i="2"/>
  <c r="H52" i="2"/>
  <c r="D49" i="2"/>
  <c r="E49" i="2" s="1"/>
  <c r="M49" i="2"/>
  <c r="CZ45" i="2"/>
  <c r="G39" i="10"/>
  <c r="A36" i="5"/>
  <c r="A31" i="10"/>
  <c r="D36" i="2"/>
  <c r="E36" i="2" s="1"/>
  <c r="M36" i="2"/>
  <c r="A26" i="5"/>
  <c r="A21" i="10"/>
  <c r="V26" i="2"/>
  <c r="DB26" i="2" s="1"/>
  <c r="D26" i="2"/>
  <c r="E24" i="2"/>
  <c r="P21" i="2"/>
  <c r="G21" i="2" s="1"/>
  <c r="I21" i="2" s="1"/>
  <c r="G13" i="10"/>
  <c r="B11" i="8" s="1"/>
  <c r="B10" i="7" s="1"/>
  <c r="L10" i="10"/>
  <c r="C8" i="8" s="1"/>
  <c r="CZ13" i="2"/>
  <c r="DA13" i="2"/>
  <c r="B8" i="10"/>
  <c r="B6" i="8" s="1"/>
  <c r="B5" i="7" s="1"/>
  <c r="E13" i="2"/>
  <c r="I13" i="2"/>
  <c r="CZ12" i="2"/>
  <c r="M21" i="3"/>
  <c r="H17" i="3"/>
  <c r="H16" i="3"/>
  <c r="H12" i="3"/>
  <c r="AC71" i="3" s="1"/>
  <c r="I60" i="2"/>
  <c r="E59" i="2"/>
  <c r="I53" i="2"/>
  <c r="CZ51" i="2"/>
  <c r="A51" i="5"/>
  <c r="D51" i="2"/>
  <c r="M51" i="2"/>
  <c r="V51" i="2"/>
  <c r="DB51" i="2" s="1"/>
  <c r="A50" i="5"/>
  <c r="D50" i="2"/>
  <c r="V50" i="2"/>
  <c r="DB50" i="2" s="1"/>
  <c r="M50" i="2"/>
  <c r="G44" i="10"/>
  <c r="B46" i="8" s="1"/>
  <c r="B45" i="7" s="1"/>
  <c r="A45" i="5"/>
  <c r="V45" i="2"/>
  <c r="DB45" i="2" s="1"/>
  <c r="E42" i="2"/>
  <c r="H33" i="2"/>
  <c r="P33" i="2"/>
  <c r="G33" i="2" s="1"/>
  <c r="DH26" i="2"/>
  <c r="J26" i="2" s="1"/>
  <c r="Q21" i="10" s="1"/>
  <c r="D19" i="8" s="1"/>
  <c r="DI26" i="2"/>
  <c r="R26" i="2"/>
  <c r="L15" i="10"/>
  <c r="C13" i="8" s="1"/>
  <c r="K20" i="2"/>
  <c r="CZ18" i="2"/>
  <c r="DA18" i="2"/>
  <c r="A18" i="5"/>
  <c r="A13" i="10"/>
  <c r="V18" i="2"/>
  <c r="DB18" i="2" s="1"/>
  <c r="A18" i="3"/>
  <c r="D18" i="2"/>
  <c r="E18" i="2" s="1"/>
  <c r="A13" i="5"/>
  <c r="A8" i="10"/>
  <c r="V13" i="2"/>
  <c r="DB13" i="2" s="1"/>
  <c r="D13" i="2"/>
  <c r="I43" i="5"/>
  <c r="O38" i="10" s="1"/>
  <c r="R36" i="8" s="1"/>
  <c r="H43" i="5"/>
  <c r="D60" i="5"/>
  <c r="M60" i="5"/>
  <c r="V58" i="5"/>
  <c r="D58" i="5"/>
  <c r="E58" i="5" s="1"/>
  <c r="CZ57" i="2"/>
  <c r="DR54" i="5"/>
  <c r="V54" i="5"/>
  <c r="DB54" i="5" s="1"/>
  <c r="M54" i="5"/>
  <c r="G45" i="10"/>
  <c r="B36" i="10"/>
  <c r="B34" i="8" s="1"/>
  <c r="B33" i="7" s="1"/>
  <c r="I41" i="2"/>
  <c r="M40" i="5"/>
  <c r="V40" i="5"/>
  <c r="DB40" i="5" s="1"/>
  <c r="M39" i="5"/>
  <c r="E32" i="2"/>
  <c r="E28" i="2"/>
  <c r="E20" i="2"/>
  <c r="H17" i="2"/>
  <c r="E15" i="2"/>
  <c r="B37" i="10"/>
  <c r="B35" i="8" s="1"/>
  <c r="B34" i="7" s="1"/>
  <c r="R26" i="5"/>
  <c r="DH26" i="5"/>
  <c r="J26" i="5" s="1"/>
  <c r="C16" i="3"/>
  <c r="M60" i="2"/>
  <c r="D60" i="2"/>
  <c r="E60" i="2" s="1"/>
  <c r="CZ56" i="2"/>
  <c r="D46" i="5"/>
  <c r="DR46" i="5"/>
  <c r="V46" i="5"/>
  <c r="DB46" i="5" s="1"/>
  <c r="M46" i="5"/>
  <c r="D39" i="2"/>
  <c r="A35" i="10"/>
  <c r="M58" i="5"/>
  <c r="I28" i="3"/>
  <c r="I24" i="3"/>
  <c r="I17" i="3"/>
  <c r="D58" i="2"/>
  <c r="E58" i="2" s="1"/>
  <c r="D54" i="2"/>
  <c r="A53" i="5"/>
  <c r="D53" i="2"/>
  <c r="E53" i="2" s="1"/>
  <c r="M53" i="2"/>
  <c r="D40" i="2"/>
  <c r="M39" i="2"/>
  <c r="B32" i="10"/>
  <c r="B30" i="10"/>
  <c r="B28" i="8" s="1"/>
  <c r="B27" i="7" s="1"/>
  <c r="G27" i="7" s="1"/>
  <c r="E35" i="2"/>
  <c r="I33" i="2"/>
  <c r="E27" i="2"/>
  <c r="B18" i="10"/>
  <c r="B16" i="8" s="1"/>
  <c r="B15" i="7" s="1"/>
  <c r="G15" i="7" s="1"/>
  <c r="E23" i="2"/>
  <c r="E19" i="2"/>
  <c r="B9" i="10"/>
  <c r="B7" i="8" s="1"/>
  <c r="B6" i="7" s="1"/>
  <c r="G6" i="7" s="1"/>
  <c r="E14" i="2"/>
  <c r="H13" i="2"/>
  <c r="A34" i="10"/>
  <c r="G10" i="10"/>
  <c r="B8" i="8" s="1"/>
  <c r="B7" i="7" s="1"/>
  <c r="G7" i="7" s="1"/>
  <c r="CZ55" i="5"/>
  <c r="R54" i="5"/>
  <c r="J54" i="5"/>
  <c r="T49" i="10" s="1"/>
  <c r="S51" i="8" s="1"/>
  <c r="I16" i="3"/>
  <c r="M58" i="2"/>
  <c r="M54" i="2"/>
  <c r="V48" i="2"/>
  <c r="DB48" i="2" s="1"/>
  <c r="A48" i="5"/>
  <c r="V47" i="5"/>
  <c r="DB47" i="5" s="1"/>
  <c r="D47" i="5"/>
  <c r="DR47" i="5"/>
  <c r="M47" i="5"/>
  <c r="CZ46" i="2"/>
  <c r="M40" i="2"/>
  <c r="A38" i="5"/>
  <c r="A33" i="10"/>
  <c r="V38" i="2"/>
  <c r="DB38" i="2" s="1"/>
  <c r="CZ36" i="2"/>
  <c r="A35" i="5"/>
  <c r="A30" i="10"/>
  <c r="D35" i="2"/>
  <c r="M35" i="2"/>
  <c r="CZ32" i="2"/>
  <c r="A31" i="5"/>
  <c r="D31" i="2"/>
  <c r="E31" i="2" s="1"/>
  <c r="M31" i="2"/>
  <c r="CZ28" i="2"/>
  <c r="A27" i="5"/>
  <c r="A22" i="10"/>
  <c r="D27" i="2"/>
  <c r="M27" i="2"/>
  <c r="CZ24" i="2"/>
  <c r="A23" i="5"/>
  <c r="A18" i="10"/>
  <c r="D23" i="2"/>
  <c r="M23" i="2"/>
  <c r="CZ20" i="2"/>
  <c r="D19" i="2"/>
  <c r="M19" i="2"/>
  <c r="CZ15" i="2"/>
  <c r="A14" i="5"/>
  <c r="A9" i="10"/>
  <c r="D14" i="2"/>
  <c r="M14" i="2"/>
  <c r="R42" i="5"/>
  <c r="DH42" i="5"/>
  <c r="DI42" i="5"/>
  <c r="I37" i="5"/>
  <c r="O32" i="10" s="1"/>
  <c r="R30" i="8" s="1"/>
  <c r="E32" i="10"/>
  <c r="Q30" i="8" s="1"/>
  <c r="E29" i="7" s="1"/>
  <c r="H29" i="7" s="1"/>
  <c r="J27" i="10"/>
  <c r="Q25" i="8" s="1"/>
  <c r="E24" i="7" s="1"/>
  <c r="H24" i="7" s="1"/>
  <c r="P50" i="5"/>
  <c r="G50" i="5" s="1"/>
  <c r="H50" i="5" s="1"/>
  <c r="C41" i="5"/>
  <c r="CZ41" i="5"/>
  <c r="R36" i="5"/>
  <c r="DI36" i="5"/>
  <c r="DH36" i="5"/>
  <c r="J36" i="5" s="1"/>
  <c r="H17" i="5"/>
  <c r="I17" i="5"/>
  <c r="O12" i="10" s="1"/>
  <c r="R10" i="8" s="1"/>
  <c r="CZ16" i="5"/>
  <c r="C16" i="5"/>
  <c r="C16" i="2"/>
  <c r="J23" i="10"/>
  <c r="Q21" i="8" s="1"/>
  <c r="E20" i="7" s="1"/>
  <c r="H20" i="7" s="1"/>
  <c r="A21" i="5"/>
  <c r="E13" i="10"/>
  <c r="Q11" i="8" s="1"/>
  <c r="E10" i="7" s="1"/>
  <c r="H10" i="7" s="1"/>
  <c r="D56" i="5"/>
  <c r="M56" i="5"/>
  <c r="DR56" i="5"/>
  <c r="V56" i="5"/>
  <c r="DB56" i="5" s="1"/>
  <c r="A41" i="5"/>
  <c r="A36" i="10"/>
  <c r="V37" i="5"/>
  <c r="DB37" i="5" s="1"/>
  <c r="D37" i="5"/>
  <c r="E37" i="5" s="1"/>
  <c r="M37" i="5"/>
  <c r="A28" i="10"/>
  <c r="A33" i="5"/>
  <c r="I29" i="2"/>
  <c r="V29" i="5"/>
  <c r="DB29" i="5" s="1"/>
  <c r="M29" i="5"/>
  <c r="I25" i="2"/>
  <c r="A25" i="5"/>
  <c r="A20" i="10"/>
  <c r="I12" i="2"/>
  <c r="A12" i="5"/>
  <c r="A7" i="10"/>
  <c r="A32" i="10"/>
  <c r="P35" i="5"/>
  <c r="G35" i="5" s="1"/>
  <c r="I35" i="5" s="1"/>
  <c r="O30" i="10" s="1"/>
  <c r="R28" i="8" s="1"/>
  <c r="E57" i="5"/>
  <c r="P53" i="5"/>
  <c r="G53" i="5" s="1"/>
  <c r="H53" i="5"/>
  <c r="DH44" i="5"/>
  <c r="DI44" i="5"/>
  <c r="R44" i="5"/>
  <c r="CZ38" i="5"/>
  <c r="C38" i="5"/>
  <c r="J33" i="10" s="1"/>
  <c r="Q31" i="8" s="1"/>
  <c r="E30" i="7" s="1"/>
  <c r="H30" i="7" s="1"/>
  <c r="CZ24" i="5"/>
  <c r="DA24" i="5"/>
  <c r="P15" i="5"/>
  <c r="G15" i="5" s="1"/>
  <c r="H15" i="5" s="1"/>
  <c r="R41" i="5"/>
  <c r="J40" i="5"/>
  <c r="R20" i="5"/>
  <c r="DH20" i="5"/>
  <c r="J20" i="5" s="1"/>
  <c r="DI20" i="5"/>
  <c r="R12" i="5"/>
  <c r="DH12" i="5"/>
  <c r="J12" i="5" s="1"/>
  <c r="DI12" i="5"/>
  <c r="F70" i="5"/>
  <c r="X70" i="5"/>
  <c r="G70" i="5"/>
  <c r="Y70" i="5"/>
  <c r="E70" i="5"/>
  <c r="W70" i="5"/>
  <c r="AE70" i="5"/>
  <c r="C70" i="5"/>
  <c r="AA70" i="5"/>
  <c r="D70" i="5"/>
  <c r="H70" i="5"/>
  <c r="B70" i="5"/>
  <c r="C53" i="5"/>
  <c r="CZ53" i="5"/>
  <c r="H48" i="5"/>
  <c r="C42" i="5"/>
  <c r="J37" i="10" s="1"/>
  <c r="Q35" i="8" s="1"/>
  <c r="E34" i="7" s="1"/>
  <c r="H34" i="7" s="1"/>
  <c r="CZ42" i="5"/>
  <c r="I33" i="5"/>
  <c r="O28" i="10" s="1"/>
  <c r="R26" i="8" s="1"/>
  <c r="H31" i="5"/>
  <c r="P31" i="5"/>
  <c r="G31" i="5" s="1"/>
  <c r="I31" i="5" s="1"/>
  <c r="O26" i="10" s="1"/>
  <c r="R24" i="8" s="1"/>
  <c r="CZ14" i="5"/>
  <c r="J60" i="5"/>
  <c r="T52" i="10" s="1"/>
  <c r="S54" i="8" s="1"/>
  <c r="J56" i="5"/>
  <c r="T51" i="10" s="1"/>
  <c r="S53" i="8" s="1"/>
  <c r="J41" i="5"/>
  <c r="R34" i="5"/>
  <c r="DI34" i="5"/>
  <c r="J34" i="5" s="1"/>
  <c r="I29" i="5"/>
  <c r="O24" i="10" s="1"/>
  <c r="R22" i="8" s="1"/>
  <c r="E24" i="10"/>
  <c r="Q22" i="8" s="1"/>
  <c r="E21" i="7" s="1"/>
  <c r="H21" i="7" s="1"/>
  <c r="H27" i="5"/>
  <c r="P27" i="5"/>
  <c r="G27" i="5" s="1"/>
  <c r="I27" i="5" s="1"/>
  <c r="O22" i="10" s="1"/>
  <c r="R20" i="8" s="1"/>
  <c r="J16" i="10"/>
  <c r="Q14" i="8" s="1"/>
  <c r="E13" i="7" s="1"/>
  <c r="H13" i="7" s="1"/>
  <c r="C15" i="5"/>
  <c r="J10" i="10" s="1"/>
  <c r="CZ15" i="5"/>
  <c r="CZ52" i="5"/>
  <c r="CZ47" i="5"/>
  <c r="CZ40" i="5"/>
  <c r="C40" i="5"/>
  <c r="C39" i="5"/>
  <c r="CZ39" i="5"/>
  <c r="CZ37" i="5"/>
  <c r="I36" i="5"/>
  <c r="O31" i="10" s="1"/>
  <c r="R29" i="8" s="1"/>
  <c r="J21" i="5"/>
  <c r="H52" i="5"/>
  <c r="H47" i="5"/>
  <c r="DA44" i="5"/>
  <c r="H39" i="5"/>
  <c r="H37" i="5"/>
  <c r="C26" i="5"/>
  <c r="I20" i="5"/>
  <c r="O15" i="10" s="1"/>
  <c r="R13" i="8" s="1"/>
  <c r="CZ56" i="5"/>
  <c r="CZ54" i="5"/>
  <c r="CZ43" i="5"/>
  <c r="P38" i="5"/>
  <c r="G38" i="5" s="1"/>
  <c r="I38" i="5" s="1"/>
  <c r="O33" i="10" s="1"/>
  <c r="R31" i="8" s="1"/>
  <c r="H24" i="5"/>
  <c r="I24" i="5"/>
  <c r="O19" i="10" s="1"/>
  <c r="R17" i="8" s="1"/>
  <c r="H13" i="5"/>
  <c r="AP68" i="5"/>
  <c r="H57" i="5"/>
  <c r="H55" i="5"/>
  <c r="DA61" i="5"/>
  <c r="P58" i="5"/>
  <c r="G58" i="5" s="1"/>
  <c r="I58" i="5" s="1"/>
  <c r="P49" i="5"/>
  <c r="G49" i="5" s="1"/>
  <c r="H49" i="5" s="1"/>
  <c r="H45" i="5"/>
  <c r="DI32" i="5"/>
  <c r="R32" i="5"/>
  <c r="DI28" i="5"/>
  <c r="R28" i="5"/>
  <c r="I22" i="5"/>
  <c r="O17" i="10" s="1"/>
  <c r="R15" i="8" s="1"/>
  <c r="CZ21" i="5"/>
  <c r="H19" i="5"/>
  <c r="P18" i="5"/>
  <c r="G18" i="5" s="1"/>
  <c r="I18" i="5" s="1"/>
  <c r="O13" i="10" s="1"/>
  <c r="R11" i="8" s="1"/>
  <c r="R25" i="5"/>
  <c r="DH25" i="5"/>
  <c r="J25" i="5" s="1"/>
  <c r="DI25" i="5"/>
  <c r="C22" i="5"/>
  <c r="J17" i="10" s="1"/>
  <c r="Q15" i="8" s="1"/>
  <c r="E14" i="7" s="1"/>
  <c r="H14" i="7" s="1"/>
  <c r="CZ22" i="5"/>
  <c r="H16" i="5"/>
  <c r="C50" i="5"/>
  <c r="I32" i="5"/>
  <c r="O27" i="10" s="1"/>
  <c r="R25" i="8" s="1"/>
  <c r="I28" i="5"/>
  <c r="O23" i="10" s="1"/>
  <c r="R21" i="8" s="1"/>
  <c r="I26" i="5"/>
  <c r="O21" i="10" s="1"/>
  <c r="R19" i="8" s="1"/>
  <c r="H23" i="5"/>
  <c r="H22" i="5"/>
  <c r="I21" i="5"/>
  <c r="O16" i="10" s="1"/>
  <c r="R14" i="8" s="1"/>
  <c r="CZ13" i="5"/>
  <c r="DH32" i="5"/>
  <c r="J32" i="5" s="1"/>
  <c r="DH28" i="5"/>
  <c r="J28" i="5" s="1"/>
  <c r="I40" i="5"/>
  <c r="O35" i="10" s="1"/>
  <c r="R33" i="8" s="1"/>
  <c r="CZ36" i="5"/>
  <c r="CZ34" i="5"/>
  <c r="H33" i="5"/>
  <c r="CZ30" i="5"/>
  <c r="H29" i="5"/>
  <c r="DH15" i="5" l="1"/>
  <c r="J15" i="5" s="1"/>
  <c r="R15" i="5"/>
  <c r="DI15" i="5"/>
  <c r="DI25" i="2"/>
  <c r="DH25" i="2"/>
  <c r="J25" i="2" s="1"/>
  <c r="Q20" i="10" s="1"/>
  <c r="D18" i="8" s="1"/>
  <c r="R25" i="2"/>
  <c r="O17" i="7"/>
  <c r="R47" i="2"/>
  <c r="DI47" i="2"/>
  <c r="DH47" i="2"/>
  <c r="J47" i="2" s="1"/>
  <c r="Q42" i="10" s="1"/>
  <c r="D44" i="8" s="1"/>
  <c r="O43" i="7"/>
  <c r="DI26" i="6"/>
  <c r="DH26" i="6"/>
  <c r="J26" i="6" s="1"/>
  <c r="U21" i="10" s="1"/>
  <c r="X19" i="8" s="1"/>
  <c r="R26" i="6"/>
  <c r="R49" i="5"/>
  <c r="J49" i="5"/>
  <c r="T44" i="10" s="1"/>
  <c r="S46" i="8" s="1"/>
  <c r="DH59" i="3"/>
  <c r="DI59" i="3"/>
  <c r="R59" i="3"/>
  <c r="DH43" i="3"/>
  <c r="DI43" i="3"/>
  <c r="R43" i="3"/>
  <c r="P35" i="7"/>
  <c r="P44" i="10"/>
  <c r="W46" i="8" s="1"/>
  <c r="R54" i="2"/>
  <c r="DH54" i="2"/>
  <c r="DI54" i="2"/>
  <c r="O50" i="7"/>
  <c r="DH50" i="4"/>
  <c r="DI50" i="4"/>
  <c r="Q46" i="7"/>
  <c r="R50" i="4"/>
  <c r="DH30" i="3"/>
  <c r="DI30" i="3"/>
  <c r="R30" i="3"/>
  <c r="P22" i="7"/>
  <c r="R37" i="2"/>
  <c r="DI37" i="2"/>
  <c r="DH37" i="2"/>
  <c r="O29" i="7"/>
  <c r="K34" i="5"/>
  <c r="T29" i="10"/>
  <c r="S27" i="8" s="1"/>
  <c r="J50" i="5"/>
  <c r="T45" i="10" s="1"/>
  <c r="S47" i="8" s="1"/>
  <c r="R50" i="5"/>
  <c r="Q34" i="10"/>
  <c r="D32" i="8" s="1"/>
  <c r="K39" i="2"/>
  <c r="DI12" i="2"/>
  <c r="DH12" i="2"/>
  <c r="R12" i="2"/>
  <c r="O4" i="7"/>
  <c r="DI37" i="4"/>
  <c r="DH37" i="4"/>
  <c r="J37" i="4" s="1"/>
  <c r="S32" i="10" s="1"/>
  <c r="N30" i="8" s="1"/>
  <c r="R37" i="4"/>
  <c r="Q29" i="7"/>
  <c r="N44" i="10"/>
  <c r="M46" i="8" s="1"/>
  <c r="R47" i="4"/>
  <c r="DI47" i="4"/>
  <c r="Q43" i="7"/>
  <c r="DH47" i="4"/>
  <c r="J47" i="4" s="1"/>
  <c r="S42" i="10" s="1"/>
  <c r="N44" i="8" s="1"/>
  <c r="DH28" i="6"/>
  <c r="J28" i="6" s="1"/>
  <c r="U23" i="10" s="1"/>
  <c r="X21" i="8" s="1"/>
  <c r="DI28" i="6"/>
  <c r="R28" i="6"/>
  <c r="N36" i="10"/>
  <c r="M34" i="8" s="1"/>
  <c r="DI39" i="3"/>
  <c r="R39" i="3"/>
  <c r="DH39" i="3"/>
  <c r="J39" i="3" s="1"/>
  <c r="R34" i="10" s="1"/>
  <c r="I32" i="8" s="1"/>
  <c r="P31" i="7"/>
  <c r="L16" i="10"/>
  <c r="C14" i="8" s="1"/>
  <c r="DI28" i="3"/>
  <c r="R28" i="3"/>
  <c r="P20" i="7"/>
  <c r="DH28" i="3"/>
  <c r="J28" i="3" s="1"/>
  <c r="R23" i="10" s="1"/>
  <c r="I21" i="8" s="1"/>
  <c r="K28" i="5"/>
  <c r="T23" i="10"/>
  <c r="S21" i="8" s="1"/>
  <c r="R46" i="2"/>
  <c r="DI46" i="2"/>
  <c r="DH46" i="2"/>
  <c r="O42" i="7"/>
  <c r="N20" i="10"/>
  <c r="M18" i="8" s="1"/>
  <c r="K25" i="4"/>
  <c r="D43" i="5"/>
  <c r="E43" i="5" s="1"/>
  <c r="V43" i="5"/>
  <c r="DB43" i="5" s="1"/>
  <c r="M43" i="5"/>
  <c r="M27" i="10"/>
  <c r="H25" i="8" s="1"/>
  <c r="R23" i="2"/>
  <c r="DH23" i="2"/>
  <c r="DI23" i="2"/>
  <c r="O15" i="7"/>
  <c r="G54" i="8"/>
  <c r="C53" i="7" s="1"/>
  <c r="M32" i="10"/>
  <c r="H30" i="8" s="1"/>
  <c r="K37" i="3"/>
  <c r="K32" i="5"/>
  <c r="T27" i="10"/>
  <c r="S25" i="8" s="1"/>
  <c r="G33" i="7"/>
  <c r="K60" i="2"/>
  <c r="J13" i="3"/>
  <c r="R8" i="10" s="1"/>
  <c r="I6" i="8" s="1"/>
  <c r="DI19" i="4"/>
  <c r="Q11" i="7"/>
  <c r="DH19" i="4"/>
  <c r="R19" i="4"/>
  <c r="V20" i="5"/>
  <c r="DB20" i="5" s="1"/>
  <c r="D20" i="5"/>
  <c r="E20" i="5" s="1"/>
  <c r="M20" i="5"/>
  <c r="B41" i="10"/>
  <c r="B43" i="8" s="1"/>
  <c r="B42" i="7" s="1"/>
  <c r="G42" i="7" s="1"/>
  <c r="I46" i="2"/>
  <c r="E46" i="2"/>
  <c r="N33" i="10"/>
  <c r="M31" i="8" s="1"/>
  <c r="K38" i="4"/>
  <c r="V17" i="3"/>
  <c r="DB17" i="3" s="1"/>
  <c r="D17" i="3"/>
  <c r="E17" i="3" s="1"/>
  <c r="M17" i="3"/>
  <c r="J50" i="3"/>
  <c r="R45" i="10" s="1"/>
  <c r="I47" i="8" s="1"/>
  <c r="P34" i="10"/>
  <c r="W32" i="8" s="1"/>
  <c r="H49" i="6"/>
  <c r="R39" i="4"/>
  <c r="DH39" i="4"/>
  <c r="Q31" i="7"/>
  <c r="DI39" i="4"/>
  <c r="DH22" i="5"/>
  <c r="J22" i="5" s="1"/>
  <c r="R22" i="5"/>
  <c r="DI22" i="5"/>
  <c r="DH37" i="5"/>
  <c r="R37" i="5"/>
  <c r="DI37" i="5"/>
  <c r="K36" i="5"/>
  <c r="T31" i="10"/>
  <c r="S29" i="8" s="1"/>
  <c r="D27" i="5"/>
  <c r="E27" i="5" s="1"/>
  <c r="M27" i="5"/>
  <c r="V27" i="5"/>
  <c r="DB27" i="5" s="1"/>
  <c r="D53" i="5"/>
  <c r="M53" i="5"/>
  <c r="V53" i="5"/>
  <c r="DB53" i="5" s="1"/>
  <c r="DR53" i="5"/>
  <c r="B53" i="5" s="1"/>
  <c r="F33" i="8"/>
  <c r="P33" i="8"/>
  <c r="A33" i="8"/>
  <c r="K33" i="8"/>
  <c r="U33" i="8"/>
  <c r="A32" i="7" s="1"/>
  <c r="K32" i="7" s="1"/>
  <c r="G32" i="10"/>
  <c r="B30" i="8" s="1"/>
  <c r="B29" i="7" s="1"/>
  <c r="G29" i="7" s="1"/>
  <c r="M53" i="10"/>
  <c r="H55" i="8" s="1"/>
  <c r="K58" i="3"/>
  <c r="E22" i="3"/>
  <c r="K60" i="5"/>
  <c r="O52" i="10"/>
  <c r="R54" i="8" s="1"/>
  <c r="DI58" i="3"/>
  <c r="DH58" i="3"/>
  <c r="J58" i="3" s="1"/>
  <c r="R53" i="10" s="1"/>
  <c r="I55" i="8" s="1"/>
  <c r="R58" i="3"/>
  <c r="P54" i="7"/>
  <c r="M30" i="10"/>
  <c r="H28" i="8" s="1"/>
  <c r="J53" i="10"/>
  <c r="Q55" i="8" s="1"/>
  <c r="E54" i="7" s="1"/>
  <c r="H54" i="7" s="1"/>
  <c r="DR58" i="6"/>
  <c r="V71" i="4"/>
  <c r="M52" i="10"/>
  <c r="H54" i="8" s="1"/>
  <c r="K57" i="3"/>
  <c r="DI33" i="4"/>
  <c r="R33" i="4"/>
  <c r="Q25" i="7"/>
  <c r="DH33" i="4"/>
  <c r="N22" i="10"/>
  <c r="M20" i="8" s="1"/>
  <c r="K27" i="4"/>
  <c r="P26" i="10"/>
  <c r="W24" i="8" s="1"/>
  <c r="DH48" i="4"/>
  <c r="J48" i="4" s="1"/>
  <c r="S43" i="10" s="1"/>
  <c r="N45" i="8" s="1"/>
  <c r="R48" i="4"/>
  <c r="Q44" i="7"/>
  <c r="DI48" i="4"/>
  <c r="DH18" i="4"/>
  <c r="DI18" i="4"/>
  <c r="R18" i="4"/>
  <c r="Q10" i="7"/>
  <c r="K27" i="10"/>
  <c r="E32" i="6"/>
  <c r="D36" i="3"/>
  <c r="E36" i="3" s="1"/>
  <c r="P20" i="10"/>
  <c r="W18" i="8" s="1"/>
  <c r="R45" i="5"/>
  <c r="R13" i="5"/>
  <c r="DH13" i="5"/>
  <c r="J13" i="5" s="1"/>
  <c r="DI13" i="5"/>
  <c r="DI31" i="5"/>
  <c r="R31" i="5"/>
  <c r="DH31" i="5"/>
  <c r="J31" i="5" s="1"/>
  <c r="AP70" i="5"/>
  <c r="K20" i="5"/>
  <c r="T15" i="10"/>
  <c r="S13" i="8" s="1"/>
  <c r="A18" i="8"/>
  <c r="K18" i="8"/>
  <c r="U18" i="8"/>
  <c r="A17" i="7" s="1"/>
  <c r="K17" i="7" s="1"/>
  <c r="P18" i="8"/>
  <c r="F18" i="8"/>
  <c r="A26" i="8"/>
  <c r="K26" i="8"/>
  <c r="U26" i="8"/>
  <c r="A25" i="7" s="1"/>
  <c r="K25" i="7" s="1"/>
  <c r="P26" i="8"/>
  <c r="F26" i="8"/>
  <c r="F7" i="8"/>
  <c r="P7" i="8"/>
  <c r="K7" i="8"/>
  <c r="A7" i="8"/>
  <c r="U7" i="8"/>
  <c r="A6" i="7" s="1"/>
  <c r="K6" i="7" s="1"/>
  <c r="A16" i="8"/>
  <c r="K16" i="8"/>
  <c r="U16" i="8"/>
  <c r="A15" i="7" s="1"/>
  <c r="K15" i="7" s="1"/>
  <c r="F16" i="8"/>
  <c r="P16" i="8"/>
  <c r="B47" i="5"/>
  <c r="J42" i="10"/>
  <c r="I37" i="2"/>
  <c r="DI33" i="2"/>
  <c r="DH33" i="2"/>
  <c r="J33" i="2" s="1"/>
  <c r="Q28" i="10" s="1"/>
  <c r="D26" i="8" s="1"/>
  <c r="R33" i="2"/>
  <c r="O25" i="7"/>
  <c r="D26" i="5"/>
  <c r="M26" i="5"/>
  <c r="V26" i="5"/>
  <c r="DB26" i="5" s="1"/>
  <c r="DI29" i="2"/>
  <c r="DH29" i="2"/>
  <c r="J29" i="2" s="1"/>
  <c r="Q24" i="10" s="1"/>
  <c r="D22" i="8" s="1"/>
  <c r="R29" i="2"/>
  <c r="O21" i="7"/>
  <c r="M28" i="5"/>
  <c r="D28" i="5"/>
  <c r="E28" i="5" s="1"/>
  <c r="V28" i="5"/>
  <c r="DB28" i="5" s="1"/>
  <c r="A40" i="10"/>
  <c r="P41" i="8"/>
  <c r="F41" i="8"/>
  <c r="A41" i="8"/>
  <c r="U41" i="8"/>
  <c r="A40" i="7" s="1"/>
  <c r="K40" i="7" s="1"/>
  <c r="K41" i="8"/>
  <c r="M8" i="10"/>
  <c r="H6" i="8" s="1"/>
  <c r="D26" i="3"/>
  <c r="E26" i="3" s="1"/>
  <c r="C42" i="10"/>
  <c r="G44" i="8" s="1"/>
  <c r="C43" i="7" s="1"/>
  <c r="I47" i="3"/>
  <c r="E47" i="3"/>
  <c r="N14" i="10"/>
  <c r="M12" i="8" s="1"/>
  <c r="A36" i="8"/>
  <c r="K36" i="8"/>
  <c r="U36" i="8"/>
  <c r="A35" i="7" s="1"/>
  <c r="K35" i="7" s="1"/>
  <c r="F36" i="8"/>
  <c r="P36" i="8"/>
  <c r="N9" i="10"/>
  <c r="M7" i="8" s="1"/>
  <c r="H16" i="2"/>
  <c r="D22" i="5"/>
  <c r="E22" i="5" s="1"/>
  <c r="M22" i="5"/>
  <c r="V22" i="5"/>
  <c r="DB22" i="5" s="1"/>
  <c r="R27" i="3"/>
  <c r="DI27" i="3"/>
  <c r="P19" i="7"/>
  <c r="DH27" i="3"/>
  <c r="I32" i="10"/>
  <c r="L30" i="8" s="1"/>
  <c r="D29" i="7" s="1"/>
  <c r="DR57" i="5"/>
  <c r="B57" i="4"/>
  <c r="J57" i="4"/>
  <c r="L54" i="8"/>
  <c r="D53" i="7" s="1"/>
  <c r="N29" i="10"/>
  <c r="M27" i="8" s="1"/>
  <c r="R35" i="2"/>
  <c r="DH35" i="2"/>
  <c r="DI35" i="2"/>
  <c r="O27" i="7"/>
  <c r="N27" i="10"/>
  <c r="M25" i="8" s="1"/>
  <c r="P27" i="10"/>
  <c r="W25" i="8" s="1"/>
  <c r="D38" i="3"/>
  <c r="E38" i="3" s="1"/>
  <c r="DI46" i="3"/>
  <c r="P42" i="7"/>
  <c r="R46" i="3"/>
  <c r="DH46" i="3"/>
  <c r="J46" i="3" s="1"/>
  <c r="R41" i="10" s="1"/>
  <c r="I43" i="8" s="1"/>
  <c r="N16" i="10"/>
  <c r="M14" i="8" s="1"/>
  <c r="K21" i="4"/>
  <c r="H60" i="4"/>
  <c r="R60" i="4" s="1"/>
  <c r="J56" i="6"/>
  <c r="U51" i="10" s="1"/>
  <c r="X53" i="8" s="1"/>
  <c r="R56" i="6"/>
  <c r="L51" i="10"/>
  <c r="C53" i="8" s="1"/>
  <c r="K56" i="2"/>
  <c r="D18" i="4"/>
  <c r="E18" i="4" s="1"/>
  <c r="D19" i="4"/>
  <c r="E19" i="4" s="1"/>
  <c r="D21" i="4"/>
  <c r="E21" i="4" s="1"/>
  <c r="D29" i="4"/>
  <c r="E29" i="4" s="1"/>
  <c r="D30" i="4"/>
  <c r="E30" i="4" s="1"/>
  <c r="D14" i="4"/>
  <c r="E14" i="4" s="1"/>
  <c r="D33" i="4"/>
  <c r="E33" i="4" s="1"/>
  <c r="D38" i="4"/>
  <c r="E38" i="4" s="1"/>
  <c r="D37" i="4"/>
  <c r="E37" i="4" s="1"/>
  <c r="D54" i="4"/>
  <c r="D13" i="4"/>
  <c r="E13" i="4" s="1"/>
  <c r="D22" i="4"/>
  <c r="E22" i="4" s="1"/>
  <c r="D26" i="4"/>
  <c r="E26" i="4" s="1"/>
  <c r="D41" i="4"/>
  <c r="D25" i="4"/>
  <c r="E25" i="4" s="1"/>
  <c r="D34" i="4"/>
  <c r="E34" i="4" s="1"/>
  <c r="J46" i="6"/>
  <c r="U41" i="10" s="1"/>
  <c r="X43" i="8" s="1"/>
  <c r="R46" i="6"/>
  <c r="G23" i="8"/>
  <c r="C22" i="7" s="1"/>
  <c r="G22" i="7" s="1"/>
  <c r="D32" i="4"/>
  <c r="E32" i="4" s="1"/>
  <c r="M32" i="4"/>
  <c r="V32" i="4"/>
  <c r="DB32" i="4" s="1"/>
  <c r="D12" i="4"/>
  <c r="I28" i="6"/>
  <c r="F43" i="10"/>
  <c r="E48" i="6"/>
  <c r="I48" i="6"/>
  <c r="A10" i="8"/>
  <c r="K10" i="8"/>
  <c r="U10" i="8"/>
  <c r="A9" i="7" s="1"/>
  <c r="K9" i="7" s="1"/>
  <c r="F10" i="8"/>
  <c r="P10" i="8"/>
  <c r="F25" i="8"/>
  <c r="P25" i="8"/>
  <c r="U25" i="8"/>
  <c r="A24" i="7" s="1"/>
  <c r="K24" i="7" s="1"/>
  <c r="A25" i="8"/>
  <c r="K25" i="8"/>
  <c r="D40" i="3"/>
  <c r="E40" i="3" s="1"/>
  <c r="K24" i="4"/>
  <c r="DI18" i="6"/>
  <c r="R18" i="6"/>
  <c r="DH18" i="6"/>
  <c r="J18" i="6" s="1"/>
  <c r="U13" i="10" s="1"/>
  <c r="X11" i="8" s="1"/>
  <c r="P13" i="10"/>
  <c r="W11" i="8" s="1"/>
  <c r="R27" i="6"/>
  <c r="DH27" i="6"/>
  <c r="DI27" i="6"/>
  <c r="M26" i="9"/>
  <c r="J26" i="9"/>
  <c r="D28" i="9"/>
  <c r="J51" i="4"/>
  <c r="S46" i="10" s="1"/>
  <c r="N48" i="8" s="1"/>
  <c r="F50" i="10"/>
  <c r="V52" i="8" s="1"/>
  <c r="F51" i="7" s="1"/>
  <c r="I51" i="7" s="1"/>
  <c r="I55" i="6"/>
  <c r="E55" i="6"/>
  <c r="K41" i="9"/>
  <c r="L41" i="9" s="1"/>
  <c r="I15" i="5"/>
  <c r="DH49" i="3"/>
  <c r="DI49" i="3"/>
  <c r="R49" i="3"/>
  <c r="P45" i="7"/>
  <c r="X67" i="6"/>
  <c r="H52" i="10"/>
  <c r="E57" i="3"/>
  <c r="J41" i="3"/>
  <c r="H17" i="4"/>
  <c r="DI25" i="4"/>
  <c r="R25" i="4"/>
  <c r="Q17" i="7"/>
  <c r="DH25" i="4"/>
  <c r="J25" i="4" s="1"/>
  <c r="S20" i="10" s="1"/>
  <c r="N18" i="8" s="1"/>
  <c r="D7" i="9"/>
  <c r="K7" i="9" s="1"/>
  <c r="M5" i="9"/>
  <c r="J5" i="9"/>
  <c r="L5" i="9" s="1"/>
  <c r="V25" i="5"/>
  <c r="DB25" i="5" s="1"/>
  <c r="D25" i="5"/>
  <c r="E25" i="5" s="1"/>
  <c r="M25" i="5"/>
  <c r="A6" i="8"/>
  <c r="K6" i="8"/>
  <c r="U6" i="8"/>
  <c r="A5" i="7" s="1"/>
  <c r="K5" i="7" s="1"/>
  <c r="F6" i="8"/>
  <c r="P6" i="8"/>
  <c r="M50" i="5"/>
  <c r="DR50" i="5"/>
  <c r="B50" i="5" s="1"/>
  <c r="D50" i="5"/>
  <c r="V50" i="5"/>
  <c r="DB50" i="5" s="1"/>
  <c r="L8" i="10"/>
  <c r="C6" i="8" s="1"/>
  <c r="R5" i="8"/>
  <c r="L26" i="10"/>
  <c r="C24" i="8" s="1"/>
  <c r="N15" i="10"/>
  <c r="M13" i="8" s="1"/>
  <c r="F13" i="8"/>
  <c r="P13" i="8"/>
  <c r="K13" i="8"/>
  <c r="A13" i="8"/>
  <c r="U13" i="8"/>
  <c r="A12" i="7" s="1"/>
  <c r="K12" i="7" s="1"/>
  <c r="R47" i="3"/>
  <c r="DI47" i="3"/>
  <c r="DH47" i="3"/>
  <c r="J47" i="3" s="1"/>
  <c r="R42" i="10" s="1"/>
  <c r="I44" i="8" s="1"/>
  <c r="P43" i="7"/>
  <c r="D52" i="4"/>
  <c r="M52" i="4"/>
  <c r="V52" i="4"/>
  <c r="DB52" i="4" s="1"/>
  <c r="B50" i="6"/>
  <c r="J50" i="6"/>
  <c r="U45" i="10" s="1"/>
  <c r="X47" i="8" s="1"/>
  <c r="K45" i="10"/>
  <c r="J47" i="6"/>
  <c r="U42" i="10" s="1"/>
  <c r="X44" i="8" s="1"/>
  <c r="R47" i="6"/>
  <c r="J11" i="10"/>
  <c r="Q9" i="8" s="1"/>
  <c r="E8" i="7" s="1"/>
  <c r="H8" i="7" s="1"/>
  <c r="E16" i="5"/>
  <c r="M19" i="10"/>
  <c r="H17" i="8" s="1"/>
  <c r="L25" i="10"/>
  <c r="C23" i="8" s="1"/>
  <c r="K30" i="2"/>
  <c r="N24" i="10"/>
  <c r="M22" i="8" s="1"/>
  <c r="L21" i="10"/>
  <c r="C19" i="8" s="1"/>
  <c r="K26" i="2"/>
  <c r="R31" i="2"/>
  <c r="DH31" i="2"/>
  <c r="DI31" i="2"/>
  <c r="O23" i="7"/>
  <c r="M7" i="10"/>
  <c r="D52" i="6"/>
  <c r="V52" i="6"/>
  <c r="DB52" i="6" s="1"/>
  <c r="DR52" i="6"/>
  <c r="M52" i="6"/>
  <c r="DH56" i="4"/>
  <c r="Q52" i="7"/>
  <c r="R56" i="4"/>
  <c r="DI56" i="4"/>
  <c r="N11" i="10"/>
  <c r="M9" i="8" s="1"/>
  <c r="K16" i="4"/>
  <c r="J37" i="6"/>
  <c r="DI24" i="5"/>
  <c r="R24" i="5"/>
  <c r="DH24" i="5"/>
  <c r="J24" i="5" s="1"/>
  <c r="A30" i="8"/>
  <c r="K30" i="8"/>
  <c r="U30" i="8"/>
  <c r="A29" i="7" s="1"/>
  <c r="K29" i="7" s="1"/>
  <c r="P30" i="8"/>
  <c r="F30" i="8"/>
  <c r="M23" i="10"/>
  <c r="H21" i="8" s="1"/>
  <c r="V45" i="5"/>
  <c r="DB45" i="5" s="1"/>
  <c r="D45" i="5"/>
  <c r="DR45" i="5"/>
  <c r="J45" i="5" s="1"/>
  <c r="T40" i="10" s="1"/>
  <c r="S42" i="8" s="1"/>
  <c r="M45" i="5"/>
  <c r="DH12" i="3"/>
  <c r="DI12" i="3"/>
  <c r="R12" i="3"/>
  <c r="G71" i="3"/>
  <c r="Y71" i="3"/>
  <c r="H71" i="3"/>
  <c r="Z71" i="3"/>
  <c r="I71" i="3"/>
  <c r="AA71" i="3"/>
  <c r="B71" i="3"/>
  <c r="J71" i="3"/>
  <c r="AB71" i="3"/>
  <c r="D71" i="3"/>
  <c r="AD71" i="3"/>
  <c r="F71" i="3"/>
  <c r="C71" i="3"/>
  <c r="AE71" i="3"/>
  <c r="P4" i="7"/>
  <c r="K71" i="3"/>
  <c r="V71" i="3"/>
  <c r="W71" i="3"/>
  <c r="E71" i="3"/>
  <c r="F29" i="8"/>
  <c r="P29" i="8"/>
  <c r="U29" i="8"/>
  <c r="A28" i="7" s="1"/>
  <c r="K28" i="7" s="1"/>
  <c r="K29" i="8"/>
  <c r="A29" i="8"/>
  <c r="M15" i="10"/>
  <c r="H13" i="8" s="1"/>
  <c r="K20" i="3"/>
  <c r="DH18" i="2"/>
  <c r="J18" i="2" s="1"/>
  <c r="Q13" i="10" s="1"/>
  <c r="D11" i="8" s="1"/>
  <c r="DI18" i="2"/>
  <c r="R18" i="2"/>
  <c r="O10" i="7"/>
  <c r="R10" i="7" s="1"/>
  <c r="L29" i="10"/>
  <c r="C27" i="8" s="1"/>
  <c r="K34" i="2"/>
  <c r="J19" i="2"/>
  <c r="L22" i="10"/>
  <c r="C20" i="8" s="1"/>
  <c r="K27" i="2"/>
  <c r="J19" i="3"/>
  <c r="R14" i="10" s="1"/>
  <c r="I12" i="8" s="1"/>
  <c r="J14" i="2"/>
  <c r="M29" i="10"/>
  <c r="H27" i="8" s="1"/>
  <c r="K34" i="3"/>
  <c r="N50" i="10"/>
  <c r="M52" i="8" s="1"/>
  <c r="K55" i="4"/>
  <c r="N42" i="10"/>
  <c r="M44" i="8" s="1"/>
  <c r="K47" i="4"/>
  <c r="P49" i="10"/>
  <c r="W51" i="8" s="1"/>
  <c r="K11" i="9"/>
  <c r="L11" i="9" s="1"/>
  <c r="H39" i="6"/>
  <c r="J35" i="9"/>
  <c r="D49" i="10"/>
  <c r="L51" i="8" s="1"/>
  <c r="D50" i="7" s="1"/>
  <c r="E54" i="4"/>
  <c r="I54" i="4"/>
  <c r="R34" i="6"/>
  <c r="DH34" i="6"/>
  <c r="DI34" i="6"/>
  <c r="K43" i="4"/>
  <c r="I37" i="9"/>
  <c r="K37" i="9" s="1"/>
  <c r="K35" i="9"/>
  <c r="L35" i="9" s="1"/>
  <c r="J45" i="10"/>
  <c r="H18" i="5"/>
  <c r="R55" i="5"/>
  <c r="H38" i="5"/>
  <c r="H58" i="5"/>
  <c r="F5" i="8"/>
  <c r="P5" i="8"/>
  <c r="U5" i="8"/>
  <c r="A4" i="7" s="1"/>
  <c r="K4" i="7" s="1"/>
  <c r="K5" i="8"/>
  <c r="A5" i="8"/>
  <c r="D29" i="5"/>
  <c r="E29" i="5" s="1"/>
  <c r="A34" i="8"/>
  <c r="K34" i="8"/>
  <c r="U34" i="8"/>
  <c r="A33" i="7" s="1"/>
  <c r="K33" i="7" s="1"/>
  <c r="F34" i="8"/>
  <c r="P34" i="8"/>
  <c r="E39" i="2"/>
  <c r="A32" i="8"/>
  <c r="K32" i="8"/>
  <c r="U32" i="8"/>
  <c r="A31" i="7" s="1"/>
  <c r="K31" i="7" s="1"/>
  <c r="P32" i="8"/>
  <c r="F32" i="8"/>
  <c r="D39" i="5"/>
  <c r="E39" i="5" s="1"/>
  <c r="V18" i="3"/>
  <c r="DB18" i="3" s="1"/>
  <c r="M18" i="3"/>
  <c r="D18" i="3"/>
  <c r="E18" i="3" s="1"/>
  <c r="G41" i="10"/>
  <c r="DI16" i="3"/>
  <c r="P8" i="7"/>
  <c r="R16" i="3"/>
  <c r="DH16" i="3"/>
  <c r="J16" i="3" s="1"/>
  <c r="R11" i="10" s="1"/>
  <c r="I9" i="8" s="1"/>
  <c r="V36" i="5"/>
  <c r="DB36" i="5" s="1"/>
  <c r="D36" i="5"/>
  <c r="E36" i="5" s="1"/>
  <c r="M36" i="5"/>
  <c r="D19" i="5"/>
  <c r="E19" i="5" s="1"/>
  <c r="D34" i="5"/>
  <c r="E34" i="5" s="1"/>
  <c r="M34" i="5"/>
  <c r="V34" i="5"/>
  <c r="DB34" i="5" s="1"/>
  <c r="G52" i="10"/>
  <c r="B54" i="8" s="1"/>
  <c r="B53" i="7" s="1"/>
  <c r="G53" i="7" s="1"/>
  <c r="F21" i="8"/>
  <c r="P21" i="8"/>
  <c r="A21" i="8"/>
  <c r="U21" i="8"/>
  <c r="A20" i="7" s="1"/>
  <c r="K20" i="7" s="1"/>
  <c r="K21" i="8"/>
  <c r="M42" i="5"/>
  <c r="D42" i="5"/>
  <c r="E42" i="5" s="1"/>
  <c r="V42" i="5"/>
  <c r="DB42" i="5" s="1"/>
  <c r="J50" i="2"/>
  <c r="Q45" i="10" s="1"/>
  <c r="D47" i="8" s="1"/>
  <c r="M37" i="10"/>
  <c r="H35" i="8" s="1"/>
  <c r="K42" i="3"/>
  <c r="L19" i="10"/>
  <c r="C17" i="8" s="1"/>
  <c r="K24" i="2"/>
  <c r="M21" i="10"/>
  <c r="H19" i="8" s="1"/>
  <c r="K26" i="3"/>
  <c r="R24" i="10"/>
  <c r="I22" i="8" s="1"/>
  <c r="K29" i="3"/>
  <c r="C50" i="10"/>
  <c r="G52" i="8" s="1"/>
  <c r="C51" i="7" s="1"/>
  <c r="I55" i="3"/>
  <c r="E55" i="3"/>
  <c r="N32" i="10"/>
  <c r="M30" i="8" s="1"/>
  <c r="I43" i="3"/>
  <c r="J49" i="2"/>
  <c r="D14" i="3"/>
  <c r="E14" i="3" s="1"/>
  <c r="L33" i="10"/>
  <c r="C31" i="8" s="1"/>
  <c r="DI13" i="4"/>
  <c r="DH13" i="4"/>
  <c r="J13" i="4" s="1"/>
  <c r="S8" i="10" s="1"/>
  <c r="N6" i="8" s="1"/>
  <c r="Q5" i="7"/>
  <c r="R13" i="4"/>
  <c r="J40" i="3"/>
  <c r="K59" i="5"/>
  <c r="B48" i="10"/>
  <c r="B50" i="8" s="1"/>
  <c r="B49" i="7" s="1"/>
  <c r="DH53" i="2"/>
  <c r="J53" i="2" s="1"/>
  <c r="Q48" i="10" s="1"/>
  <c r="D50" i="8" s="1"/>
  <c r="J42" i="4"/>
  <c r="S37" i="10" s="1"/>
  <c r="N35" i="8" s="1"/>
  <c r="V24" i="6"/>
  <c r="DB24" i="6" s="1"/>
  <c r="M24" i="6"/>
  <c r="D24" i="6"/>
  <c r="E24" i="6" s="1"/>
  <c r="E34" i="3"/>
  <c r="D39" i="3"/>
  <c r="E39" i="3" s="1"/>
  <c r="M45" i="10"/>
  <c r="H47" i="8" s="1"/>
  <c r="D15" i="4"/>
  <c r="E15" i="4" s="1"/>
  <c r="H15" i="3"/>
  <c r="H37" i="10"/>
  <c r="G35" i="8" s="1"/>
  <c r="C34" i="7" s="1"/>
  <c r="G34" i="7" s="1"/>
  <c r="E42" i="3"/>
  <c r="DI56" i="3"/>
  <c r="R56" i="3"/>
  <c r="P52" i="7"/>
  <c r="DH56" i="3"/>
  <c r="M26" i="10"/>
  <c r="H24" i="8" s="1"/>
  <c r="N18" i="10"/>
  <c r="M16" i="8" s="1"/>
  <c r="V7" i="8"/>
  <c r="F6" i="7" s="1"/>
  <c r="I6" i="7" s="1"/>
  <c r="DH29" i="6"/>
  <c r="R29" i="6"/>
  <c r="DI29" i="6"/>
  <c r="J55" i="4"/>
  <c r="S50" i="10" s="1"/>
  <c r="N52" i="8" s="1"/>
  <c r="P19" i="10"/>
  <c r="W17" i="8" s="1"/>
  <c r="R40" i="6"/>
  <c r="DH40" i="6"/>
  <c r="J40" i="6" s="1"/>
  <c r="DI40" i="6"/>
  <c r="L10" i="9"/>
  <c r="M17" i="5"/>
  <c r="D17" i="5"/>
  <c r="E17" i="5" s="1"/>
  <c r="V17" i="5"/>
  <c r="DB17" i="5" s="1"/>
  <c r="N7" i="10"/>
  <c r="Z67" i="6"/>
  <c r="I28" i="9"/>
  <c r="K26" i="9"/>
  <c r="DA62" i="4"/>
  <c r="DR52" i="2"/>
  <c r="B52" i="3"/>
  <c r="DR52" i="4"/>
  <c r="E44" i="4"/>
  <c r="J34" i="2"/>
  <c r="Q29" i="10" s="1"/>
  <c r="D27" i="8" s="1"/>
  <c r="G50" i="8"/>
  <c r="C49" i="7" s="1"/>
  <c r="H41" i="4"/>
  <c r="P24" i="10"/>
  <c r="W22" i="8" s="1"/>
  <c r="K42" i="10"/>
  <c r="J53" i="3"/>
  <c r="R48" i="10" s="1"/>
  <c r="I50" i="8" s="1"/>
  <c r="P12" i="10"/>
  <c r="W10" i="8" s="1"/>
  <c r="C49" i="10"/>
  <c r="G51" i="8" s="1"/>
  <c r="C50" i="7" s="1"/>
  <c r="I54" i="3"/>
  <c r="N23" i="10"/>
  <c r="M21" i="8" s="1"/>
  <c r="K28" i="4"/>
  <c r="P11" i="10"/>
  <c r="W9" i="8" s="1"/>
  <c r="K38" i="6"/>
  <c r="H37" i="9"/>
  <c r="H42" i="9" s="1"/>
  <c r="F40" i="10"/>
  <c r="V42" i="8" s="1"/>
  <c r="F41" i="7" s="1"/>
  <c r="I41" i="7" s="1"/>
  <c r="E45" i="6"/>
  <c r="I45" i="6"/>
  <c r="J44" i="6"/>
  <c r="U39" i="10" s="1"/>
  <c r="X41" i="8" s="1"/>
  <c r="K25" i="5"/>
  <c r="T20" i="10"/>
  <c r="S18" i="8" s="1"/>
  <c r="G11" i="10"/>
  <c r="B9" i="8" s="1"/>
  <c r="B8" i="7" s="1"/>
  <c r="D14" i="5"/>
  <c r="E14" i="5" s="1"/>
  <c r="M14" i="5"/>
  <c r="V14" i="5"/>
  <c r="DB14" i="5" s="1"/>
  <c r="D23" i="5"/>
  <c r="E23" i="5" s="1"/>
  <c r="M23" i="5"/>
  <c r="V23" i="5"/>
  <c r="DB23" i="5" s="1"/>
  <c r="H11" i="10"/>
  <c r="G9" i="8" s="1"/>
  <c r="C8" i="7" s="1"/>
  <c r="G10" i="7"/>
  <c r="B49" i="5"/>
  <c r="J44" i="10"/>
  <c r="G51" i="7"/>
  <c r="L45" i="10"/>
  <c r="C47" i="8" s="1"/>
  <c r="K50" i="2"/>
  <c r="D15" i="3"/>
  <c r="E15" i="3" s="1"/>
  <c r="M15" i="3"/>
  <c r="V15" i="3"/>
  <c r="DB15" i="3" s="1"/>
  <c r="R14" i="4"/>
  <c r="DH14" i="4"/>
  <c r="DI14" i="4"/>
  <c r="Q6" i="7"/>
  <c r="V25" i="8"/>
  <c r="F24" i="7" s="1"/>
  <c r="I24" i="7" s="1"/>
  <c r="DI32" i="3"/>
  <c r="DH32" i="3"/>
  <c r="R32" i="3"/>
  <c r="P24" i="7"/>
  <c r="N37" i="10"/>
  <c r="M35" i="8" s="1"/>
  <c r="K42" i="4"/>
  <c r="M34" i="10"/>
  <c r="H32" i="8" s="1"/>
  <c r="K39" i="3"/>
  <c r="I13" i="10"/>
  <c r="L11" i="8" s="1"/>
  <c r="D10" i="7" s="1"/>
  <c r="P8" i="10"/>
  <c r="W6" i="8" s="1"/>
  <c r="K13" i="6"/>
  <c r="J34" i="10"/>
  <c r="Q32" i="8" s="1"/>
  <c r="E31" i="7" s="1"/>
  <c r="H31" i="7" s="1"/>
  <c r="K40" i="5"/>
  <c r="T35" i="10"/>
  <c r="S33" i="8" s="1"/>
  <c r="L20" i="10"/>
  <c r="C18" i="8" s="1"/>
  <c r="J36" i="10"/>
  <c r="Q34" i="8" s="1"/>
  <c r="E33" i="7" s="1"/>
  <c r="H33" i="7" s="1"/>
  <c r="D31" i="5"/>
  <c r="E31" i="5" s="1"/>
  <c r="M31" i="5"/>
  <c r="V31" i="5"/>
  <c r="DB31" i="5" s="1"/>
  <c r="F31" i="8"/>
  <c r="P31" i="8"/>
  <c r="U31" i="8"/>
  <c r="A30" i="7" s="1"/>
  <c r="K30" i="7" s="1"/>
  <c r="K31" i="8"/>
  <c r="A31" i="8"/>
  <c r="V13" i="5"/>
  <c r="DB13" i="5" s="1"/>
  <c r="M13" i="5"/>
  <c r="D13" i="5"/>
  <c r="E13" i="5" s="1"/>
  <c r="DI52" i="2"/>
  <c r="R52" i="2"/>
  <c r="O48" i="7"/>
  <c r="L13" i="10"/>
  <c r="C11" i="8" s="1"/>
  <c r="V55" i="5"/>
  <c r="DB55" i="5" s="1"/>
  <c r="DR55" i="5"/>
  <c r="M55" i="5"/>
  <c r="D55" i="5"/>
  <c r="I36" i="10"/>
  <c r="L34" i="8" s="1"/>
  <c r="D33" i="7" s="1"/>
  <c r="E41" i="4"/>
  <c r="DI48" i="3"/>
  <c r="DH48" i="3"/>
  <c r="J48" i="3" s="1"/>
  <c r="R43" i="10" s="1"/>
  <c r="I45" i="8" s="1"/>
  <c r="R48" i="3"/>
  <c r="P44" i="7"/>
  <c r="L17" i="10"/>
  <c r="C15" i="8" s="1"/>
  <c r="K22" i="2"/>
  <c r="DI54" i="3"/>
  <c r="P50" i="7"/>
  <c r="R54" i="3"/>
  <c r="DH54" i="3"/>
  <c r="J54" i="3" s="1"/>
  <c r="R49" i="10" s="1"/>
  <c r="I51" i="8" s="1"/>
  <c r="R49" i="4"/>
  <c r="DI49" i="4"/>
  <c r="Q45" i="7"/>
  <c r="DH49" i="4"/>
  <c r="J49" i="4" s="1"/>
  <c r="S44" i="10" s="1"/>
  <c r="N46" i="8" s="1"/>
  <c r="I57" i="2"/>
  <c r="P9" i="10"/>
  <c r="W7" i="8" s="1"/>
  <c r="K14" i="6"/>
  <c r="DR45" i="2"/>
  <c r="B45" i="3"/>
  <c r="DR45" i="4"/>
  <c r="B45" i="4" s="1"/>
  <c r="J45" i="3"/>
  <c r="R40" i="10" s="1"/>
  <c r="I42" i="8" s="1"/>
  <c r="P15" i="10"/>
  <c r="W13" i="8" s="1"/>
  <c r="K20" i="6"/>
  <c r="B71" i="4"/>
  <c r="J71" i="4"/>
  <c r="AB71" i="4"/>
  <c r="C71" i="4"/>
  <c r="K71" i="4"/>
  <c r="AC71" i="4"/>
  <c r="DH12" i="4"/>
  <c r="R12" i="4"/>
  <c r="D71" i="4"/>
  <c r="I71" i="4"/>
  <c r="Z71" i="4"/>
  <c r="AA71" i="4"/>
  <c r="E71" i="4"/>
  <c r="Y71" i="4"/>
  <c r="H71" i="4"/>
  <c r="Q4" i="7"/>
  <c r="DI12" i="4"/>
  <c r="F71" i="4"/>
  <c r="G71" i="4"/>
  <c r="G35" i="10"/>
  <c r="B33" i="8" s="1"/>
  <c r="B32" i="7" s="1"/>
  <c r="G32" i="7" s="1"/>
  <c r="E40" i="2"/>
  <c r="W71" i="4"/>
  <c r="R52" i="5"/>
  <c r="J52" i="5"/>
  <c r="T47" i="10" s="1"/>
  <c r="S49" i="8" s="1"/>
  <c r="E40" i="5"/>
  <c r="J35" i="10"/>
  <c r="Q33" i="8" s="1"/>
  <c r="E32" i="7" s="1"/>
  <c r="H32" i="7" s="1"/>
  <c r="K41" i="5"/>
  <c r="T36" i="10"/>
  <c r="S34" i="8" s="1"/>
  <c r="J42" i="5"/>
  <c r="D38" i="5"/>
  <c r="E38" i="5" s="1"/>
  <c r="M38" i="5"/>
  <c r="V38" i="5"/>
  <c r="DB38" i="5" s="1"/>
  <c r="D48" i="5"/>
  <c r="M48" i="5"/>
  <c r="DR48" i="5"/>
  <c r="V48" i="5"/>
  <c r="DB48" i="5" s="1"/>
  <c r="B46" i="5"/>
  <c r="J41" i="10"/>
  <c r="G5" i="7"/>
  <c r="H21" i="2"/>
  <c r="F27" i="8"/>
  <c r="P27" i="8"/>
  <c r="A27" i="8"/>
  <c r="U27" i="8"/>
  <c r="A26" i="7" s="1"/>
  <c r="K26" i="7" s="1"/>
  <c r="K27" i="8"/>
  <c r="DR44" i="5"/>
  <c r="V44" i="5"/>
  <c r="DB44" i="5" s="1"/>
  <c r="D44" i="5"/>
  <c r="E44" i="5" s="1"/>
  <c r="M44" i="5"/>
  <c r="J42" i="2"/>
  <c r="L43" i="10"/>
  <c r="C45" i="8" s="1"/>
  <c r="K48" i="2"/>
  <c r="N28" i="10"/>
  <c r="M26" i="8" s="1"/>
  <c r="DH38" i="2"/>
  <c r="R38" i="2"/>
  <c r="O30" i="7"/>
  <c r="DI38" i="2"/>
  <c r="D16" i="3"/>
  <c r="E16" i="3" s="1"/>
  <c r="D19" i="3"/>
  <c r="E19" i="3" s="1"/>
  <c r="D31" i="3"/>
  <c r="E31" i="3" s="1"/>
  <c r="DH20" i="4"/>
  <c r="DI20" i="4"/>
  <c r="Q12" i="7"/>
  <c r="R20" i="4"/>
  <c r="J34" i="4"/>
  <c r="S29" i="10" s="1"/>
  <c r="N27" i="8" s="1"/>
  <c r="D48" i="10"/>
  <c r="L50" i="8" s="1"/>
  <c r="D49" i="7" s="1"/>
  <c r="E53" i="4"/>
  <c r="I53" i="4"/>
  <c r="N45" i="10"/>
  <c r="M47" i="8" s="1"/>
  <c r="D54" i="3"/>
  <c r="E54" i="3" s="1"/>
  <c r="M10" i="10"/>
  <c r="H8" i="8" s="1"/>
  <c r="H57" i="2"/>
  <c r="M32" i="5"/>
  <c r="D32" i="5"/>
  <c r="E32" i="5" s="1"/>
  <c r="V32" i="5"/>
  <c r="DB32" i="5" s="1"/>
  <c r="I23" i="10"/>
  <c r="L21" i="8" s="1"/>
  <c r="D20" i="7" s="1"/>
  <c r="G20" i="7" s="1"/>
  <c r="E28" i="4"/>
  <c r="DH25" i="6"/>
  <c r="J25" i="6" s="1"/>
  <c r="U20" i="10" s="1"/>
  <c r="X18" i="8" s="1"/>
  <c r="R25" i="6"/>
  <c r="DI25" i="6"/>
  <c r="J60" i="2"/>
  <c r="N39" i="10"/>
  <c r="M41" i="8" s="1"/>
  <c r="K44" i="4"/>
  <c r="J53" i="6"/>
  <c r="U48" i="10" s="1"/>
  <c r="X50" i="8" s="1"/>
  <c r="B53" i="6"/>
  <c r="R28" i="4"/>
  <c r="DI28" i="4"/>
  <c r="Q20" i="7"/>
  <c r="DH28" i="4"/>
  <c r="J28" i="4" s="1"/>
  <c r="S23" i="10" s="1"/>
  <c r="N21" i="8" s="1"/>
  <c r="R33" i="5"/>
  <c r="DH33" i="5"/>
  <c r="DI33" i="5"/>
  <c r="DH16" i="5"/>
  <c r="DI16" i="5"/>
  <c r="R16" i="5"/>
  <c r="R19" i="5"/>
  <c r="DH19" i="5"/>
  <c r="DI19" i="5"/>
  <c r="R57" i="5"/>
  <c r="J57" i="5"/>
  <c r="E26" i="5"/>
  <c r="J21" i="10"/>
  <c r="Q19" i="8" s="1"/>
  <c r="E18" i="7" s="1"/>
  <c r="H18" i="7" s="1"/>
  <c r="K21" i="5"/>
  <c r="T16" i="10"/>
  <c r="S14" i="8" s="1"/>
  <c r="DI27" i="5"/>
  <c r="R27" i="5"/>
  <c r="DH27" i="5"/>
  <c r="J27" i="5" s="1"/>
  <c r="J48" i="5"/>
  <c r="T43" i="10" s="1"/>
  <c r="S45" i="8" s="1"/>
  <c r="R48" i="5"/>
  <c r="K12" i="5"/>
  <c r="T7" i="10"/>
  <c r="S5" i="8" s="1"/>
  <c r="V12" i="5"/>
  <c r="DB12" i="5" s="1"/>
  <c r="M12" i="5"/>
  <c r="V41" i="5"/>
  <c r="DB41" i="5" s="1"/>
  <c r="M41" i="5"/>
  <c r="D41" i="5"/>
  <c r="E41" i="5" s="1"/>
  <c r="D21" i="5"/>
  <c r="E21" i="5" s="1"/>
  <c r="M21" i="5"/>
  <c r="V21" i="5"/>
  <c r="DB21" i="5" s="1"/>
  <c r="DI17" i="5"/>
  <c r="R17" i="5"/>
  <c r="DH17" i="5"/>
  <c r="J17" i="5" s="1"/>
  <c r="A20" i="8"/>
  <c r="K20" i="8"/>
  <c r="U20" i="8"/>
  <c r="A19" i="7" s="1"/>
  <c r="K19" i="7" s="1"/>
  <c r="P20" i="8"/>
  <c r="F20" i="8"/>
  <c r="DH13" i="2"/>
  <c r="DI13" i="2"/>
  <c r="R13" i="2"/>
  <c r="O5" i="7"/>
  <c r="L28" i="10"/>
  <c r="C26" i="8" s="1"/>
  <c r="D54" i="5"/>
  <c r="R43" i="5"/>
  <c r="DH43" i="5"/>
  <c r="DI43" i="5"/>
  <c r="G45" i="7"/>
  <c r="D51" i="5"/>
  <c r="M51" i="5"/>
  <c r="DR51" i="5"/>
  <c r="V51" i="5"/>
  <c r="DB51" i="5" s="1"/>
  <c r="DI17" i="3"/>
  <c r="DH17" i="3"/>
  <c r="J17" i="3" s="1"/>
  <c r="R12" i="10" s="1"/>
  <c r="I10" i="8" s="1"/>
  <c r="R17" i="3"/>
  <c r="P9" i="7"/>
  <c r="R9" i="7" s="1"/>
  <c r="D59" i="5"/>
  <c r="E59" i="5" s="1"/>
  <c r="M59" i="5"/>
  <c r="V59" i="5"/>
  <c r="M13" i="10"/>
  <c r="H11" i="8" s="1"/>
  <c r="K18" i="3"/>
  <c r="D28" i="3"/>
  <c r="E28" i="3" s="1"/>
  <c r="V28" i="3"/>
  <c r="DB28" i="3" s="1"/>
  <c r="M28" i="3"/>
  <c r="M20" i="10"/>
  <c r="H18" i="8" s="1"/>
  <c r="K25" i="3"/>
  <c r="G26" i="7"/>
  <c r="M14" i="10"/>
  <c r="H12" i="8" s="1"/>
  <c r="K19" i="3"/>
  <c r="M51" i="10"/>
  <c r="H53" i="8" s="1"/>
  <c r="M44" i="10"/>
  <c r="H46" i="8" s="1"/>
  <c r="F23" i="8"/>
  <c r="P23" i="8"/>
  <c r="A23" i="8"/>
  <c r="U23" i="8"/>
  <c r="A22" i="7" s="1"/>
  <c r="K22" i="7" s="1"/>
  <c r="K23" i="8"/>
  <c r="B47" i="8"/>
  <c r="B46" i="7" s="1"/>
  <c r="G46" i="7" s="1"/>
  <c r="D41" i="3"/>
  <c r="E41" i="3" s="1"/>
  <c r="A8" i="8"/>
  <c r="K8" i="8"/>
  <c r="U8" i="8"/>
  <c r="A7" i="7" s="1"/>
  <c r="K7" i="7" s="1"/>
  <c r="P8" i="8"/>
  <c r="F8" i="8"/>
  <c r="D20" i="3"/>
  <c r="E20" i="3" s="1"/>
  <c r="V20" i="4"/>
  <c r="DB20" i="4" s="1"/>
  <c r="D20" i="4"/>
  <c r="E20" i="4" s="1"/>
  <c r="M20" i="4"/>
  <c r="G33" i="10"/>
  <c r="B31" i="8" s="1"/>
  <c r="B30" i="7" s="1"/>
  <c r="G30" i="7" s="1"/>
  <c r="G27" i="8"/>
  <c r="C26" i="7" s="1"/>
  <c r="I58" i="4"/>
  <c r="K58" i="4" s="1"/>
  <c r="E58" i="4"/>
  <c r="N21" i="10"/>
  <c r="M19" i="8" s="1"/>
  <c r="K26" i="4"/>
  <c r="I46" i="10"/>
  <c r="P23" i="7"/>
  <c r="DH31" i="3"/>
  <c r="R31" i="3"/>
  <c r="DI31" i="3"/>
  <c r="L52" i="8"/>
  <c r="D51" i="7" s="1"/>
  <c r="DH19" i="6"/>
  <c r="R19" i="6"/>
  <c r="DI19" i="6"/>
  <c r="K47" i="10"/>
  <c r="D16" i="2"/>
  <c r="E16" i="2" s="1"/>
  <c r="D41" i="2"/>
  <c r="E41" i="2" s="1"/>
  <c r="D29" i="2"/>
  <c r="E29" i="2" s="1"/>
  <c r="D21" i="2"/>
  <c r="E21" i="2" s="1"/>
  <c r="D38" i="2"/>
  <c r="E38" i="2" s="1"/>
  <c r="D37" i="2"/>
  <c r="E37" i="2" s="1"/>
  <c r="D25" i="2"/>
  <c r="E25" i="2" s="1"/>
  <c r="D33" i="2"/>
  <c r="E33" i="2" s="1"/>
  <c r="R57" i="3"/>
  <c r="DI57" i="3"/>
  <c r="DH57" i="3"/>
  <c r="J57" i="3" s="1"/>
  <c r="R52" i="10" s="1"/>
  <c r="I54" i="8" s="1"/>
  <c r="P53" i="7"/>
  <c r="D17" i="4"/>
  <c r="E17" i="4" s="1"/>
  <c r="M17" i="4"/>
  <c r="V17" i="4"/>
  <c r="DB17" i="4" s="1"/>
  <c r="M32" i="6"/>
  <c r="D32" i="6"/>
  <c r="V32" i="6"/>
  <c r="DB32" i="6" s="1"/>
  <c r="D13" i="3"/>
  <c r="E13" i="3" s="1"/>
  <c r="J17" i="6"/>
  <c r="U12" i="10" s="1"/>
  <c r="X10" i="8" s="1"/>
  <c r="I26" i="6"/>
  <c r="M32" i="9"/>
  <c r="P30" i="10"/>
  <c r="W28" i="8" s="1"/>
  <c r="K35" i="6"/>
  <c r="M11" i="9"/>
  <c r="J11" i="9"/>
  <c r="L41" i="8"/>
  <c r="D40" i="7" s="1"/>
  <c r="P46" i="10"/>
  <c r="W48" i="8" s="1"/>
  <c r="K51" i="6"/>
  <c r="X71" i="3"/>
  <c r="J48" i="6"/>
  <c r="U43" i="10" s="1"/>
  <c r="X45" i="8" s="1"/>
  <c r="V48" i="8"/>
  <c r="F47" i="7" s="1"/>
  <c r="I47" i="7" s="1"/>
  <c r="J20" i="6"/>
  <c r="U15" i="10" s="1"/>
  <c r="X13" i="8" s="1"/>
  <c r="R14" i="5"/>
  <c r="DH14" i="5"/>
  <c r="DI14" i="5"/>
  <c r="B49" i="10"/>
  <c r="B51" i="8" s="1"/>
  <c r="B50" i="7" s="1"/>
  <c r="E54" i="2"/>
  <c r="I54" i="2"/>
  <c r="R23" i="6"/>
  <c r="DH23" i="6"/>
  <c r="DI23" i="6"/>
  <c r="F39" i="10"/>
  <c r="V41" i="8" s="1"/>
  <c r="F40" i="7" s="1"/>
  <c r="I40" i="7" s="1"/>
  <c r="E44" i="6"/>
  <c r="I44" i="6"/>
  <c r="D36" i="6"/>
  <c r="E36" i="6" s="1"/>
  <c r="D30" i="6"/>
  <c r="E30" i="6" s="1"/>
  <c r="D14" i="6"/>
  <c r="E14" i="6" s="1"/>
  <c r="D21" i="6"/>
  <c r="E21" i="6" s="1"/>
  <c r="D29" i="6"/>
  <c r="E29" i="6" s="1"/>
  <c r="D54" i="6"/>
  <c r="E54" i="6" s="1"/>
  <c r="D16" i="6"/>
  <c r="E16" i="6" s="1"/>
  <c r="D39" i="6"/>
  <c r="E39" i="6" s="1"/>
  <c r="D13" i="6"/>
  <c r="E13" i="6" s="1"/>
  <c r="D20" i="6"/>
  <c r="E20" i="6" s="1"/>
  <c r="D31" i="6"/>
  <c r="E31" i="6" s="1"/>
  <c r="D25" i="6"/>
  <c r="E25" i="6" s="1"/>
  <c r="D28" i="6"/>
  <c r="E28" i="6" s="1"/>
  <c r="D18" i="6"/>
  <c r="E18" i="6" s="1"/>
  <c r="DH16" i="6"/>
  <c r="DI16" i="6"/>
  <c r="R16" i="6"/>
  <c r="K43" i="10"/>
  <c r="P41" i="10"/>
  <c r="W43" i="8" s="1"/>
  <c r="J47" i="5"/>
  <c r="T42" i="10" s="1"/>
  <c r="S44" i="8" s="1"/>
  <c r="R47" i="5"/>
  <c r="M12" i="10"/>
  <c r="H10" i="8" s="1"/>
  <c r="K17" i="3"/>
  <c r="L36" i="10"/>
  <c r="C34" i="8" s="1"/>
  <c r="K41" i="2"/>
  <c r="DH15" i="2"/>
  <c r="J15" i="2" s="1"/>
  <c r="DI15" i="2"/>
  <c r="R15" i="2"/>
  <c r="O7" i="7"/>
  <c r="M43" i="10"/>
  <c r="H45" i="8" s="1"/>
  <c r="L11" i="10"/>
  <c r="C9" i="8" s="1"/>
  <c r="Q48" i="7"/>
  <c r="DH52" i="4"/>
  <c r="R52" i="4"/>
  <c r="DI52" i="4"/>
  <c r="C41" i="10"/>
  <c r="G43" i="8" s="1"/>
  <c r="C42" i="7" s="1"/>
  <c r="E46" i="3"/>
  <c r="I46" i="3"/>
  <c r="F17" i="8"/>
  <c r="P17" i="8"/>
  <c r="U17" i="8"/>
  <c r="A16" i="7" s="1"/>
  <c r="K16" i="7" s="1"/>
  <c r="K17" i="8"/>
  <c r="A17" i="8"/>
  <c r="J14" i="9"/>
  <c r="M14" i="9"/>
  <c r="D16" i="9"/>
  <c r="M25" i="10"/>
  <c r="H23" i="8" s="1"/>
  <c r="U10" i="10"/>
  <c r="X8" i="8" s="1"/>
  <c r="K15" i="6"/>
  <c r="N12" i="10"/>
  <c r="M10" i="8" s="1"/>
  <c r="N34" i="10"/>
  <c r="M32" i="8" s="1"/>
  <c r="H35" i="5"/>
  <c r="T21" i="10"/>
  <c r="S19" i="8" s="1"/>
  <c r="K26" i="5"/>
  <c r="F35" i="8"/>
  <c r="P35" i="8"/>
  <c r="U35" i="8"/>
  <c r="A34" i="7" s="1"/>
  <c r="K34" i="7" s="1"/>
  <c r="K35" i="8"/>
  <c r="A35" i="8"/>
  <c r="J38" i="3"/>
  <c r="K22" i="4"/>
  <c r="V24" i="5"/>
  <c r="DB24" i="5" s="1"/>
  <c r="D24" i="5"/>
  <c r="E24" i="5" s="1"/>
  <c r="M24" i="5"/>
  <c r="J31" i="4"/>
  <c r="J54" i="6"/>
  <c r="U49" i="10" s="1"/>
  <c r="X51" i="8" s="1"/>
  <c r="R54" i="6"/>
  <c r="J40" i="2"/>
  <c r="P7" i="10"/>
  <c r="M48" i="10"/>
  <c r="H50" i="8" s="1"/>
  <c r="F51" i="10"/>
  <c r="V53" i="8" s="1"/>
  <c r="F52" i="7" s="1"/>
  <c r="I52" i="7" s="1"/>
  <c r="E56" i="6"/>
  <c r="I56" i="6"/>
  <c r="R29" i="5"/>
  <c r="DH29" i="5"/>
  <c r="DI29" i="5"/>
  <c r="R53" i="5"/>
  <c r="L7" i="10"/>
  <c r="L24" i="10"/>
  <c r="C22" i="8" s="1"/>
  <c r="A28" i="8"/>
  <c r="K28" i="8"/>
  <c r="U28" i="8"/>
  <c r="A27" i="7" s="1"/>
  <c r="K27" i="7" s="1"/>
  <c r="P28" i="8"/>
  <c r="F28" i="8"/>
  <c r="F11" i="8"/>
  <c r="P11" i="8"/>
  <c r="K11" i="8"/>
  <c r="U11" i="8"/>
  <c r="A10" i="7" s="1"/>
  <c r="K10" i="7" s="1"/>
  <c r="A11" i="8"/>
  <c r="I47" i="2"/>
  <c r="B42" i="10"/>
  <c r="B44" i="8" s="1"/>
  <c r="B43" i="7" s="1"/>
  <c r="G43" i="7" s="1"/>
  <c r="E47" i="2"/>
  <c r="F15" i="8"/>
  <c r="P15" i="8"/>
  <c r="A15" i="8"/>
  <c r="K15" i="8"/>
  <c r="U15" i="8"/>
  <c r="A14" i="7" s="1"/>
  <c r="K14" i="7" s="1"/>
  <c r="G31" i="7"/>
  <c r="D15" i="5"/>
  <c r="E15" i="5" s="1"/>
  <c r="M15" i="5"/>
  <c r="V15" i="5"/>
  <c r="DB15" i="5" s="1"/>
  <c r="Q41" i="7"/>
  <c r="DH45" i="4"/>
  <c r="DI45" i="4"/>
  <c r="R45" i="4"/>
  <c r="E39" i="4"/>
  <c r="M24" i="3"/>
  <c r="D24" i="3"/>
  <c r="E24" i="3" s="1"/>
  <c r="V24" i="3"/>
  <c r="DB24" i="3" s="1"/>
  <c r="K21" i="3"/>
  <c r="N41" i="10"/>
  <c r="M43" i="8" s="1"/>
  <c r="K46" i="4"/>
  <c r="C39" i="10"/>
  <c r="G41" i="8" s="1"/>
  <c r="C40" i="7" s="1"/>
  <c r="E44" i="3"/>
  <c r="I44" i="3"/>
  <c r="V52" i="5"/>
  <c r="DB52" i="5" s="1"/>
  <c r="D52" i="5"/>
  <c r="M52" i="5"/>
  <c r="DR52" i="5"/>
  <c r="DH43" i="6"/>
  <c r="DI43" i="6"/>
  <c r="R43" i="6"/>
  <c r="DH32" i="6"/>
  <c r="J32" i="6" s="1"/>
  <c r="U27" i="10" s="1"/>
  <c r="X25" i="8" s="1"/>
  <c r="R32" i="6"/>
  <c r="DI32" i="6"/>
  <c r="V17" i="6"/>
  <c r="DB17" i="6" s="1"/>
  <c r="M17" i="6"/>
  <c r="D17" i="6"/>
  <c r="E17" i="6" s="1"/>
  <c r="K51" i="10"/>
  <c r="F42" i="10"/>
  <c r="V44" i="8" s="1"/>
  <c r="F43" i="7" s="1"/>
  <c r="I43" i="7" s="1"/>
  <c r="I47" i="6"/>
  <c r="E47" i="6"/>
  <c r="P31" i="10"/>
  <c r="W29" i="8" s="1"/>
  <c r="K36" i="6"/>
  <c r="L3" i="9"/>
  <c r="DI23" i="5"/>
  <c r="R23" i="5"/>
  <c r="DH23" i="5"/>
  <c r="J23" i="5" s="1"/>
  <c r="D12" i="5"/>
  <c r="E12" i="5" s="1"/>
  <c r="DH39" i="5"/>
  <c r="J39" i="5" s="1"/>
  <c r="R39" i="5"/>
  <c r="DI39" i="5"/>
  <c r="V33" i="5"/>
  <c r="DB33" i="5" s="1"/>
  <c r="D33" i="5"/>
  <c r="E33" i="5" s="1"/>
  <c r="M33" i="5"/>
  <c r="B56" i="5"/>
  <c r="J51" i="10"/>
  <c r="D35" i="5"/>
  <c r="E35" i="5" s="1"/>
  <c r="M35" i="5"/>
  <c r="V35" i="5"/>
  <c r="DB35" i="5" s="1"/>
  <c r="M11" i="10"/>
  <c r="H9" i="8" s="1"/>
  <c r="DI17" i="2"/>
  <c r="DH17" i="2"/>
  <c r="J17" i="2" s="1"/>
  <c r="R17" i="2"/>
  <c r="O9" i="7"/>
  <c r="B54" i="5"/>
  <c r="J49" i="10"/>
  <c r="V18" i="5"/>
  <c r="DB18" i="5" s="1"/>
  <c r="M18" i="5"/>
  <c r="D18" i="5"/>
  <c r="E18" i="5" s="1"/>
  <c r="L48" i="10"/>
  <c r="C50" i="8" s="1"/>
  <c r="K53" i="2"/>
  <c r="D21" i="3"/>
  <c r="E21" i="3" s="1"/>
  <c r="F19" i="8"/>
  <c r="P19" i="8"/>
  <c r="A19" i="8"/>
  <c r="U19" i="8"/>
  <c r="A18" i="7" s="1"/>
  <c r="K18" i="7" s="1"/>
  <c r="K19" i="8"/>
  <c r="J43" i="2"/>
  <c r="K32" i="2"/>
  <c r="L27" i="10"/>
  <c r="C25" i="8" s="1"/>
  <c r="J25" i="3"/>
  <c r="R20" i="10" s="1"/>
  <c r="I18" i="8" s="1"/>
  <c r="K58" i="2"/>
  <c r="L53" i="10"/>
  <c r="C55" i="8" s="1"/>
  <c r="L50" i="10"/>
  <c r="C52" i="8" s="1"/>
  <c r="K55" i="2"/>
  <c r="D35" i="3"/>
  <c r="E35" i="3" s="1"/>
  <c r="N8" i="10"/>
  <c r="M6" i="8" s="1"/>
  <c r="J27" i="2"/>
  <c r="Q22" i="10" s="1"/>
  <c r="D20" i="8" s="1"/>
  <c r="G15" i="8"/>
  <c r="C14" i="7" s="1"/>
  <c r="G14" i="7" s="1"/>
  <c r="D30" i="5"/>
  <c r="E30" i="5" s="1"/>
  <c r="M30" i="5"/>
  <c r="V30" i="5"/>
  <c r="DB30" i="5" s="1"/>
  <c r="J36" i="3"/>
  <c r="N25" i="10"/>
  <c r="M23" i="8" s="1"/>
  <c r="K30" i="4"/>
  <c r="J46" i="5"/>
  <c r="T41" i="10" s="1"/>
  <c r="S43" i="8" s="1"/>
  <c r="DI24" i="3"/>
  <c r="R24" i="3"/>
  <c r="P16" i="7"/>
  <c r="DH24" i="3"/>
  <c r="J24" i="3" s="1"/>
  <c r="R19" i="10" s="1"/>
  <c r="I17" i="8" s="1"/>
  <c r="DI29" i="4"/>
  <c r="Q21" i="7"/>
  <c r="R29" i="4"/>
  <c r="DH29" i="4"/>
  <c r="M28" i="10"/>
  <c r="H26" i="8" s="1"/>
  <c r="K33" i="3"/>
  <c r="L30" i="10"/>
  <c r="C28" i="8" s="1"/>
  <c r="I7" i="10"/>
  <c r="L5" i="8" s="1"/>
  <c r="D4" i="7" s="1"/>
  <c r="G4" i="7" s="1"/>
  <c r="E12" i="4"/>
  <c r="H32" i="4"/>
  <c r="H35" i="3"/>
  <c r="J52" i="3"/>
  <c r="R47" i="10" s="1"/>
  <c r="I49" i="8" s="1"/>
  <c r="J26" i="4"/>
  <c r="S21" i="10" s="1"/>
  <c r="N19" i="8" s="1"/>
  <c r="DH12" i="6"/>
  <c r="DI12" i="6"/>
  <c r="R12" i="6"/>
  <c r="C67" i="6"/>
  <c r="K67" i="6"/>
  <c r="AC67" i="6"/>
  <c r="D67" i="6"/>
  <c r="V67" i="6"/>
  <c r="AD67" i="6"/>
  <c r="E67" i="6"/>
  <c r="W67" i="6"/>
  <c r="AE67" i="6"/>
  <c r="B67" i="6"/>
  <c r="F67" i="6"/>
  <c r="AA67" i="6"/>
  <c r="G67" i="6"/>
  <c r="J67" i="6"/>
  <c r="I67" i="6"/>
  <c r="H67" i="6"/>
  <c r="AB67" i="6"/>
  <c r="B39" i="10"/>
  <c r="B41" i="8" s="1"/>
  <c r="B40" i="7" s="1"/>
  <c r="E44" i="2"/>
  <c r="I44" i="2"/>
  <c r="AD71" i="4"/>
  <c r="P22" i="10"/>
  <c r="W20" i="8" s="1"/>
  <c r="DH60" i="3"/>
  <c r="DI60" i="3"/>
  <c r="R60" i="3"/>
  <c r="I36" i="4"/>
  <c r="H36" i="4"/>
  <c r="J53" i="4"/>
  <c r="S48" i="10" s="1"/>
  <c r="N50" i="8" s="1"/>
  <c r="D12" i="3"/>
  <c r="E12" i="3" s="1"/>
  <c r="X71" i="4"/>
  <c r="D17" i="2"/>
  <c r="E17" i="2" s="1"/>
  <c r="V32" i="3"/>
  <c r="DB32" i="3" s="1"/>
  <c r="M32" i="3"/>
  <c r="D32" i="3"/>
  <c r="E32" i="3" s="1"/>
  <c r="K23" i="3"/>
  <c r="V46" i="8"/>
  <c r="F45" i="7" s="1"/>
  <c r="I45" i="7" s="1"/>
  <c r="I16" i="9"/>
  <c r="K14" i="9"/>
  <c r="L14" i="9" s="1"/>
  <c r="J23" i="4"/>
  <c r="S18" i="10" s="1"/>
  <c r="N16" i="8" s="1"/>
  <c r="H31" i="6"/>
  <c r="E37" i="9"/>
  <c r="M37" i="9" s="1"/>
  <c r="N43" i="10"/>
  <c r="M45" i="8" s="1"/>
  <c r="Q8" i="8"/>
  <c r="E7" i="7" s="1"/>
  <c r="H7" i="7" s="1"/>
  <c r="DR51" i="2"/>
  <c r="DR51" i="4"/>
  <c r="B51" i="4" s="1"/>
  <c r="B51" i="3"/>
  <c r="N13" i="10"/>
  <c r="M11" i="8" s="1"/>
  <c r="J55" i="6"/>
  <c r="U50" i="10" s="1"/>
  <c r="X52" i="8" s="1"/>
  <c r="R55" i="6"/>
  <c r="L19" i="9"/>
  <c r="J40" i="4"/>
  <c r="J42" i="6"/>
  <c r="J24" i="6"/>
  <c r="U19" i="10" s="1"/>
  <c r="X17" i="8" s="1"/>
  <c r="J35" i="4"/>
  <c r="S30" i="10" l="1"/>
  <c r="N28" i="8" s="1"/>
  <c r="K35" i="4"/>
  <c r="K39" i="5"/>
  <c r="T34" i="10"/>
  <c r="S32" i="8" s="1"/>
  <c r="P51" i="10"/>
  <c r="W53" i="8" s="1"/>
  <c r="K56" i="6"/>
  <c r="R33" i="10"/>
  <c r="I31" i="8" s="1"/>
  <c r="K38" i="3"/>
  <c r="DI35" i="5"/>
  <c r="R35" i="5"/>
  <c r="DH35" i="5"/>
  <c r="J35" i="5" s="1"/>
  <c r="R31" i="10"/>
  <c r="I29" i="8" s="1"/>
  <c r="K36" i="3"/>
  <c r="Q38" i="10"/>
  <c r="D36" i="8" s="1"/>
  <c r="K43" i="2"/>
  <c r="M41" i="10"/>
  <c r="H43" i="8" s="1"/>
  <c r="K46" i="3"/>
  <c r="K33" i="2"/>
  <c r="F48" i="10"/>
  <c r="V50" i="8" s="1"/>
  <c r="F49" i="7" s="1"/>
  <c r="I49" i="7" s="1"/>
  <c r="E53" i="6"/>
  <c r="I53" i="6"/>
  <c r="K23" i="4"/>
  <c r="R36" i="10"/>
  <c r="I34" i="8" s="1"/>
  <c r="K41" i="3"/>
  <c r="D46" i="10"/>
  <c r="L48" i="8" s="1"/>
  <c r="D47" i="7" s="1"/>
  <c r="E51" i="4"/>
  <c r="I51" i="4"/>
  <c r="K23" i="5"/>
  <c r="T18" i="10"/>
  <c r="S16" i="8" s="1"/>
  <c r="K48" i="3"/>
  <c r="G50" i="7"/>
  <c r="K18" i="2"/>
  <c r="M5" i="8"/>
  <c r="K24" i="6"/>
  <c r="M38" i="10"/>
  <c r="H36" i="8" s="1"/>
  <c r="J49" i="3"/>
  <c r="I53" i="5"/>
  <c r="E48" i="10"/>
  <c r="E53" i="5"/>
  <c r="S35" i="10"/>
  <c r="N33" i="8" s="1"/>
  <c r="K40" i="4"/>
  <c r="B51" i="2"/>
  <c r="DH51" i="2"/>
  <c r="J51" i="2" s="1"/>
  <c r="Q46" i="10" s="1"/>
  <c r="D48" i="8" s="1"/>
  <c r="G46" i="10"/>
  <c r="L42" i="10"/>
  <c r="C44" i="8" s="1"/>
  <c r="K47" i="2"/>
  <c r="J16" i="6"/>
  <c r="K17" i="5"/>
  <c r="T12" i="10"/>
  <c r="S10" i="8" s="1"/>
  <c r="J38" i="2"/>
  <c r="AP71" i="4"/>
  <c r="P23" i="10"/>
  <c r="W21" i="8" s="1"/>
  <c r="K28" i="6"/>
  <c r="A41" i="10"/>
  <c r="A42" i="8"/>
  <c r="K42" i="8"/>
  <c r="P42" i="8"/>
  <c r="U42" i="8"/>
  <c r="A41" i="7" s="1"/>
  <c r="K41" i="7" s="1"/>
  <c r="F42" i="8"/>
  <c r="J39" i="4"/>
  <c r="J14" i="5"/>
  <c r="DH38" i="5"/>
  <c r="J38" i="5" s="1"/>
  <c r="R38" i="5"/>
  <c r="DI38" i="5"/>
  <c r="J52" i="10"/>
  <c r="Q54" i="8" s="1"/>
  <c r="E53" i="7" s="1"/>
  <c r="H53" i="7" s="1"/>
  <c r="DR57" i="6"/>
  <c r="I57" i="5"/>
  <c r="K57" i="5" s="1"/>
  <c r="K13" i="3"/>
  <c r="I47" i="5"/>
  <c r="E47" i="5"/>
  <c r="E42" i="10"/>
  <c r="K31" i="5"/>
  <c r="T26" i="10"/>
  <c r="S24" i="8" s="1"/>
  <c r="K25" i="6"/>
  <c r="J54" i="2"/>
  <c r="Q49" i="10" s="1"/>
  <c r="D51" i="8" s="1"/>
  <c r="B55" i="5"/>
  <c r="J50" i="10"/>
  <c r="K13" i="5"/>
  <c r="T8" i="10"/>
  <c r="S6" i="8" s="1"/>
  <c r="B52" i="4"/>
  <c r="I47" i="10"/>
  <c r="J50" i="4"/>
  <c r="M39" i="10"/>
  <c r="H41" i="8" s="1"/>
  <c r="K44" i="3"/>
  <c r="C47" i="10"/>
  <c r="G49" i="8" s="1"/>
  <c r="C48" i="7" s="1"/>
  <c r="E52" i="3"/>
  <c r="I52" i="3"/>
  <c r="L37" i="9"/>
  <c r="Q14" i="10"/>
  <c r="D12" i="8" s="1"/>
  <c r="K19" i="2"/>
  <c r="M3" i="10"/>
  <c r="H5" i="8"/>
  <c r="H2" i="8" s="1"/>
  <c r="K16" i="9"/>
  <c r="L16" i="9" s="1"/>
  <c r="K27" i="5"/>
  <c r="T22" i="10"/>
  <c r="S20" i="8" s="1"/>
  <c r="J56" i="4"/>
  <c r="O10" i="10"/>
  <c r="J23" i="2"/>
  <c r="E39" i="10"/>
  <c r="J39" i="10"/>
  <c r="I44" i="5"/>
  <c r="J44" i="5"/>
  <c r="T39" i="10" s="1"/>
  <c r="S41" i="8" s="1"/>
  <c r="S38" i="8" s="1"/>
  <c r="L52" i="10"/>
  <c r="C54" i="8" s="1"/>
  <c r="M49" i="10"/>
  <c r="H51" i="8" s="1"/>
  <c r="K54" i="3"/>
  <c r="I21" i="9"/>
  <c r="K48" i="4"/>
  <c r="R36" i="4"/>
  <c r="DI36" i="4"/>
  <c r="DH36" i="4"/>
  <c r="Q28" i="7"/>
  <c r="J48" i="10"/>
  <c r="J13" i="2"/>
  <c r="J19" i="5"/>
  <c r="N48" i="10"/>
  <c r="M50" i="8" s="1"/>
  <c r="K53" i="4"/>
  <c r="E46" i="5"/>
  <c r="I46" i="5"/>
  <c r="E41" i="10"/>
  <c r="K42" i="5"/>
  <c r="T37" i="10"/>
  <c r="S35" i="8" s="1"/>
  <c r="J37" i="9"/>
  <c r="J12" i="4"/>
  <c r="K25" i="2"/>
  <c r="DI41" i="4"/>
  <c r="DH41" i="4"/>
  <c r="R41" i="4"/>
  <c r="Q33" i="7"/>
  <c r="L26" i="9"/>
  <c r="J56" i="3"/>
  <c r="K50" i="3"/>
  <c r="J34" i="6"/>
  <c r="K54" i="6"/>
  <c r="AP71" i="3"/>
  <c r="U32" i="10"/>
  <c r="X30" i="8" s="1"/>
  <c r="K37" i="6"/>
  <c r="B52" i="6"/>
  <c r="J52" i="6"/>
  <c r="U47" i="10" s="1"/>
  <c r="X49" i="8" s="1"/>
  <c r="J31" i="2"/>
  <c r="K24" i="3"/>
  <c r="J27" i="6"/>
  <c r="J35" i="2"/>
  <c r="J18" i="4"/>
  <c r="F53" i="10"/>
  <c r="K53" i="10"/>
  <c r="J37" i="5"/>
  <c r="J49" i="6"/>
  <c r="R49" i="6"/>
  <c r="J19" i="4"/>
  <c r="J46" i="2"/>
  <c r="Q41" i="10" s="1"/>
  <c r="D43" i="8" s="1"/>
  <c r="K49" i="4"/>
  <c r="J30" i="3"/>
  <c r="DH31" i="6"/>
  <c r="J31" i="6" s="1"/>
  <c r="R31" i="6"/>
  <c r="DI31" i="6"/>
  <c r="K54" i="2"/>
  <c r="L49" i="10"/>
  <c r="C51" i="8" s="1"/>
  <c r="Q37" i="10"/>
  <c r="D35" i="8" s="1"/>
  <c r="K42" i="2"/>
  <c r="U35" i="10"/>
  <c r="X33" i="8" s="1"/>
  <c r="K40" i="6"/>
  <c r="R17" i="4"/>
  <c r="DI17" i="4"/>
  <c r="Q9" i="7"/>
  <c r="DH17" i="4"/>
  <c r="P43" i="10"/>
  <c r="W45" i="8" s="1"/>
  <c r="K48" i="6"/>
  <c r="C46" i="10"/>
  <c r="G48" i="8" s="1"/>
  <c r="C47" i="7" s="1"/>
  <c r="E51" i="3"/>
  <c r="I51" i="3"/>
  <c r="J16" i="5"/>
  <c r="R35" i="10"/>
  <c r="I33" i="8" s="1"/>
  <c r="K40" i="3"/>
  <c r="Q44" i="10"/>
  <c r="D46" i="8" s="1"/>
  <c r="K49" i="2"/>
  <c r="J28" i="9"/>
  <c r="D42" i="9"/>
  <c r="M28" i="9"/>
  <c r="L3" i="10"/>
  <c r="C5" i="8"/>
  <c r="C2" i="8" s="1"/>
  <c r="P39" i="10"/>
  <c r="W41" i="8" s="1"/>
  <c r="K44" i="6"/>
  <c r="P21" i="10"/>
  <c r="W19" i="8" s="1"/>
  <c r="K26" i="6"/>
  <c r="DI21" i="2"/>
  <c r="DH21" i="2"/>
  <c r="R21" i="2"/>
  <c r="O13" i="7"/>
  <c r="R13" i="7" s="1"/>
  <c r="V45" i="8"/>
  <c r="F44" i="7" s="1"/>
  <c r="I44" i="7" s="1"/>
  <c r="K16" i="3"/>
  <c r="S26" i="10"/>
  <c r="N24" i="8" s="1"/>
  <c r="K31" i="4"/>
  <c r="B47" i="10"/>
  <c r="G47" i="10"/>
  <c r="I52" i="2"/>
  <c r="K37" i="4"/>
  <c r="R58" i="5"/>
  <c r="J58" i="5"/>
  <c r="K58" i="5" s="1"/>
  <c r="J7" i="9"/>
  <c r="L7" i="9" s="1"/>
  <c r="M7" i="9"/>
  <c r="D21" i="9"/>
  <c r="E57" i="4"/>
  <c r="I57" i="4"/>
  <c r="K57" i="4" s="1"/>
  <c r="Q44" i="8"/>
  <c r="E43" i="7" s="1"/>
  <c r="H43" i="7" s="1"/>
  <c r="J43" i="5"/>
  <c r="L39" i="10"/>
  <c r="C41" i="8" s="1"/>
  <c r="K44" i="2"/>
  <c r="N31" i="10"/>
  <c r="M29" i="8" s="1"/>
  <c r="DI35" i="3"/>
  <c r="R35" i="3"/>
  <c r="DH35" i="3"/>
  <c r="P27" i="7"/>
  <c r="J29" i="4"/>
  <c r="E54" i="5"/>
  <c r="I54" i="5"/>
  <c r="E49" i="10"/>
  <c r="Q51" i="8" s="1"/>
  <c r="E50" i="7" s="1"/>
  <c r="H50" i="7" s="1"/>
  <c r="J47" i="10"/>
  <c r="B52" i="5"/>
  <c r="J45" i="4"/>
  <c r="S40" i="10" s="1"/>
  <c r="N42" i="8" s="1"/>
  <c r="K29" i="2"/>
  <c r="J29" i="5"/>
  <c r="J52" i="4"/>
  <c r="S47" i="10" s="1"/>
  <c r="N49" i="8" s="1"/>
  <c r="K46" i="6"/>
  <c r="J23" i="6"/>
  <c r="J31" i="3"/>
  <c r="E42" i="9"/>
  <c r="DH52" i="2"/>
  <c r="J52" i="2" s="1"/>
  <c r="Q47" i="10" s="1"/>
  <c r="D49" i="8" s="1"/>
  <c r="J32" i="3"/>
  <c r="K28" i="9"/>
  <c r="L28" i="9" s="1"/>
  <c r="I42" i="9"/>
  <c r="K42" i="9" s="1"/>
  <c r="G49" i="7"/>
  <c r="M50" i="10"/>
  <c r="H52" i="8" s="1"/>
  <c r="K55" i="3"/>
  <c r="J55" i="5"/>
  <c r="T50" i="10" s="1"/>
  <c r="S52" i="8" s="1"/>
  <c r="Q9" i="10"/>
  <c r="D7" i="8" s="1"/>
  <c r="K14" i="2"/>
  <c r="J12" i="3"/>
  <c r="I50" i="5"/>
  <c r="E50" i="5"/>
  <c r="E45" i="10"/>
  <c r="Q47" i="8" s="1"/>
  <c r="E46" i="7" s="1"/>
  <c r="H46" i="7" s="1"/>
  <c r="P50" i="10"/>
  <c r="W52" i="8" s="1"/>
  <c r="K55" i="6"/>
  <c r="DI16" i="2"/>
  <c r="DH16" i="2"/>
  <c r="R16" i="2"/>
  <c r="O8" i="7"/>
  <c r="R8" i="7" s="1"/>
  <c r="I40" i="10"/>
  <c r="J33" i="4"/>
  <c r="J12" i="2"/>
  <c r="Q53" i="8"/>
  <c r="E52" i="7" s="1"/>
  <c r="H52" i="7" s="1"/>
  <c r="Q35" i="10"/>
  <c r="D33" i="8" s="1"/>
  <c r="K40" i="2"/>
  <c r="C40" i="10"/>
  <c r="G42" i="8" s="1"/>
  <c r="C41" i="7" s="1"/>
  <c r="E45" i="3"/>
  <c r="I45" i="3"/>
  <c r="B45" i="5"/>
  <c r="J40" i="10"/>
  <c r="K22" i="5"/>
  <c r="T17" i="10"/>
  <c r="S15" i="8" s="1"/>
  <c r="J60" i="3"/>
  <c r="K60" i="3" s="1"/>
  <c r="Q12" i="10"/>
  <c r="D10" i="8" s="1"/>
  <c r="K17" i="2"/>
  <c r="E56" i="5"/>
  <c r="I56" i="5"/>
  <c r="E51" i="10"/>
  <c r="P42" i="10"/>
  <c r="W44" i="8" s="1"/>
  <c r="K47" i="6"/>
  <c r="J16" i="9"/>
  <c r="M16" i="9"/>
  <c r="B45" i="2"/>
  <c r="DH45" i="2"/>
  <c r="J45" i="2" s="1"/>
  <c r="Q40" i="10" s="1"/>
  <c r="D42" i="8" s="1"/>
  <c r="G40" i="10"/>
  <c r="M42" i="10"/>
  <c r="H44" i="8" s="1"/>
  <c r="K47" i="3"/>
  <c r="U37" i="10"/>
  <c r="X35" i="8" s="1"/>
  <c r="K42" i="6"/>
  <c r="J19" i="6"/>
  <c r="K24" i="5"/>
  <c r="T19" i="10"/>
  <c r="S17" i="8" s="1"/>
  <c r="L32" i="10"/>
  <c r="C30" i="8" s="1"/>
  <c r="K53" i="3"/>
  <c r="J33" i="5"/>
  <c r="J14" i="4"/>
  <c r="P40" i="10"/>
  <c r="W42" i="8" s="1"/>
  <c r="K45" i="6"/>
  <c r="DH15" i="3"/>
  <c r="J15" i="3" s="1"/>
  <c r="R15" i="3"/>
  <c r="DI15" i="3"/>
  <c r="P7" i="7"/>
  <c r="R7" i="7" s="1"/>
  <c r="DI39" i="6"/>
  <c r="DH39" i="6"/>
  <c r="R39" i="6"/>
  <c r="K28" i="3"/>
  <c r="J43" i="3"/>
  <c r="R38" i="10" s="1"/>
  <c r="I36" i="8" s="1"/>
  <c r="J53" i="5"/>
  <c r="T48" i="10" s="1"/>
  <c r="S50" i="8" s="1"/>
  <c r="J20" i="4"/>
  <c r="Q43" i="8"/>
  <c r="E42" i="7" s="1"/>
  <c r="H42" i="7" s="1"/>
  <c r="E49" i="5"/>
  <c r="I49" i="5"/>
  <c r="E44" i="10"/>
  <c r="Q46" i="8" s="1"/>
  <c r="E45" i="7" s="1"/>
  <c r="H45" i="7" s="1"/>
  <c r="J43" i="6"/>
  <c r="G40" i="7"/>
  <c r="AP67" i="6"/>
  <c r="J12" i="6" s="1"/>
  <c r="DH32" i="4"/>
  <c r="DI32" i="4"/>
  <c r="R32" i="4"/>
  <c r="Q24" i="7"/>
  <c r="K13" i="4"/>
  <c r="P3" i="10"/>
  <c r="W5" i="8"/>
  <c r="W2" i="8" s="1"/>
  <c r="Q10" i="10"/>
  <c r="D8" i="8" s="1"/>
  <c r="K15" i="2"/>
  <c r="B51" i="5"/>
  <c r="J46" i="10"/>
  <c r="J51" i="5"/>
  <c r="T46" i="10" s="1"/>
  <c r="S48" i="8" s="1"/>
  <c r="DI57" i="2"/>
  <c r="R57" i="2"/>
  <c r="DH57" i="2"/>
  <c r="O53" i="7"/>
  <c r="B48" i="5"/>
  <c r="J43" i="10"/>
  <c r="D40" i="10"/>
  <c r="L42" i="8" s="1"/>
  <c r="D41" i="7" s="1"/>
  <c r="E45" i="4"/>
  <c r="I45" i="4"/>
  <c r="G8" i="7"/>
  <c r="K17" i="6"/>
  <c r="J29" i="6"/>
  <c r="DH18" i="5"/>
  <c r="DI18" i="5"/>
  <c r="R18" i="5"/>
  <c r="N49" i="10"/>
  <c r="M51" i="8" s="1"/>
  <c r="K54" i="4"/>
  <c r="F45" i="10"/>
  <c r="V47" i="8" s="1"/>
  <c r="F46" i="7" s="1"/>
  <c r="I46" i="7" s="1"/>
  <c r="E50" i="6"/>
  <c r="I50" i="6"/>
  <c r="K18" i="6"/>
  <c r="K32" i="6"/>
  <c r="K34" i="4"/>
  <c r="J27" i="3"/>
  <c r="L41" i="10"/>
  <c r="C43" i="8" s="1"/>
  <c r="K46" i="2"/>
  <c r="J37" i="2"/>
  <c r="Q32" i="10" s="1"/>
  <c r="D30" i="8" s="1"/>
  <c r="J59" i="3"/>
  <c r="K59" i="3" s="1"/>
  <c r="K15" i="5"/>
  <c r="T10" i="10"/>
  <c r="S8" i="8" s="1"/>
  <c r="U7" i="10" l="1"/>
  <c r="K12" i="6"/>
  <c r="I6" i="6"/>
  <c r="U29" i="10"/>
  <c r="X27" i="8" s="1"/>
  <c r="K34" i="6"/>
  <c r="K33" i="5"/>
  <c r="T28" i="10"/>
  <c r="S26" i="8" s="1"/>
  <c r="K38" i="5"/>
  <c r="T33" i="10"/>
  <c r="S31" i="8" s="1"/>
  <c r="J18" i="5"/>
  <c r="R10" i="10"/>
  <c r="I8" i="8" s="1"/>
  <c r="K15" i="3"/>
  <c r="M40" i="10"/>
  <c r="H42" i="8" s="1"/>
  <c r="K45" i="3"/>
  <c r="I6" i="3"/>
  <c r="R26" i="10"/>
  <c r="I24" i="8" s="1"/>
  <c r="K31" i="3"/>
  <c r="J17" i="4"/>
  <c r="S14" i="10"/>
  <c r="N12" i="8" s="1"/>
  <c r="K19" i="4"/>
  <c r="U22" i="10"/>
  <c r="X20" i="8" s="1"/>
  <c r="K27" i="6"/>
  <c r="J36" i="4"/>
  <c r="R8" i="8"/>
  <c r="R2" i="8" s="1"/>
  <c r="O3" i="10"/>
  <c r="S45" i="10"/>
  <c r="N47" i="8" s="1"/>
  <c r="N38" i="8" s="1"/>
  <c r="K50" i="4"/>
  <c r="F52" i="10"/>
  <c r="V54" i="8" s="1"/>
  <c r="F53" i="7" s="1"/>
  <c r="I53" i="7" s="1"/>
  <c r="K52" i="10"/>
  <c r="Q33" i="10"/>
  <c r="D31" i="8" s="1"/>
  <c r="K38" i="2"/>
  <c r="B46" i="10"/>
  <c r="B48" i="8" s="1"/>
  <c r="B47" i="7" s="1"/>
  <c r="G47" i="7" s="1"/>
  <c r="E51" i="2"/>
  <c r="I51" i="2"/>
  <c r="P48" i="10"/>
  <c r="W50" i="8" s="1"/>
  <c r="K53" i="6"/>
  <c r="B40" i="10"/>
  <c r="B42" i="8" s="1"/>
  <c r="B41" i="7" s="1"/>
  <c r="G41" i="7" s="1"/>
  <c r="E45" i="2"/>
  <c r="I45" i="2"/>
  <c r="U18" i="10"/>
  <c r="X16" i="8" s="1"/>
  <c r="K23" i="6"/>
  <c r="S51" i="10"/>
  <c r="N53" i="8" s="1"/>
  <c r="K56" i="4"/>
  <c r="U14" i="10"/>
  <c r="X12" i="8" s="1"/>
  <c r="K19" i="6"/>
  <c r="R7" i="10"/>
  <c r="K12" i="3"/>
  <c r="K54" i="5"/>
  <c r="O49" i="10"/>
  <c r="R51" i="8" s="1"/>
  <c r="M21" i="9"/>
  <c r="J21" i="9"/>
  <c r="K16" i="5"/>
  <c r="T11" i="10"/>
  <c r="S9" i="8" s="1"/>
  <c r="U44" i="10"/>
  <c r="X46" i="8" s="1"/>
  <c r="X38" i="8" s="1"/>
  <c r="K49" i="6"/>
  <c r="Q26" i="10"/>
  <c r="D24" i="8" s="1"/>
  <c r="K31" i="2"/>
  <c r="S7" i="10"/>
  <c r="K12" i="4"/>
  <c r="K44" i="5"/>
  <c r="O39" i="10"/>
  <c r="R41" i="8" s="1"/>
  <c r="D47" i="10"/>
  <c r="L49" i="8" s="1"/>
  <c r="D48" i="7" s="1"/>
  <c r="E52" i="4"/>
  <c r="I52" i="4"/>
  <c r="M2" i="8"/>
  <c r="K51" i="4"/>
  <c r="N46" i="10"/>
  <c r="M48" i="8" s="1"/>
  <c r="K49" i="5"/>
  <c r="O44" i="10"/>
  <c r="R46" i="8" s="1"/>
  <c r="J39" i="6"/>
  <c r="S9" i="10"/>
  <c r="N7" i="8" s="1"/>
  <c r="K14" i="4"/>
  <c r="J16" i="2"/>
  <c r="R27" i="10"/>
  <c r="I25" i="8" s="1"/>
  <c r="K32" i="3"/>
  <c r="B49" i="8"/>
  <c r="B48" i="7" s="1"/>
  <c r="J21" i="2"/>
  <c r="M46" i="10"/>
  <c r="H48" i="8" s="1"/>
  <c r="K51" i="3"/>
  <c r="K37" i="5"/>
  <c r="T32" i="10"/>
  <c r="S30" i="8" s="1"/>
  <c r="R51" i="10"/>
  <c r="I53" i="8" s="1"/>
  <c r="K56" i="3"/>
  <c r="K19" i="5"/>
  <c r="T14" i="10"/>
  <c r="S12" i="8" s="1"/>
  <c r="Q41" i="8"/>
  <c r="E40" i="7" s="1"/>
  <c r="H40" i="7" s="1"/>
  <c r="M47" i="10"/>
  <c r="H49" i="8" s="1"/>
  <c r="K52" i="3"/>
  <c r="U11" i="10"/>
  <c r="X9" i="8" s="1"/>
  <c r="K16" i="6"/>
  <c r="N3" i="10"/>
  <c r="U38" i="10"/>
  <c r="X36" i="8" s="1"/>
  <c r="K43" i="6"/>
  <c r="K50" i="5"/>
  <c r="O45" i="10"/>
  <c r="R47" i="8" s="1"/>
  <c r="R22" i="10"/>
  <c r="I20" i="8" s="1"/>
  <c r="K27" i="3"/>
  <c r="K29" i="5"/>
  <c r="T24" i="10"/>
  <c r="S22" i="8" s="1"/>
  <c r="S24" i="10"/>
  <c r="N22" i="8" s="1"/>
  <c r="K29" i="4"/>
  <c r="M42" i="9"/>
  <c r="J42" i="9"/>
  <c r="K21" i="9"/>
  <c r="L21" i="9" s="1"/>
  <c r="K35" i="5"/>
  <c r="T30" i="10"/>
  <c r="S28" i="8" s="1"/>
  <c r="R25" i="10"/>
  <c r="I23" i="8" s="1"/>
  <c r="K30" i="3"/>
  <c r="Q50" i="8"/>
  <c r="E49" i="7" s="1"/>
  <c r="H49" i="7" s="1"/>
  <c r="K14" i="5"/>
  <c r="T9" i="10"/>
  <c r="S7" i="8" s="1"/>
  <c r="P45" i="10"/>
  <c r="W47" i="8" s="1"/>
  <c r="K50" i="6"/>
  <c r="U24" i="10"/>
  <c r="X22" i="8" s="1"/>
  <c r="K29" i="6"/>
  <c r="J32" i="4"/>
  <c r="S15" i="10"/>
  <c r="N13" i="8" s="1"/>
  <c r="K20" i="4"/>
  <c r="K37" i="2"/>
  <c r="Q42" i="8"/>
  <c r="E41" i="7" s="1"/>
  <c r="H41" i="7" s="1"/>
  <c r="Q7" i="10"/>
  <c r="J6" i="2"/>
  <c r="K12" i="2"/>
  <c r="J35" i="3"/>
  <c r="J6" i="3" s="1"/>
  <c r="K43" i="5"/>
  <c r="T38" i="10"/>
  <c r="S36" i="8" s="1"/>
  <c r="S13" i="10"/>
  <c r="N11" i="8" s="1"/>
  <c r="K18" i="4"/>
  <c r="Q18" i="10"/>
  <c r="D16" i="8" s="1"/>
  <c r="K23" i="2"/>
  <c r="I55" i="5"/>
  <c r="E55" i="5"/>
  <c r="E50" i="10"/>
  <c r="Q52" i="8" s="1"/>
  <c r="E51" i="7" s="1"/>
  <c r="H51" i="7" s="1"/>
  <c r="S34" i="10"/>
  <c r="N32" i="8" s="1"/>
  <c r="K39" i="4"/>
  <c r="R44" i="10"/>
  <c r="I46" i="8" s="1"/>
  <c r="I38" i="8" s="1"/>
  <c r="K49" i="3"/>
  <c r="N40" i="10"/>
  <c r="M42" i="8" s="1"/>
  <c r="K45" i="4"/>
  <c r="L42" i="9"/>
  <c r="L47" i="10"/>
  <c r="C49" i="8" s="1"/>
  <c r="K52" i="2"/>
  <c r="U26" i="10"/>
  <c r="X24" i="8" s="1"/>
  <c r="K31" i="6"/>
  <c r="F47" i="10"/>
  <c r="V49" i="8" s="1"/>
  <c r="F48" i="7" s="1"/>
  <c r="I48" i="7" s="1"/>
  <c r="I52" i="6"/>
  <c r="E52" i="6"/>
  <c r="Q8" i="10"/>
  <c r="D6" i="8" s="1"/>
  <c r="K13" i="2"/>
  <c r="A42" i="10"/>
  <c r="U43" i="8"/>
  <c r="A42" i="7" s="1"/>
  <c r="K42" i="7" s="1"/>
  <c r="K43" i="8"/>
  <c r="A43" i="8"/>
  <c r="F43" i="8"/>
  <c r="P43" i="8"/>
  <c r="E48" i="5"/>
  <c r="I48" i="5"/>
  <c r="E43" i="10"/>
  <c r="Q45" i="8" s="1"/>
  <c r="E44" i="7" s="1"/>
  <c r="H44" i="7" s="1"/>
  <c r="E51" i="5"/>
  <c r="E46" i="10"/>
  <c r="Q48" i="8" s="1"/>
  <c r="E47" i="7" s="1"/>
  <c r="H47" i="7" s="1"/>
  <c r="I51" i="5"/>
  <c r="V55" i="8"/>
  <c r="F54" i="7" s="1"/>
  <c r="I54" i="7" s="1"/>
  <c r="K47" i="5"/>
  <c r="O42" i="10"/>
  <c r="R44" i="8" s="1"/>
  <c r="K53" i="5"/>
  <c r="O48" i="10"/>
  <c r="R50" i="8" s="1"/>
  <c r="J57" i="2"/>
  <c r="K56" i="5"/>
  <c r="O51" i="10"/>
  <c r="R53" i="8" s="1"/>
  <c r="I45" i="5"/>
  <c r="E45" i="5"/>
  <c r="E40" i="10"/>
  <c r="S28" i="10"/>
  <c r="N26" i="8" s="1"/>
  <c r="K33" i="4"/>
  <c r="I52" i="5"/>
  <c r="E52" i="5"/>
  <c r="E47" i="10"/>
  <c r="Q49" i="8" s="1"/>
  <c r="E48" i="7" s="1"/>
  <c r="H48" i="7" s="1"/>
  <c r="Q30" i="10"/>
  <c r="D28" i="8" s="1"/>
  <c r="K35" i="2"/>
  <c r="J41" i="4"/>
  <c r="K46" i="5"/>
  <c r="O41" i="10"/>
  <c r="R43" i="8" s="1"/>
  <c r="H38" i="8"/>
  <c r="K43" i="3"/>
  <c r="K52" i="5" l="1"/>
  <c r="O47" i="10"/>
  <c r="R49" i="8" s="1"/>
  <c r="Q52" i="10"/>
  <c r="D54" i="8" s="1"/>
  <c r="D38" i="8" s="1"/>
  <c r="K57" i="2"/>
  <c r="O40" i="10"/>
  <c r="R42" i="8" s="1"/>
  <c r="R38" i="8" s="1"/>
  <c r="K45" i="5"/>
  <c r="P47" i="10"/>
  <c r="W49" i="8" s="1"/>
  <c r="W38" i="8" s="1"/>
  <c r="K52" i="6"/>
  <c r="K55" i="5"/>
  <c r="O50" i="10"/>
  <c r="R52" i="8" s="1"/>
  <c r="S27" i="10"/>
  <c r="N25" i="8" s="1"/>
  <c r="K32" i="4"/>
  <c r="Q11" i="10"/>
  <c r="D9" i="8" s="1"/>
  <c r="K16" i="2"/>
  <c r="K6" i="2" s="1"/>
  <c r="N5" i="8"/>
  <c r="I5" i="8"/>
  <c r="L40" i="10"/>
  <c r="C42" i="8" s="1"/>
  <c r="C38" i="8" s="1"/>
  <c r="K45" i="2"/>
  <c r="I6" i="2"/>
  <c r="K18" i="5"/>
  <c r="K6" i="5" s="1"/>
  <c r="T13" i="10"/>
  <c r="S11" i="8" s="1"/>
  <c r="K48" i="5"/>
  <c r="O43" i="10"/>
  <c r="R45" i="8" s="1"/>
  <c r="J6" i="5"/>
  <c r="G48" i="7"/>
  <c r="K6" i="6"/>
  <c r="K51" i="5"/>
  <c r="O46" i="10"/>
  <c r="R48" i="8" s="1"/>
  <c r="N47" i="10"/>
  <c r="M49" i="8" s="1"/>
  <c r="M38" i="8" s="1"/>
  <c r="K52" i="4"/>
  <c r="D5" i="8"/>
  <c r="U34" i="10"/>
  <c r="X32" i="8" s="1"/>
  <c r="K39" i="6"/>
  <c r="Q16" i="10"/>
  <c r="D14" i="8" s="1"/>
  <c r="K21" i="2"/>
  <c r="S31" i="10"/>
  <c r="N29" i="8" s="1"/>
  <c r="K36" i="4"/>
  <c r="S36" i="10"/>
  <c r="N34" i="8" s="1"/>
  <c r="K41" i="4"/>
  <c r="S2" i="8"/>
  <c r="J6" i="6"/>
  <c r="L46" i="10"/>
  <c r="C48" i="8" s="1"/>
  <c r="K51" i="2"/>
  <c r="S12" i="10"/>
  <c r="N10" i="8" s="1"/>
  <c r="K17" i="4"/>
  <c r="K6" i="4" s="1"/>
  <c r="I6" i="5"/>
  <c r="A43" i="10"/>
  <c r="U44" i="8"/>
  <c r="A43" i="7" s="1"/>
  <c r="K43" i="7" s="1"/>
  <c r="K44" i="8"/>
  <c r="A44" i="8"/>
  <c r="P44" i="8"/>
  <c r="F44" i="8"/>
  <c r="I6" i="4"/>
  <c r="R30" i="10"/>
  <c r="I28" i="8" s="1"/>
  <c r="K35" i="3"/>
  <c r="K6" i="3" s="1"/>
  <c r="J6" i="4"/>
  <c r="X5" i="8"/>
  <c r="S3" i="10" l="1"/>
  <c r="A44" i="10"/>
  <c r="F45" i="8"/>
  <c r="K45" i="8"/>
  <c r="P45" i="8"/>
  <c r="A45" i="8"/>
  <c r="U45" i="8"/>
  <c r="A44" i="7" s="1"/>
  <c r="K44" i="7" s="1"/>
  <c r="D2" i="8"/>
  <c r="I2" i="8"/>
  <c r="Q3" i="10"/>
  <c r="X2" i="8"/>
  <c r="R3" i="10"/>
  <c r="U3" i="10"/>
  <c r="F1" i="8"/>
  <c r="N2" i="8"/>
  <c r="D1" i="8" l="1"/>
  <c r="B1" i="8" s="1"/>
  <c r="A45" i="10"/>
  <c r="P46" i="8"/>
  <c r="F46" i="8"/>
  <c r="A46" i="8"/>
  <c r="U46" i="8"/>
  <c r="A45" i="7" s="1"/>
  <c r="K45" i="7" s="1"/>
  <c r="K46" i="8"/>
  <c r="A46" i="10" l="1"/>
  <c r="A47" i="8"/>
  <c r="P47" i="8"/>
  <c r="K47" i="8"/>
  <c r="F47" i="8"/>
  <c r="U47" i="8"/>
  <c r="A46" i="7" s="1"/>
  <c r="K46" i="7" s="1"/>
  <c r="K48" i="8" l="1"/>
  <c r="A48" i="8"/>
  <c r="F48" i="8"/>
  <c r="P48" i="8"/>
  <c r="A47" i="10"/>
  <c r="U48" i="8"/>
  <c r="A47" i="7" s="1"/>
  <c r="K47" i="7" s="1"/>
  <c r="A48" i="10" l="1"/>
  <c r="U49" i="8"/>
  <c r="A48" i="7" s="1"/>
  <c r="K48" i="7" s="1"/>
  <c r="K49" i="8"/>
  <c r="A49" i="8"/>
  <c r="F49" i="8"/>
  <c r="P49" i="8"/>
  <c r="A49" i="10" l="1"/>
  <c r="F50" i="8"/>
  <c r="U50" i="8"/>
  <c r="A49" i="7" s="1"/>
  <c r="K49" i="7" s="1"/>
  <c r="A50" i="8"/>
  <c r="P50" i="8"/>
  <c r="K50" i="8"/>
  <c r="A50" i="10" l="1"/>
  <c r="P51" i="8"/>
  <c r="F51" i="8"/>
  <c r="K51" i="8"/>
  <c r="A51" i="8"/>
  <c r="U51" i="8"/>
  <c r="A50" i="7" s="1"/>
  <c r="K50" i="7" s="1"/>
  <c r="A51" i="10" l="1"/>
  <c r="P52" i="8"/>
  <c r="A52" i="8"/>
  <c r="K52" i="8"/>
  <c r="F52" i="8"/>
  <c r="U52" i="8"/>
  <c r="A51" i="7" s="1"/>
  <c r="K51" i="7" s="1"/>
  <c r="A52" i="10" l="1"/>
  <c r="K53" i="8"/>
  <c r="A53" i="8"/>
  <c r="P53" i="8"/>
  <c r="F53" i="8"/>
  <c r="U53" i="8"/>
  <c r="A52" i="7" s="1"/>
  <c r="K52" i="7" s="1"/>
  <c r="A53" i="10" l="1"/>
  <c r="K54" i="8"/>
  <c r="U54" i="8"/>
  <c r="A53" i="7" s="1"/>
  <c r="K53" i="7" s="1"/>
  <c r="A54" i="8"/>
  <c r="P54" i="8"/>
  <c r="F54" i="8"/>
  <c r="P55" i="8" l="1"/>
  <c r="F55" i="8"/>
  <c r="K55" i="8"/>
  <c r="A55" i="8"/>
  <c r="U55" i="8"/>
  <c r="A54" i="7" s="1"/>
  <c r="K54" i="7" s="1"/>
</calcChain>
</file>

<file path=xl/sharedStrings.xml><?xml version="1.0" encoding="utf-8"?>
<sst xmlns="http://schemas.openxmlformats.org/spreadsheetml/2006/main" count="1044" uniqueCount="163">
  <si>
    <t xml:space="preserve"> </t>
  </si>
  <si>
    <t xml:space="preserve">Curve </t>
  </si>
  <si>
    <t xml:space="preserve">New </t>
  </si>
  <si>
    <t>Trade Date</t>
  </si>
  <si>
    <t>Shift ($)</t>
  </si>
  <si>
    <t>Deals ($)</t>
  </si>
  <si>
    <t>P&amp;L ($)</t>
  </si>
  <si>
    <t>Prior Date</t>
  </si>
  <si>
    <t>Day's</t>
  </si>
  <si>
    <t>Option</t>
  </si>
  <si>
    <t>Current Pos.</t>
  </si>
  <si>
    <t>Prior</t>
  </si>
  <si>
    <t xml:space="preserve">Current </t>
  </si>
  <si>
    <t>Bid-Ask</t>
  </si>
  <si>
    <t>Mid Change</t>
  </si>
  <si>
    <t>Net</t>
  </si>
  <si>
    <t>Average</t>
  </si>
  <si>
    <t>Absolute</t>
  </si>
  <si>
    <t>Trading</t>
  </si>
  <si>
    <t>Discount Factor</t>
  </si>
  <si>
    <t>Avg Price</t>
  </si>
  <si>
    <t>New Deal</t>
  </si>
  <si>
    <t>Date</t>
  </si>
  <si>
    <t>MW</t>
  </si>
  <si>
    <t>Trade</t>
  </si>
  <si>
    <t>Exercise</t>
  </si>
  <si>
    <t>Price</t>
  </si>
  <si>
    <t>Change</t>
  </si>
  <si>
    <t>Bid</t>
  </si>
  <si>
    <t>Offer</t>
  </si>
  <si>
    <t>Overide</t>
  </si>
  <si>
    <t>Volume</t>
  </si>
  <si>
    <t>Volume (MW)</t>
  </si>
  <si>
    <t>Hours</t>
  </si>
  <si>
    <t>Pos (MW)</t>
  </si>
  <si>
    <t>Weeday</t>
  </si>
  <si>
    <t>DAILY CALLS</t>
  </si>
  <si>
    <t>MONTHLY CALLS</t>
  </si>
  <si>
    <t>DAILY PUTS</t>
  </si>
  <si>
    <t>MONTHLY PUTS</t>
  </si>
  <si>
    <t>LONG</t>
  </si>
  <si>
    <t>SHORT</t>
  </si>
  <si>
    <t>Strike</t>
  </si>
  <si>
    <t>Ex. Volume</t>
  </si>
  <si>
    <t>Notional</t>
  </si>
  <si>
    <t>Daily Volume</t>
  </si>
  <si>
    <t>Monthly Volume</t>
  </si>
  <si>
    <t>NYISO</t>
  </si>
  <si>
    <t>Beg Pos</t>
  </si>
  <si>
    <t>New</t>
  </si>
  <si>
    <t>Filename</t>
  </si>
  <si>
    <t>NYPosMgr</t>
  </si>
  <si>
    <t>Peak MW</t>
  </si>
  <si>
    <t>`</t>
  </si>
  <si>
    <t>Week</t>
  </si>
  <si>
    <t>Zone A</t>
  </si>
  <si>
    <t>Beg. Pos</t>
  </si>
  <si>
    <t>Mwh's</t>
  </si>
  <si>
    <t>Zone G</t>
  </si>
  <si>
    <t>Zone J</t>
  </si>
  <si>
    <t>New  Pos</t>
  </si>
  <si>
    <t>MTM A</t>
  </si>
  <si>
    <t>MTM J</t>
  </si>
  <si>
    <t>MTM G</t>
  </si>
  <si>
    <t>Sat</t>
  </si>
  <si>
    <t>Sun</t>
  </si>
  <si>
    <t>Hol</t>
  </si>
  <si>
    <t>-Hol</t>
  </si>
  <si>
    <t>+Hol</t>
  </si>
  <si>
    <t>Peak Days</t>
  </si>
  <si>
    <t>Cash</t>
  </si>
  <si>
    <t>Net Position</t>
  </si>
  <si>
    <t>Curve Shift</t>
  </si>
  <si>
    <t>New Deals</t>
  </si>
  <si>
    <t>Mw's</t>
  </si>
  <si>
    <t>$</t>
  </si>
  <si>
    <t>Term</t>
  </si>
  <si>
    <t>Still Working on it</t>
  </si>
  <si>
    <t>Nepool</t>
  </si>
  <si>
    <t>PJM</t>
  </si>
  <si>
    <t>New Pos</t>
  </si>
  <si>
    <t>MTM Nepool</t>
  </si>
  <si>
    <t>MTM PJM</t>
  </si>
  <si>
    <t>MTM NEPOOL</t>
  </si>
  <si>
    <t>Total</t>
  </si>
  <si>
    <t>Cash Total</t>
  </si>
  <si>
    <t>Term Total</t>
  </si>
  <si>
    <t>Position</t>
  </si>
  <si>
    <t>NY</t>
  </si>
  <si>
    <t>Prior Day</t>
  </si>
  <si>
    <t>Current Day</t>
  </si>
  <si>
    <t>Price Summary</t>
  </si>
  <si>
    <t>]</t>
  </si>
  <si>
    <t>ZONE A</t>
  </si>
  <si>
    <t>ZONE G</t>
  </si>
  <si>
    <t>ZONE J</t>
  </si>
  <si>
    <t>G/A</t>
  </si>
  <si>
    <t>J/A</t>
  </si>
  <si>
    <t>J/G</t>
  </si>
  <si>
    <t>DAYS</t>
  </si>
  <si>
    <t>JAN</t>
  </si>
  <si>
    <t>FEB</t>
  </si>
  <si>
    <t>JAN-FEB</t>
  </si>
  <si>
    <t>MAR</t>
  </si>
  <si>
    <t>Q-1</t>
  </si>
  <si>
    <t>APR</t>
  </si>
  <si>
    <t>MAY</t>
  </si>
  <si>
    <t>JUNE</t>
  </si>
  <si>
    <t>Q-2</t>
  </si>
  <si>
    <t>JUL</t>
  </si>
  <si>
    <t>AUG</t>
  </si>
  <si>
    <t>JUL-AUG</t>
  </si>
  <si>
    <t>SEPT</t>
  </si>
  <si>
    <t>Q3</t>
  </si>
  <si>
    <t>Oct</t>
  </si>
  <si>
    <t>Nov</t>
  </si>
  <si>
    <t>Dec</t>
  </si>
  <si>
    <t>Q4</t>
  </si>
  <si>
    <t>CALENDAR 2002</t>
  </si>
  <si>
    <t>"02/01"</t>
  </si>
  <si>
    <t>CAL 02</t>
  </si>
  <si>
    <t>CALENDER 2003</t>
  </si>
  <si>
    <t>"03/02"</t>
  </si>
  <si>
    <t>CAL 03</t>
  </si>
  <si>
    <t>Product ID</t>
  </si>
  <si>
    <t>Bid price</t>
  </si>
  <si>
    <t>Offer Price</t>
  </si>
  <si>
    <t>Actual time stamp</t>
  </si>
  <si>
    <t>Description</t>
  </si>
  <si>
    <t>Enter number of products</t>
  </si>
  <si>
    <t>Min</t>
  </si>
  <si>
    <t>Max</t>
  </si>
  <si>
    <t>Power Row</t>
  </si>
  <si>
    <t>Gas Row</t>
  </si>
  <si>
    <t>29-31</t>
  </si>
  <si>
    <t>Next Day HeatRate</t>
  </si>
  <si>
    <t>Bal Mo HeatRate</t>
  </si>
  <si>
    <t>Prompt Month HeatRate</t>
  </si>
  <si>
    <t>JUNE4-8</t>
  </si>
  <si>
    <t>Q-4 01</t>
  </si>
  <si>
    <t>FG-02</t>
  </si>
  <si>
    <t>NQ-02</t>
  </si>
  <si>
    <t>Q4-02</t>
  </si>
  <si>
    <t>CAL-02</t>
  </si>
  <si>
    <t>Sep Naty</t>
  </si>
  <si>
    <t>Oct Naty</t>
  </si>
  <si>
    <t>Nov Naty</t>
  </si>
  <si>
    <t>Nov-Mar 01</t>
  </si>
  <si>
    <t>Cal-02 Naty</t>
  </si>
  <si>
    <t>Apr-Oct Naty</t>
  </si>
  <si>
    <t>Cal-03 Naty</t>
  </si>
  <si>
    <t>Q-4 01 G</t>
  </si>
  <si>
    <t>FG-02 G</t>
  </si>
  <si>
    <t>NQ-02 G</t>
  </si>
  <si>
    <t>Q4-02 G</t>
  </si>
  <si>
    <t>U-02</t>
  </si>
  <si>
    <t>M-02</t>
  </si>
  <si>
    <t>HJ-02</t>
  </si>
  <si>
    <t>K-02</t>
  </si>
  <si>
    <t>Cin U-01</t>
  </si>
  <si>
    <t>Cin NQ-02</t>
  </si>
  <si>
    <t>Cin K-02</t>
  </si>
  <si>
    <t>Cin M-02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</si>
</sst>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d\-mmm\,ddd"/>
    <numFmt numFmtId="169" formatCode="0_);[Red]\(0\)"/>
    <numFmt numFmtId="175" formatCode="_(* #,##0.0_);_(* \(#,##0.0\);_(* &quot;-&quot;_);_(@_)"/>
    <numFmt numFmtId="176" formatCode="_(* #,##0.00_);_(* \(#,##0.00\);_(* &quot;-&quot;_);_(@_)"/>
    <numFmt numFmtId="184" formatCode="_(&quot;$&quot;* #,##0_);_(&quot;$&quot;* \(#,##0\);_(&quot;$&quot;* &quot;-&quot;??_);_(@_)"/>
    <numFmt numFmtId="194" formatCode="#,##0.0_);[Red]\(#,##0.0\)"/>
    <numFmt numFmtId="205" formatCode="m/d/yy"/>
    <numFmt numFmtId="207" formatCode="_(&quot;$&quot;* #,##0.0000_);_(&quot;$&quot;* \(#,##0.0000\);_(&quot;$&quot;* &quot;-&quot;??_);_(@_)"/>
    <numFmt numFmtId="212" formatCode="m/d/yy\ h:mm\ AM/PM"/>
  </numFmts>
  <fonts count="3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u/>
      <sz val="20"/>
      <color indexed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sz val="8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6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6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7" fontId="23" fillId="2" borderId="0" applyNumberFormat="0" applyBorder="0" applyAlignment="0" applyProtection="0"/>
    <xf numFmtId="37" fontId="24" fillId="0" borderId="0"/>
    <xf numFmtId="3" fontId="25" fillId="3" borderId="1" applyProtection="0"/>
  </cellStyleXfs>
  <cellXfs count="513">
    <xf numFmtId="0" fontId="0" fillId="0" borderId="0" xfId="0"/>
    <xf numFmtId="0" fontId="5" fillId="4" borderId="2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</xf>
    <xf numFmtId="0" fontId="5" fillId="4" borderId="4" xfId="0" applyFont="1" applyFill="1" applyBorder="1"/>
    <xf numFmtId="14" fontId="5" fillId="5" borderId="5" xfId="0" applyNumberFormat="1" applyFont="1" applyFill="1" applyBorder="1"/>
    <xf numFmtId="0" fontId="5" fillId="4" borderId="6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5" fillId="4" borderId="6" xfId="0" applyFont="1" applyFill="1" applyBorder="1"/>
    <xf numFmtId="14" fontId="5" fillId="5" borderId="7" xfId="0" applyNumberFormat="1" applyFont="1" applyFill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0" fontId="2" fillId="4" borderId="8" xfId="0" applyFont="1" applyFill="1" applyBorder="1" applyAlignment="1" applyProtection="1">
      <alignment horizontal="right"/>
      <protection locked="0"/>
    </xf>
    <xf numFmtId="0" fontId="5" fillId="4" borderId="2" xfId="0" applyFont="1" applyFill="1" applyBorder="1" applyProtection="1"/>
    <xf numFmtId="0" fontId="5" fillId="4" borderId="10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centerContinuous"/>
    </xf>
    <xf numFmtId="0" fontId="5" fillId="4" borderId="11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8" xfId="0" applyFont="1" applyFill="1" applyBorder="1" applyAlignment="1" applyProtection="1">
      <alignment horizontal="center"/>
    </xf>
    <xf numFmtId="0" fontId="5" fillId="4" borderId="13" xfId="0" applyFont="1" applyFill="1" applyBorder="1" applyAlignment="1" applyProtection="1">
      <alignment horizontal="center"/>
    </xf>
    <xf numFmtId="0" fontId="5" fillId="4" borderId="14" xfId="0" applyFont="1" applyFill="1" applyBorder="1" applyAlignment="1" applyProtection="1">
      <alignment horizontal="center"/>
    </xf>
    <xf numFmtId="0" fontId="5" fillId="4" borderId="15" xfId="0" applyFont="1" applyFill="1" applyBorder="1" applyAlignment="1" applyProtection="1">
      <alignment horizontal="center"/>
    </xf>
    <xf numFmtId="164" fontId="3" fillId="6" borderId="16" xfId="1" applyNumberFormat="1" applyFont="1" applyFill="1" applyBorder="1" applyAlignment="1" applyProtection="1">
      <alignment horizontal="center"/>
    </xf>
    <xf numFmtId="41" fontId="3" fillId="6" borderId="16" xfId="0" applyNumberFormat="1" applyFont="1" applyFill="1" applyBorder="1" applyAlignment="1" applyProtection="1">
      <alignment horizontal="center"/>
    </xf>
    <xf numFmtId="41" fontId="7" fillId="6" borderId="16" xfId="0" applyNumberFormat="1" applyFont="1" applyFill="1" applyBorder="1" applyAlignment="1" applyProtection="1">
      <alignment horizontal="center"/>
    </xf>
    <xf numFmtId="2" fontId="3" fillId="6" borderId="16" xfId="0" applyNumberFormat="1" applyFont="1" applyFill="1" applyBorder="1" applyAlignment="1" applyProtection="1">
      <alignment horizontal="center"/>
    </xf>
    <xf numFmtId="2" fontId="7" fillId="6" borderId="16" xfId="0" applyNumberFormat="1" applyFont="1" applyFill="1" applyBorder="1" applyAlignment="1" applyProtection="1">
      <alignment horizontal="center"/>
    </xf>
    <xf numFmtId="164" fontId="3" fillId="6" borderId="16" xfId="0" applyNumberFormat="1" applyFont="1" applyFill="1" applyBorder="1" applyAlignment="1" applyProtection="1">
      <alignment horizontal="center"/>
    </xf>
    <xf numFmtId="164" fontId="3" fillId="6" borderId="17" xfId="1" applyNumberFormat="1" applyFont="1" applyFill="1" applyBorder="1" applyAlignment="1" applyProtection="1">
      <alignment horizontal="center"/>
    </xf>
    <xf numFmtId="166" fontId="5" fillId="4" borderId="16" xfId="0" applyNumberFormat="1" applyFont="1" applyFill="1" applyBorder="1" applyProtection="1"/>
    <xf numFmtId="2" fontId="6" fillId="5" borderId="16" xfId="0" applyNumberFormat="1" applyFont="1" applyFill="1" applyBorder="1" applyAlignment="1" applyProtection="1">
      <alignment horizontal="center"/>
    </xf>
    <xf numFmtId="166" fontId="5" fillId="4" borderId="18" xfId="0" applyNumberFormat="1" applyFont="1" applyFill="1" applyBorder="1" applyProtection="1"/>
    <xf numFmtId="41" fontId="6" fillId="0" borderId="19" xfId="0" applyNumberFormat="1" applyFont="1" applyBorder="1" applyAlignment="1" applyProtection="1">
      <alignment horizontal="center"/>
      <protection locked="0"/>
    </xf>
    <xf numFmtId="44" fontId="6" fillId="0" borderId="20" xfId="2" applyFont="1" applyBorder="1" applyAlignment="1" applyProtection="1">
      <alignment horizontal="center"/>
      <protection locked="0"/>
    </xf>
    <xf numFmtId="0" fontId="2" fillId="4" borderId="21" xfId="0" applyFont="1" applyFill="1" applyBorder="1" applyAlignment="1" applyProtection="1">
      <alignment horizontal="center"/>
    </xf>
    <xf numFmtId="44" fontId="2" fillId="4" borderId="22" xfId="2" applyFont="1" applyFill="1" applyBorder="1" applyAlignment="1" applyProtection="1">
      <alignment horizontal="center"/>
    </xf>
    <xf numFmtId="41" fontId="3" fillId="7" borderId="16" xfId="0" applyNumberFormat="1" applyFont="1" applyFill="1" applyBorder="1" applyAlignment="1" applyProtection="1">
      <alignment horizontal="center"/>
    </xf>
    <xf numFmtId="164" fontId="3" fillId="7" borderId="16" xfId="1" applyNumberFormat="1" applyFont="1" applyFill="1" applyBorder="1" applyAlignment="1" applyProtection="1">
      <alignment horizontal="center"/>
    </xf>
    <xf numFmtId="41" fontId="7" fillId="7" borderId="16" xfId="0" applyNumberFormat="1" applyFont="1" applyFill="1" applyBorder="1" applyAlignment="1" applyProtection="1">
      <alignment horizontal="center"/>
    </xf>
    <xf numFmtId="2" fontId="3" fillId="7" borderId="16" xfId="0" applyNumberFormat="1" applyFont="1" applyFill="1" applyBorder="1" applyAlignment="1" applyProtection="1">
      <alignment horizontal="center"/>
    </xf>
    <xf numFmtId="2" fontId="7" fillId="7" borderId="16" xfId="0" applyNumberFormat="1" applyFont="1" applyFill="1" applyBorder="1" applyAlignment="1" applyProtection="1">
      <alignment horizontal="center"/>
    </xf>
    <xf numFmtId="164" fontId="3" fillId="7" borderId="17" xfId="1" applyNumberFormat="1" applyFont="1" applyFill="1" applyBorder="1" applyAlignment="1" applyProtection="1">
      <alignment horizontal="center"/>
    </xf>
    <xf numFmtId="164" fontId="3" fillId="5" borderId="6" xfId="1" applyNumberFormat="1" applyFont="1" applyFill="1" applyBorder="1" applyAlignment="1" applyProtection="1">
      <alignment horizontal="center"/>
    </xf>
    <xf numFmtId="41" fontId="6" fillId="0" borderId="13" xfId="0" applyNumberFormat="1" applyFont="1" applyBorder="1" applyAlignment="1" applyProtection="1">
      <alignment horizontal="center"/>
      <protection locked="0"/>
    </xf>
    <xf numFmtId="44" fontId="6" fillId="0" borderId="7" xfId="2" applyFont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</xf>
    <xf numFmtId="44" fontId="2" fillId="4" borderId="15" xfId="2" applyFont="1" applyFill="1" applyBorder="1" applyAlignment="1" applyProtection="1">
      <alignment horizontal="center"/>
    </xf>
    <xf numFmtId="0" fontId="2" fillId="4" borderId="2" xfId="0" applyFont="1" applyFill="1" applyBorder="1"/>
    <xf numFmtId="0" fontId="9" fillId="4" borderId="10" xfId="0" applyFont="1" applyFill="1" applyBorder="1" applyAlignment="1">
      <alignment horizontal="centerContinuous"/>
    </xf>
    <xf numFmtId="0" fontId="9" fillId="4" borderId="24" xfId="0" applyFont="1" applyFill="1" applyBorder="1" applyAlignment="1">
      <alignment horizontal="centerContinuous"/>
    </xf>
    <xf numFmtId="0" fontId="9" fillId="4" borderId="3" xfId="0" applyFont="1" applyFill="1" applyBorder="1" applyAlignment="1">
      <alignment horizontal="centerContinuous"/>
    </xf>
    <xf numFmtId="0" fontId="6" fillId="4" borderId="24" xfId="0" applyFont="1" applyFill="1" applyBorder="1" applyAlignment="1">
      <alignment horizontal="centerContinuous"/>
    </xf>
    <xf numFmtId="0" fontId="2" fillId="4" borderId="6" xfId="0" applyFont="1" applyFill="1" applyBorder="1"/>
    <xf numFmtId="0" fontId="7" fillId="8" borderId="25" xfId="0" applyFont="1" applyFill="1" applyBorder="1" applyAlignment="1">
      <alignment horizontal="centerContinuous"/>
    </xf>
    <xf numFmtId="0" fontId="7" fillId="8" borderId="26" xfId="0" applyFont="1" applyFill="1" applyBorder="1" applyAlignment="1">
      <alignment horizontal="centerContinuous"/>
    </xf>
    <xf numFmtId="0" fontId="7" fillId="8" borderId="9" xfId="0" applyFont="1" applyFill="1" applyBorder="1" applyAlignment="1">
      <alignment horizontal="centerContinuous"/>
    </xf>
    <xf numFmtId="0" fontId="7" fillId="9" borderId="25" xfId="0" applyFont="1" applyFill="1" applyBorder="1" applyAlignment="1">
      <alignment horizontal="centerContinuous"/>
    </xf>
    <xf numFmtId="0" fontId="7" fillId="9" borderId="26" xfId="0" applyFont="1" applyFill="1" applyBorder="1" applyAlignment="1">
      <alignment horizontal="centerContinuous"/>
    </xf>
    <xf numFmtId="0" fontId="7" fillId="9" borderId="9" xfId="0" applyFont="1" applyFill="1" applyBorder="1" applyAlignment="1">
      <alignment horizontal="centerContinuous"/>
    </xf>
    <xf numFmtId="0" fontId="6" fillId="9" borderId="26" xfId="0" applyFont="1" applyFill="1" applyBorder="1" applyAlignment="1">
      <alignment horizontal="centerContinuous"/>
    </xf>
    <xf numFmtId="0" fontId="5" fillId="4" borderId="8" xfId="0" applyFont="1" applyFill="1" applyBorder="1"/>
    <xf numFmtId="44" fontId="6" fillId="10" borderId="25" xfId="2" applyFont="1" applyFill="1" applyBorder="1" applyAlignment="1">
      <alignment horizontal="center"/>
    </xf>
    <xf numFmtId="44" fontId="6" fillId="10" borderId="26" xfId="2" applyFont="1" applyFill="1" applyBorder="1" applyAlignment="1">
      <alignment horizontal="center"/>
    </xf>
    <xf numFmtId="44" fontId="6" fillId="10" borderId="9" xfId="2" applyFont="1" applyFill="1" applyBorder="1" applyAlignment="1">
      <alignment horizontal="center"/>
    </xf>
    <xf numFmtId="0" fontId="5" fillId="4" borderId="16" xfId="0" applyFont="1" applyFill="1" applyBorder="1"/>
    <xf numFmtId="0" fontId="5" fillId="4" borderId="25" xfId="0" applyFont="1" applyFill="1" applyBorder="1"/>
    <xf numFmtId="169" fontId="6" fillId="5" borderId="25" xfId="0" applyNumberFormat="1" applyFont="1" applyFill="1" applyBorder="1" applyAlignment="1">
      <alignment horizontal="center"/>
    </xf>
    <xf numFmtId="169" fontId="6" fillId="5" borderId="26" xfId="0" applyNumberFormat="1" applyFont="1" applyFill="1" applyBorder="1" applyAlignment="1">
      <alignment horizontal="center"/>
    </xf>
    <xf numFmtId="169" fontId="6" fillId="5" borderId="9" xfId="0" applyNumberFormat="1" applyFont="1" applyFill="1" applyBorder="1" applyAlignment="1">
      <alignment horizontal="center"/>
    </xf>
    <xf numFmtId="169" fontId="6" fillId="11" borderId="25" xfId="0" applyNumberFormat="1" applyFont="1" applyFill="1" applyBorder="1" applyAlignment="1">
      <alignment horizontal="center"/>
    </xf>
    <xf numFmtId="169" fontId="6" fillId="11" borderId="26" xfId="0" applyNumberFormat="1" applyFont="1" applyFill="1" applyBorder="1" applyAlignment="1">
      <alignment horizontal="center"/>
    </xf>
    <xf numFmtId="169" fontId="6" fillId="11" borderId="9" xfId="0" applyNumberFormat="1" applyFont="1" applyFill="1" applyBorder="1" applyAlignment="1">
      <alignment horizontal="center"/>
    </xf>
    <xf numFmtId="169" fontId="6" fillId="5" borderId="2" xfId="0" applyNumberFormat="1" applyFont="1" applyFill="1" applyBorder="1" applyAlignment="1">
      <alignment horizontal="center"/>
    </xf>
    <xf numFmtId="0" fontId="5" fillId="4" borderId="13" xfId="0" applyFont="1" applyFill="1" applyBorder="1"/>
    <xf numFmtId="169" fontId="6" fillId="11" borderId="13" xfId="0" applyNumberFormat="1" applyFont="1" applyFill="1" applyBorder="1" applyAlignment="1">
      <alignment horizontal="center"/>
    </xf>
    <xf numFmtId="169" fontId="6" fillId="11" borderId="27" xfId="0" applyNumberFormat="1" applyFont="1" applyFill="1" applyBorder="1" applyAlignment="1">
      <alignment horizontal="center"/>
    </xf>
    <xf numFmtId="169" fontId="6" fillId="11" borderId="7" xfId="0" applyNumberFormat="1" applyFont="1" applyFill="1" applyBorder="1" applyAlignment="1">
      <alignment horizontal="center"/>
    </xf>
    <xf numFmtId="169" fontId="6" fillId="5" borderId="13" xfId="0" applyNumberFormat="1" applyFont="1" applyFill="1" applyBorder="1" applyAlignment="1">
      <alignment horizontal="center"/>
    </xf>
    <xf numFmtId="169" fontId="6" fillId="5" borderId="27" xfId="0" applyNumberFormat="1" applyFont="1" applyFill="1" applyBorder="1" applyAlignment="1">
      <alignment horizontal="center"/>
    </xf>
    <xf numFmtId="169" fontId="6" fillId="5" borderId="7" xfId="0" applyNumberFormat="1" applyFont="1" applyFill="1" applyBorder="1" applyAlignment="1">
      <alignment horizontal="center"/>
    </xf>
    <xf numFmtId="169" fontId="6" fillId="5" borderId="8" xfId="0" applyNumberFormat="1" applyFont="1" applyFill="1" applyBorder="1" applyAlignment="1">
      <alignment horizontal="center"/>
    </xf>
    <xf numFmtId="15" fontId="3" fillId="6" borderId="16" xfId="0" applyNumberFormat="1" applyFont="1" applyFill="1" applyBorder="1" applyAlignment="1" applyProtection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41" fontId="3" fillId="5" borderId="16" xfId="0" applyNumberFormat="1" applyFont="1" applyFill="1" applyBorder="1" applyAlignment="1" applyProtection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  <xf numFmtId="41" fontId="6" fillId="0" borderId="28" xfId="0" applyNumberFormat="1" applyFont="1" applyBorder="1" applyAlignment="1" applyProtection="1">
      <alignment horizontal="center"/>
      <protection locked="0"/>
    </xf>
    <xf numFmtId="41" fontId="6" fillId="0" borderId="27" xfId="0" applyNumberFormat="1" applyFont="1" applyBorder="1" applyAlignment="1" applyProtection="1">
      <alignment horizontal="center"/>
      <protection locked="0"/>
    </xf>
    <xf numFmtId="0" fontId="5" fillId="4" borderId="29" xfId="0" applyFont="1" applyFill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</xf>
    <xf numFmtId="41" fontId="6" fillId="0" borderId="30" xfId="0" applyNumberFormat="1" applyFont="1" applyBorder="1" applyAlignment="1" applyProtection="1">
      <alignment horizontal="center"/>
      <protection locked="0"/>
    </xf>
    <xf numFmtId="39" fontId="6" fillId="0" borderId="31" xfId="0" applyNumberFormat="1" applyFont="1" applyBorder="1" applyAlignment="1" applyProtection="1">
      <alignment horizontal="center"/>
      <protection locked="0"/>
    </xf>
    <xf numFmtId="41" fontId="6" fillId="0" borderId="32" xfId="0" applyNumberFormat="1" applyFont="1" applyBorder="1" applyAlignment="1" applyProtection="1">
      <alignment horizontal="center"/>
      <protection locked="0"/>
    </xf>
    <xf numFmtId="39" fontId="6" fillId="0" borderId="33" xfId="0" applyNumberFormat="1" applyFont="1" applyBorder="1" applyAlignment="1" applyProtection="1">
      <alignment horizontal="center"/>
      <protection locked="0"/>
    </xf>
    <xf numFmtId="41" fontId="6" fillId="0" borderId="34" xfId="0" applyNumberFormat="1" applyFont="1" applyBorder="1" applyAlignment="1" applyProtection="1">
      <alignment horizontal="center"/>
      <protection locked="0"/>
    </xf>
    <xf numFmtId="39" fontId="6" fillId="0" borderId="35" xfId="0" applyNumberFormat="1" applyFont="1" applyBorder="1" applyAlignment="1" applyProtection="1">
      <alignment horizontal="center"/>
      <protection locked="0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14" fontId="15" fillId="0" borderId="0" xfId="0" applyNumberFormat="1" applyFont="1"/>
    <xf numFmtId="41" fontId="6" fillId="0" borderId="36" xfId="0" applyNumberFormat="1" applyFont="1" applyBorder="1" applyAlignment="1" applyProtection="1">
      <alignment horizontal="center"/>
      <protection locked="0"/>
    </xf>
    <xf numFmtId="44" fontId="6" fillId="0" borderId="5" xfId="2" applyFont="1" applyBorder="1" applyAlignment="1" applyProtection="1">
      <alignment horizontal="center"/>
      <protection locked="0"/>
    </xf>
    <xf numFmtId="0" fontId="2" fillId="4" borderId="30" xfId="0" applyFont="1" applyFill="1" applyBorder="1" applyAlignment="1" applyProtection="1">
      <alignment horizontal="center"/>
    </xf>
    <xf numFmtId="44" fontId="2" fillId="4" borderId="31" xfId="2" applyFont="1" applyFill="1" applyBorder="1" applyAlignment="1" applyProtection="1">
      <alignment horizontal="center"/>
    </xf>
    <xf numFmtId="164" fontId="3" fillId="5" borderId="16" xfId="1" applyNumberFormat="1" applyFont="1" applyFill="1" applyBorder="1" applyAlignment="1" applyProtection="1">
      <alignment horizontal="center"/>
    </xf>
    <xf numFmtId="15" fontId="0" fillId="0" borderId="10" xfId="0" applyNumberFormat="1" applyBorder="1"/>
    <xf numFmtId="15" fontId="0" fillId="0" borderId="29" xfId="0" applyNumberFormat="1" applyBorder="1"/>
    <xf numFmtId="15" fontId="0" fillId="0" borderId="13" xfId="0" applyNumberFormat="1" applyBorder="1"/>
    <xf numFmtId="15" fontId="0" fillId="0" borderId="37" xfId="0" applyNumberFormat="1" applyBorder="1"/>
    <xf numFmtId="15" fontId="0" fillId="0" borderId="38" xfId="0" applyNumberFormat="1" applyBorder="1"/>
    <xf numFmtId="0" fontId="13" fillId="12" borderId="10" xfId="0" applyFont="1" applyFill="1" applyBorder="1"/>
    <xf numFmtId="0" fontId="13" fillId="12" borderId="29" xfId="0" applyFont="1" applyFill="1" applyBorder="1"/>
    <xf numFmtId="41" fontId="3" fillId="7" borderId="17" xfId="0" applyNumberFormat="1" applyFont="1" applyFill="1" applyBorder="1" applyAlignment="1" applyProtection="1">
      <alignment horizontal="center"/>
    </xf>
    <xf numFmtId="164" fontId="3" fillId="5" borderId="2" xfId="1" applyNumberFormat="1" applyFont="1" applyFill="1" applyBorder="1" applyAlignment="1" applyProtection="1">
      <alignment horizontal="center"/>
    </xf>
    <xf numFmtId="41" fontId="7" fillId="5" borderId="3" xfId="0" applyNumberFormat="1" applyFont="1" applyFill="1" applyBorder="1" applyAlignment="1" applyProtection="1">
      <alignment horizontal="center"/>
    </xf>
    <xf numFmtId="41" fontId="3" fillId="7" borderId="10" xfId="0" applyNumberFormat="1" applyFont="1" applyFill="1" applyBorder="1" applyAlignment="1" applyProtection="1">
      <alignment horizontal="center"/>
    </xf>
    <xf numFmtId="41" fontId="3" fillId="7" borderId="29" xfId="0" applyNumberFormat="1" applyFont="1" applyFill="1" applyBorder="1" applyAlignment="1" applyProtection="1">
      <alignment horizontal="center"/>
    </xf>
    <xf numFmtId="41" fontId="3" fillId="7" borderId="13" xfId="0" applyNumberFormat="1" applyFont="1" applyFill="1" applyBorder="1" applyAlignment="1" applyProtection="1">
      <alignment horizontal="center"/>
    </xf>
    <xf numFmtId="41" fontId="3" fillId="5" borderId="2" xfId="0" applyNumberFormat="1" applyFont="1" applyFill="1" applyBorder="1" applyAlignment="1" applyProtection="1">
      <alignment horizontal="center"/>
    </xf>
    <xf numFmtId="41" fontId="3" fillId="5" borderId="6" xfId="0" applyNumberFormat="1" applyFont="1" applyFill="1" applyBorder="1" applyAlignment="1" applyProtection="1">
      <alignment horizontal="center"/>
    </xf>
    <xf numFmtId="41" fontId="7" fillId="5" borderId="17" xfId="0" applyNumberFormat="1" applyFont="1" applyFill="1" applyBorder="1" applyAlignment="1" applyProtection="1">
      <alignment horizontal="center"/>
    </xf>
    <xf numFmtId="41" fontId="7" fillId="5" borderId="7" xfId="0" applyNumberFormat="1" applyFont="1" applyFill="1" applyBorder="1" applyAlignment="1" applyProtection="1">
      <alignment horizontal="center"/>
    </xf>
    <xf numFmtId="0" fontId="7" fillId="13" borderId="26" xfId="0" applyFont="1" applyFill="1" applyBorder="1" applyAlignment="1">
      <alignment horizontal="centerContinuous"/>
    </xf>
    <xf numFmtId="44" fontId="6" fillId="13" borderId="26" xfId="2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Continuous"/>
    </xf>
    <xf numFmtId="0" fontId="9" fillId="0" borderId="10" xfId="0" applyFont="1" applyFill="1" applyBorder="1" applyAlignment="1">
      <alignment horizontal="centerContinuous"/>
    </xf>
    <xf numFmtId="0" fontId="9" fillId="0" borderId="24" xfId="0" applyFont="1" applyFill="1" applyBorder="1" applyAlignment="1">
      <alignment horizontal="centerContinuous"/>
    </xf>
    <xf numFmtId="0" fontId="7" fillId="0" borderId="26" xfId="0" applyFont="1" applyFill="1" applyBorder="1" applyAlignment="1">
      <alignment horizontal="centerContinuous"/>
    </xf>
    <xf numFmtId="17" fontId="5" fillId="4" borderId="2" xfId="0" applyNumberFormat="1" applyFont="1" applyFill="1" applyBorder="1" applyProtection="1"/>
    <xf numFmtId="2" fontId="6" fillId="5" borderId="2" xfId="0" applyNumberFormat="1" applyFont="1" applyFill="1" applyBorder="1" applyAlignment="1" applyProtection="1">
      <alignment horizontal="center"/>
    </xf>
    <xf numFmtId="17" fontId="5" fillId="4" borderId="16" xfId="0" applyNumberFormat="1" applyFont="1" applyFill="1" applyBorder="1" applyProtection="1"/>
    <xf numFmtId="17" fontId="5" fillId="4" borderId="6" xfId="0" applyNumberFormat="1" applyFont="1" applyFill="1" applyBorder="1" applyProtection="1"/>
    <xf numFmtId="2" fontId="6" fillId="5" borderId="6" xfId="0" applyNumberFormat="1" applyFont="1" applyFill="1" applyBorder="1" applyAlignment="1" applyProtection="1">
      <alignment horizontal="center"/>
    </xf>
    <xf numFmtId="44" fontId="6" fillId="5" borderId="24" xfId="2" applyFont="1" applyFill="1" applyBorder="1" applyAlignment="1" applyProtection="1">
      <alignment horizontal="center"/>
    </xf>
    <xf numFmtId="44" fontId="6" fillId="5" borderId="0" xfId="2" applyFont="1" applyFill="1" applyBorder="1" applyAlignment="1">
      <alignment horizontal="center"/>
    </xf>
    <xf numFmtId="44" fontId="6" fillId="5" borderId="27" xfId="2" applyFont="1" applyFill="1" applyBorder="1" applyAlignment="1">
      <alignment horizontal="center"/>
    </xf>
    <xf numFmtId="44" fontId="3" fillId="5" borderId="24" xfId="2" applyFont="1" applyFill="1" applyBorder="1" applyAlignment="1" applyProtection="1">
      <alignment horizontal="center"/>
    </xf>
    <xf numFmtId="44" fontId="3" fillId="5" borderId="0" xfId="2" applyFont="1" applyFill="1" applyBorder="1" applyAlignment="1">
      <alignment horizontal="center"/>
    </xf>
    <xf numFmtId="44" fontId="3" fillId="5" borderId="27" xfId="2" applyFont="1" applyFill="1" applyBorder="1" applyAlignment="1">
      <alignment horizontal="center"/>
    </xf>
    <xf numFmtId="44" fontId="3" fillId="5" borderId="2" xfId="2" applyFont="1" applyFill="1" applyBorder="1" applyAlignment="1" applyProtection="1">
      <alignment horizontal="center"/>
    </xf>
    <xf numFmtId="44" fontId="3" fillId="5" borderId="16" xfId="2" applyFont="1" applyFill="1" applyBorder="1" applyAlignment="1">
      <alignment horizontal="center"/>
    </xf>
    <xf numFmtId="44" fontId="3" fillId="5" borderId="6" xfId="2" applyFont="1" applyFill="1" applyBorder="1" applyAlignment="1">
      <alignment horizontal="center"/>
    </xf>
    <xf numFmtId="17" fontId="3" fillId="14" borderId="2" xfId="0" applyNumberFormat="1" applyFont="1" applyFill="1" applyBorder="1" applyAlignment="1" applyProtection="1">
      <alignment horizontal="center"/>
    </xf>
    <xf numFmtId="17" fontId="3" fillId="14" borderId="16" xfId="0" applyNumberFormat="1" applyFont="1" applyFill="1" applyBorder="1" applyAlignment="1" applyProtection="1">
      <alignment horizontal="center"/>
    </xf>
    <xf numFmtId="17" fontId="3" fillId="14" borderId="6" xfId="0" applyNumberFormat="1" applyFont="1" applyFill="1" applyBorder="1" applyAlignment="1" applyProtection="1">
      <alignment horizontal="center"/>
    </xf>
    <xf numFmtId="184" fontId="0" fillId="0" borderId="16" xfId="2" applyNumberFormat="1" applyFont="1" applyBorder="1"/>
    <xf numFmtId="41" fontId="0" fillId="0" borderId="16" xfId="0" applyNumberFormat="1" applyBorder="1"/>
    <xf numFmtId="164" fontId="0" fillId="0" borderId="2" xfId="0" applyNumberFormat="1" applyBorder="1"/>
    <xf numFmtId="41" fontId="0" fillId="0" borderId="2" xfId="0" applyNumberFormat="1" applyBorder="1"/>
    <xf numFmtId="184" fontId="0" fillId="0" borderId="2" xfId="2" applyNumberFormat="1" applyFont="1" applyBorder="1"/>
    <xf numFmtId="41" fontId="0" fillId="0" borderId="6" xfId="0" applyNumberFormat="1" applyBorder="1"/>
    <xf numFmtId="184" fontId="0" fillId="0" borderId="6" xfId="2" applyNumberFormat="1" applyFont="1" applyBorder="1"/>
    <xf numFmtId="184" fontId="13" fillId="15" borderId="10" xfId="0" applyNumberFormat="1" applyFont="1" applyFill="1" applyBorder="1"/>
    <xf numFmtId="0" fontId="14" fillId="15" borderId="2" xfId="0" applyFont="1" applyFill="1" applyBorder="1"/>
    <xf numFmtId="0" fontId="14" fillId="15" borderId="16" xfId="0" applyFont="1" applyFill="1" applyBorder="1"/>
    <xf numFmtId="184" fontId="0" fillId="15" borderId="16" xfId="2" applyNumberFormat="1" applyFont="1" applyFill="1" applyBorder="1"/>
    <xf numFmtId="184" fontId="13" fillId="16" borderId="2" xfId="0" applyNumberFormat="1" applyFont="1" applyFill="1" applyBorder="1"/>
    <xf numFmtId="0" fontId="14" fillId="16" borderId="2" xfId="0" applyFont="1" applyFill="1" applyBorder="1"/>
    <xf numFmtId="0" fontId="14" fillId="16" borderId="16" xfId="0" applyFont="1" applyFill="1" applyBorder="1"/>
    <xf numFmtId="184" fontId="0" fillId="16" borderId="16" xfId="2" applyNumberFormat="1" applyFont="1" applyFill="1" applyBorder="1"/>
    <xf numFmtId="184" fontId="13" fillId="17" borderId="10" xfId="0" applyNumberFormat="1" applyFont="1" applyFill="1" applyBorder="1"/>
    <xf numFmtId="0" fontId="14" fillId="17" borderId="2" xfId="0" applyFont="1" applyFill="1" applyBorder="1"/>
    <xf numFmtId="0" fontId="14" fillId="17" borderId="16" xfId="0" applyFont="1" applyFill="1" applyBorder="1"/>
    <xf numFmtId="184" fontId="0" fillId="17" borderId="16" xfId="2" applyNumberFormat="1" applyFont="1" applyFill="1" applyBorder="1"/>
    <xf numFmtId="14" fontId="0" fillId="0" borderId="0" xfId="0" applyNumberFormat="1"/>
    <xf numFmtId="0" fontId="2" fillId="6" borderId="0" xfId="0" applyFont="1" applyFill="1"/>
    <xf numFmtId="43" fontId="2" fillId="6" borderId="0" xfId="1" applyFont="1" applyFill="1"/>
    <xf numFmtId="41" fontId="2" fillId="6" borderId="0" xfId="0" applyNumberFormat="1" applyFont="1" applyFill="1"/>
    <xf numFmtId="0" fontId="2" fillId="6" borderId="0" xfId="0" applyFont="1" applyFill="1" applyProtection="1"/>
    <xf numFmtId="0" fontId="3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39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1" fontId="6" fillId="6" borderId="19" xfId="0" applyNumberFormat="1" applyFont="1" applyFill="1" applyBorder="1" applyAlignment="1" applyProtection="1">
      <alignment horizontal="center"/>
      <protection locked="0"/>
    </xf>
    <xf numFmtId="44" fontId="6" fillId="6" borderId="20" xfId="2" applyFont="1" applyFill="1" applyBorder="1" applyAlignment="1" applyProtection="1">
      <alignment horizontal="center"/>
      <protection locked="0"/>
    </xf>
    <xf numFmtId="0" fontId="2" fillId="6" borderId="0" xfId="0" applyFont="1" applyFill="1" applyBorder="1"/>
    <xf numFmtId="0" fontId="5" fillId="6" borderId="0" xfId="0" applyFont="1" applyFill="1" applyAlignment="1">
      <alignment horizontal="right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5" fillId="6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166" fontId="2" fillId="6" borderId="0" xfId="0" applyNumberFormat="1" applyFont="1" applyFill="1" applyAlignment="1" applyProtection="1">
      <alignment horizontal="center"/>
    </xf>
    <xf numFmtId="1" fontId="2" fillId="6" borderId="0" xfId="0" applyNumberFormat="1" applyFont="1" applyFill="1" applyBorder="1" applyAlignment="1" applyProtection="1">
      <alignment horizontal="center"/>
    </xf>
    <xf numFmtId="0" fontId="2" fillId="6" borderId="39" xfId="0" applyFont="1" applyFill="1" applyBorder="1"/>
    <xf numFmtId="0" fontId="2" fillId="6" borderId="40" xfId="0" applyFont="1" applyFill="1" applyBorder="1"/>
    <xf numFmtId="0" fontId="2" fillId="6" borderId="41" xfId="0" applyFont="1" applyFill="1" applyBorder="1"/>
    <xf numFmtId="0" fontId="9" fillId="6" borderId="0" xfId="0" applyFont="1" applyFill="1"/>
    <xf numFmtId="0" fontId="7" fillId="6" borderId="0" xfId="0" applyFont="1" applyFill="1"/>
    <xf numFmtId="0" fontId="6" fillId="6" borderId="0" xfId="0" applyFont="1" applyFill="1"/>
    <xf numFmtId="0" fontId="6" fillId="6" borderId="2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69" fontId="6" fillId="6" borderId="29" xfId="0" applyNumberFormat="1" applyFont="1" applyFill="1" applyBorder="1" applyAlignment="1">
      <alignment horizontal="center"/>
    </xf>
    <xf numFmtId="169" fontId="6" fillId="6" borderId="0" xfId="0" applyNumberFormat="1" applyFont="1" applyFill="1" applyBorder="1" applyAlignment="1">
      <alignment horizontal="center"/>
    </xf>
    <xf numFmtId="169" fontId="6" fillId="6" borderId="17" xfId="0" applyNumberFormat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9" fontId="6" fillId="6" borderId="13" xfId="0" applyNumberFormat="1" applyFont="1" applyFill="1" applyBorder="1" applyAlignment="1">
      <alignment horizontal="center"/>
    </xf>
    <xf numFmtId="169" fontId="6" fillId="6" borderId="27" xfId="0" applyNumberFormat="1" applyFont="1" applyFill="1" applyBorder="1" applyAlignment="1">
      <alignment horizontal="center"/>
    </xf>
    <xf numFmtId="169" fontId="6" fillId="6" borderId="7" xfId="0" applyNumberFormat="1" applyFont="1" applyFill="1" applyBorder="1" applyAlignment="1">
      <alignment horizontal="center"/>
    </xf>
    <xf numFmtId="0" fontId="2" fillId="6" borderId="0" xfId="0" applyFont="1" applyFill="1" applyBorder="1" applyProtection="1"/>
    <xf numFmtId="2" fontId="8" fillId="6" borderId="16" xfId="0" applyNumberFormat="1" applyFont="1" applyFill="1" applyBorder="1" applyAlignment="1" applyProtection="1">
      <alignment horizontal="center"/>
    </xf>
    <xf numFmtId="2" fontId="8" fillId="6" borderId="2" xfId="0" applyNumberFormat="1" applyFont="1" applyFill="1" applyBorder="1" applyAlignment="1" applyProtection="1">
      <alignment horizontal="center"/>
    </xf>
    <xf numFmtId="2" fontId="8" fillId="6" borderId="6" xfId="0" applyNumberFormat="1" applyFont="1" applyFill="1" applyBorder="1" applyAlignment="1" applyProtection="1">
      <alignment horizontal="center"/>
    </xf>
    <xf numFmtId="2" fontId="6" fillId="6" borderId="16" xfId="0" applyNumberFormat="1" applyFont="1" applyFill="1" applyBorder="1" applyAlignment="1" applyProtection="1">
      <alignment horizontal="center"/>
    </xf>
    <xf numFmtId="39" fontId="6" fillId="6" borderId="2" xfId="0" applyNumberFormat="1" applyFont="1" applyFill="1" applyBorder="1" applyAlignment="1" applyProtection="1">
      <alignment horizontal="center"/>
    </xf>
    <xf numFmtId="39" fontId="6" fillId="6" borderId="16" xfId="0" applyNumberFormat="1" applyFont="1" applyFill="1" applyBorder="1" applyAlignment="1" applyProtection="1">
      <alignment horizontal="center"/>
    </xf>
    <xf numFmtId="2" fontId="6" fillId="6" borderId="2" xfId="0" applyNumberFormat="1" applyFont="1" applyFill="1" applyBorder="1" applyAlignment="1" applyProtection="1">
      <alignment horizontal="center"/>
    </xf>
    <xf numFmtId="2" fontId="6" fillId="6" borderId="6" xfId="0" applyNumberFormat="1" applyFont="1" applyFill="1" applyBorder="1" applyAlignment="1" applyProtection="1">
      <alignment horizontal="center"/>
    </xf>
    <xf numFmtId="39" fontId="6" fillId="6" borderId="6" xfId="0" applyNumberFormat="1" applyFont="1" applyFill="1" applyBorder="1" applyAlignment="1" applyProtection="1">
      <alignment horizontal="center"/>
    </xf>
    <xf numFmtId="44" fontId="6" fillId="6" borderId="20" xfId="2" applyFont="1" applyFill="1" applyBorder="1" applyAlignment="1" applyProtection="1">
      <alignment horizontal="right"/>
      <protection locked="0"/>
    </xf>
    <xf numFmtId="44" fontId="6" fillId="6" borderId="28" xfId="2" applyFont="1" applyFill="1" applyBorder="1" applyAlignment="1" applyProtection="1">
      <alignment horizontal="center"/>
      <protection locked="0"/>
    </xf>
    <xf numFmtId="8" fontId="6" fillId="6" borderId="20" xfId="2" applyNumberFormat="1" applyFont="1" applyFill="1" applyBorder="1" applyAlignment="1" applyProtection="1">
      <alignment horizontal="right"/>
      <protection locked="0"/>
    </xf>
    <xf numFmtId="8" fontId="6" fillId="6" borderId="20" xfId="2" applyNumberFormat="1" applyFont="1" applyFill="1" applyBorder="1" applyAlignment="1" applyProtection="1">
      <alignment horizontal="center"/>
      <protection locked="0"/>
    </xf>
    <xf numFmtId="41" fontId="6" fillId="6" borderId="19" xfId="0" applyNumberFormat="1" applyFont="1" applyFill="1" applyBorder="1" applyAlignment="1" applyProtection="1">
      <alignment horizontal="right"/>
      <protection locked="0"/>
    </xf>
    <xf numFmtId="41" fontId="6" fillId="6" borderId="13" xfId="0" applyNumberFormat="1" applyFont="1" applyFill="1" applyBorder="1" applyAlignment="1" applyProtection="1">
      <alignment horizontal="center"/>
      <protection locked="0"/>
    </xf>
    <xf numFmtId="44" fontId="6" fillId="6" borderId="7" xfId="2" applyFont="1" applyFill="1" applyBorder="1" applyAlignment="1" applyProtection="1">
      <alignment horizontal="center"/>
      <protection locked="0"/>
    </xf>
    <xf numFmtId="44" fontId="6" fillId="6" borderId="27" xfId="2" applyFont="1" applyFill="1" applyBorder="1" applyAlignment="1" applyProtection="1">
      <alignment horizontal="center"/>
      <protection locked="0"/>
    </xf>
    <xf numFmtId="41" fontId="6" fillId="6" borderId="29" xfId="0" applyNumberFormat="1" applyFont="1" applyFill="1" applyBorder="1" applyAlignment="1" applyProtection="1">
      <alignment horizontal="center"/>
      <protection locked="0"/>
    </xf>
    <xf numFmtId="44" fontId="6" fillId="6" borderId="17" xfId="2" applyFont="1" applyFill="1" applyBorder="1" applyAlignment="1" applyProtection="1">
      <alignment horizontal="center"/>
      <protection locked="0"/>
    </xf>
    <xf numFmtId="44" fontId="6" fillId="6" borderId="0" xfId="2" applyFont="1" applyFill="1" applyBorder="1" applyAlignment="1" applyProtection="1">
      <alignment horizontal="center"/>
      <protection locked="0"/>
    </xf>
    <xf numFmtId="41" fontId="6" fillId="0" borderId="42" xfId="0" applyNumberFormat="1" applyFont="1" applyBorder="1" applyAlignment="1" applyProtection="1">
      <alignment horizontal="center"/>
      <protection locked="0"/>
    </xf>
    <xf numFmtId="39" fontId="6" fillId="0" borderId="43" xfId="0" applyNumberFormat="1" applyFont="1" applyBorder="1" applyAlignment="1" applyProtection="1">
      <alignment horizontal="center"/>
      <protection locked="0"/>
    </xf>
    <xf numFmtId="41" fontId="6" fillId="0" borderId="0" xfId="0" applyNumberFormat="1" applyFont="1" applyBorder="1" applyAlignment="1" applyProtection="1">
      <alignment horizontal="center"/>
      <protection locked="0"/>
    </xf>
    <xf numFmtId="44" fontId="6" fillId="0" borderId="17" xfId="2" applyFont="1" applyBorder="1" applyAlignment="1" applyProtection="1">
      <alignment horizontal="center"/>
      <protection locked="0"/>
    </xf>
    <xf numFmtId="41" fontId="6" fillId="0" borderId="29" xfId="0" applyNumberFormat="1" applyFont="1" applyBorder="1" applyAlignment="1" applyProtection="1">
      <alignment horizontal="center"/>
      <protection locked="0"/>
    </xf>
    <xf numFmtId="0" fontId="2" fillId="4" borderId="44" xfId="0" applyFont="1" applyFill="1" applyBorder="1" applyAlignment="1" applyProtection="1">
      <alignment horizontal="center"/>
    </xf>
    <xf numFmtId="44" fontId="2" fillId="4" borderId="45" xfId="2" applyFont="1" applyFill="1" applyBorder="1" applyAlignment="1" applyProtection="1">
      <alignment horizontal="center"/>
    </xf>
    <xf numFmtId="17" fontId="5" fillId="4" borderId="18" xfId="0" applyNumberFormat="1" applyFont="1" applyFill="1" applyBorder="1" applyProtection="1"/>
    <xf numFmtId="17" fontId="5" fillId="4" borderId="4" xfId="0" applyNumberFormat="1" applyFont="1" applyFill="1" applyBorder="1" applyProtection="1"/>
    <xf numFmtId="41" fontId="6" fillId="6" borderId="36" xfId="0" applyNumberFormat="1" applyFont="1" applyFill="1" applyBorder="1" applyAlignment="1" applyProtection="1">
      <alignment horizontal="center"/>
      <protection locked="0"/>
    </xf>
    <xf numFmtId="44" fontId="6" fillId="6" borderId="5" xfId="2" applyFont="1" applyFill="1" applyBorder="1" applyAlignment="1" applyProtection="1">
      <alignment horizontal="center"/>
      <protection locked="0"/>
    </xf>
    <xf numFmtId="44" fontId="6" fillId="6" borderId="46" xfId="2" applyFont="1" applyFill="1" applyBorder="1" applyAlignment="1" applyProtection="1">
      <alignment horizontal="center"/>
      <protection locked="0"/>
    </xf>
    <xf numFmtId="41" fontId="6" fillId="0" borderId="46" xfId="0" applyNumberFormat="1" applyFont="1" applyBorder="1" applyAlignment="1" applyProtection="1">
      <alignment horizontal="center"/>
      <protection locked="0"/>
    </xf>
    <xf numFmtId="41" fontId="6" fillId="2" borderId="36" xfId="0" applyNumberFormat="1" applyFont="1" applyFill="1" applyBorder="1" applyAlignment="1" applyProtection="1">
      <alignment horizontal="center"/>
      <protection locked="0"/>
    </xf>
    <xf numFmtId="44" fontId="6" fillId="2" borderId="5" xfId="2" applyFont="1" applyFill="1" applyBorder="1" applyAlignment="1" applyProtection="1">
      <alignment horizontal="center"/>
      <protection locked="0"/>
    </xf>
    <xf numFmtId="41" fontId="6" fillId="2" borderId="19" xfId="0" applyNumberFormat="1" applyFont="1" applyFill="1" applyBorder="1" applyAlignment="1" applyProtection="1">
      <alignment horizontal="center"/>
      <protection locked="0"/>
    </xf>
    <xf numFmtId="44" fontId="6" fillId="2" borderId="20" xfId="2" applyFont="1" applyFill="1" applyBorder="1" applyAlignment="1" applyProtection="1">
      <alignment horizontal="center"/>
      <protection locked="0"/>
    </xf>
    <xf numFmtId="41" fontId="6" fillId="2" borderId="13" xfId="0" applyNumberFormat="1" applyFont="1" applyFill="1" applyBorder="1" applyAlignment="1" applyProtection="1">
      <alignment horizontal="center"/>
      <protection locked="0"/>
    </xf>
    <xf numFmtId="44" fontId="6" fillId="2" borderId="7" xfId="2" applyFont="1" applyFill="1" applyBorder="1" applyAlignment="1" applyProtection="1">
      <alignment horizontal="center"/>
      <protection locked="0"/>
    </xf>
    <xf numFmtId="0" fontId="4" fillId="6" borderId="0" xfId="0" applyFont="1" applyFill="1"/>
    <xf numFmtId="0" fontId="0" fillId="6" borderId="24" xfId="0" applyFill="1" applyBorder="1"/>
    <xf numFmtId="0" fontId="13" fillId="6" borderId="0" xfId="0" applyFont="1" applyFill="1" applyBorder="1"/>
    <xf numFmtId="0" fontId="13" fillId="6" borderId="17" xfId="0" applyFont="1" applyFill="1" applyBorder="1"/>
    <xf numFmtId="0" fontId="0" fillId="6" borderId="19" xfId="0" applyFill="1" applyBorder="1"/>
    <xf numFmtId="0" fontId="16" fillId="6" borderId="28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16" fontId="0" fillId="6" borderId="29" xfId="0" applyNumberFormat="1" applyFill="1" applyBorder="1"/>
    <xf numFmtId="38" fontId="0" fillId="6" borderId="0" xfId="0" applyNumberFormat="1" applyFill="1" applyBorder="1" applyAlignment="1">
      <alignment horizontal="center"/>
    </xf>
    <xf numFmtId="184" fontId="0" fillId="6" borderId="0" xfId="2" applyNumberFormat="1" applyFont="1" applyFill="1" applyBorder="1"/>
    <xf numFmtId="184" fontId="0" fillId="6" borderId="17" xfId="2" applyNumberFormat="1" applyFont="1" applyFill="1" applyBorder="1"/>
    <xf numFmtId="16" fontId="0" fillId="6" borderId="13" xfId="0" applyNumberFormat="1" applyFill="1" applyBorder="1"/>
    <xf numFmtId="38" fontId="0" fillId="6" borderId="27" xfId="0" applyNumberFormat="1" applyFill="1" applyBorder="1" applyAlignment="1">
      <alignment horizontal="center"/>
    </xf>
    <xf numFmtId="184" fontId="0" fillId="6" borderId="27" xfId="2" applyNumberFormat="1" applyFont="1" applyFill="1" applyBorder="1"/>
    <xf numFmtId="184" fontId="0" fillId="6" borderId="7" xfId="2" applyNumberFormat="1" applyFont="1" applyFill="1" applyBorder="1"/>
    <xf numFmtId="17" fontId="0" fillId="6" borderId="29" xfId="0" applyNumberFormat="1" applyFill="1" applyBorder="1"/>
    <xf numFmtId="17" fontId="0" fillId="6" borderId="13" xfId="0" applyNumberFormat="1" applyFill="1" applyBorder="1"/>
    <xf numFmtId="184" fontId="0" fillId="15" borderId="8" xfId="0" applyNumberFormat="1" applyFill="1" applyBorder="1"/>
    <xf numFmtId="184" fontId="13" fillId="17" borderId="8" xfId="0" applyNumberFormat="1" applyFont="1" applyFill="1" applyBorder="1"/>
    <xf numFmtId="2" fontId="8" fillId="0" borderId="16" xfId="0" applyNumberFormat="1" applyFont="1" applyFill="1" applyBorder="1" applyAlignment="1" applyProtection="1">
      <alignment horizontal="center"/>
    </xf>
    <xf numFmtId="184" fontId="3" fillId="5" borderId="2" xfId="2" applyNumberFormat="1" applyFont="1" applyFill="1" applyBorder="1" applyAlignment="1" applyProtection="1">
      <alignment horizontal="center"/>
    </xf>
    <xf numFmtId="184" fontId="3" fillId="5" borderId="16" xfId="2" applyNumberFormat="1" applyFont="1" applyFill="1" applyBorder="1" applyAlignment="1" applyProtection="1">
      <alignment horizontal="center"/>
    </xf>
    <xf numFmtId="184" fontId="3" fillId="5" borderId="6" xfId="2" applyNumberFormat="1" applyFont="1" applyFill="1" applyBorder="1" applyAlignment="1" applyProtection="1">
      <alignment horizontal="center"/>
    </xf>
    <xf numFmtId="184" fontId="3" fillId="5" borderId="3" xfId="2" applyNumberFormat="1" applyFont="1" applyFill="1" applyBorder="1" applyAlignment="1" applyProtection="1">
      <alignment horizontal="center"/>
    </xf>
    <xf numFmtId="184" fontId="3" fillId="5" borderId="17" xfId="2" applyNumberFormat="1" applyFont="1" applyFill="1" applyBorder="1" applyAlignment="1" applyProtection="1">
      <alignment horizontal="center"/>
    </xf>
    <xf numFmtId="184" fontId="3" fillId="5" borderId="7" xfId="2" applyNumberFormat="1" applyFont="1" applyFill="1" applyBorder="1" applyAlignment="1" applyProtection="1">
      <alignment horizontal="center"/>
    </xf>
    <xf numFmtId="184" fontId="3" fillId="6" borderId="2" xfId="2" applyNumberFormat="1" applyFont="1" applyFill="1" applyBorder="1" applyAlignment="1" applyProtection="1">
      <alignment horizontal="center"/>
    </xf>
    <xf numFmtId="184" fontId="3" fillId="6" borderId="16" xfId="2" applyNumberFormat="1" applyFont="1" applyFill="1" applyBorder="1" applyAlignment="1" applyProtection="1">
      <alignment horizontal="center"/>
    </xf>
    <xf numFmtId="184" fontId="3" fillId="6" borderId="6" xfId="2" applyNumberFormat="1" applyFont="1" applyFill="1" applyBorder="1" applyAlignment="1" applyProtection="1">
      <alignment horizontal="center"/>
    </xf>
    <xf numFmtId="164" fontId="2" fillId="6" borderId="0" xfId="0" applyNumberFormat="1" applyFont="1" applyFill="1"/>
    <xf numFmtId="164" fontId="5" fillId="4" borderId="2" xfId="0" applyNumberFormat="1" applyFont="1" applyFill="1" applyBorder="1" applyAlignment="1" applyProtection="1">
      <alignment horizontal="center"/>
    </xf>
    <xf numFmtId="164" fontId="5" fillId="4" borderId="6" xfId="0" applyNumberFormat="1" applyFont="1" applyFill="1" applyBorder="1" applyAlignment="1" applyProtection="1">
      <alignment horizontal="center"/>
    </xf>
    <xf numFmtId="164" fontId="3" fillId="5" borderId="2" xfId="2" applyNumberFormat="1" applyFont="1" applyFill="1" applyBorder="1" applyAlignment="1" applyProtection="1">
      <alignment horizontal="center"/>
    </xf>
    <xf numFmtId="164" fontId="3" fillId="5" borderId="16" xfId="2" applyNumberFormat="1" applyFont="1" applyFill="1" applyBorder="1" applyAlignment="1" applyProtection="1">
      <alignment horizontal="center"/>
    </xf>
    <xf numFmtId="164" fontId="3" fillId="5" borderId="6" xfId="2" applyNumberFormat="1" applyFont="1" applyFill="1" applyBorder="1" applyAlignment="1" applyProtection="1">
      <alignment horizontal="center"/>
    </xf>
    <xf numFmtId="164" fontId="9" fillId="4" borderId="24" xfId="0" applyNumberFormat="1" applyFont="1" applyFill="1" applyBorder="1" applyAlignment="1">
      <alignment horizontal="centerContinuous"/>
    </xf>
    <xf numFmtId="164" fontId="7" fillId="9" borderId="26" xfId="0" applyNumberFormat="1" applyFont="1" applyFill="1" applyBorder="1" applyAlignment="1">
      <alignment horizontal="centerContinuous"/>
    </xf>
    <xf numFmtId="164" fontId="6" fillId="10" borderId="26" xfId="2" applyNumberFormat="1" applyFont="1" applyFill="1" applyBorder="1" applyAlignment="1">
      <alignment horizontal="center"/>
    </xf>
    <xf numFmtId="164" fontId="6" fillId="6" borderId="0" xfId="0" applyNumberFormat="1" applyFont="1" applyFill="1" applyBorder="1" applyAlignment="1">
      <alignment horizontal="center"/>
    </xf>
    <xf numFmtId="164" fontId="6" fillId="6" borderId="27" xfId="0" applyNumberFormat="1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164" fontId="6" fillId="11" borderId="27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6" borderId="0" xfId="1" applyNumberFormat="1" applyFont="1" applyFill="1"/>
    <xf numFmtId="164" fontId="5" fillId="4" borderId="3" xfId="1" applyNumberFormat="1" applyFont="1" applyFill="1" applyBorder="1" applyAlignment="1" applyProtection="1">
      <alignment horizontal="center"/>
    </xf>
    <xf numFmtId="164" fontId="5" fillId="4" borderId="7" xfId="1" applyNumberFormat="1" applyFont="1" applyFill="1" applyBorder="1" applyAlignment="1" applyProtection="1">
      <alignment horizontal="center"/>
    </xf>
    <xf numFmtId="164" fontId="3" fillId="5" borderId="3" xfId="1" applyNumberFormat="1" applyFont="1" applyFill="1" applyBorder="1" applyAlignment="1" applyProtection="1">
      <alignment horizontal="center"/>
    </xf>
    <xf numFmtId="164" fontId="3" fillId="5" borderId="17" xfId="1" applyNumberFormat="1" applyFont="1" applyFill="1" applyBorder="1" applyAlignment="1" applyProtection="1">
      <alignment horizontal="center"/>
    </xf>
    <xf numFmtId="164" fontId="3" fillId="5" borderId="7" xfId="1" applyNumberFormat="1" applyFont="1" applyFill="1" applyBorder="1" applyAlignment="1" applyProtection="1">
      <alignment horizontal="center"/>
    </xf>
    <xf numFmtId="164" fontId="9" fillId="4" borderId="3" xfId="1" applyNumberFormat="1" applyFont="1" applyFill="1" applyBorder="1" applyAlignment="1">
      <alignment horizontal="centerContinuous"/>
    </xf>
    <xf numFmtId="164" fontId="7" fillId="9" borderId="9" xfId="1" applyNumberFormat="1" applyFont="1" applyFill="1" applyBorder="1" applyAlignment="1">
      <alignment horizontal="centerContinuous"/>
    </xf>
    <xf numFmtId="164" fontId="6" fillId="10" borderId="9" xfId="1" applyNumberFormat="1" applyFont="1" applyFill="1" applyBorder="1" applyAlignment="1">
      <alignment horizontal="center"/>
    </xf>
    <xf numFmtId="164" fontId="6" fillId="6" borderId="17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6" fillId="5" borderId="9" xfId="1" applyNumberFormat="1" applyFont="1" applyFill="1" applyBorder="1" applyAlignment="1">
      <alignment horizontal="center"/>
    </xf>
    <xf numFmtId="164" fontId="6" fillId="11" borderId="7" xfId="1" applyNumberFormat="1" applyFont="1" applyFill="1" applyBorder="1" applyAlignment="1">
      <alignment horizontal="center"/>
    </xf>
    <xf numFmtId="164" fontId="0" fillId="6" borderId="0" xfId="1" applyNumberFormat="1" applyFont="1" applyFill="1"/>
    <xf numFmtId="175" fontId="2" fillId="6" borderId="0" xfId="0" applyNumberFormat="1" applyFont="1" applyFill="1"/>
    <xf numFmtId="176" fontId="2" fillId="6" borderId="0" xfId="0" applyNumberFormat="1" applyFont="1" applyFill="1"/>
    <xf numFmtId="0" fontId="17" fillId="12" borderId="0" xfId="0" applyFont="1" applyFill="1"/>
    <xf numFmtId="0" fontId="2" fillId="12" borderId="0" xfId="0" applyFont="1" applyFill="1"/>
    <xf numFmtId="184" fontId="18" fillId="17" borderId="16" xfId="2" applyNumberFormat="1" applyFont="1" applyFill="1" applyBorder="1"/>
    <xf numFmtId="43" fontId="0" fillId="0" borderId="16" xfId="0" applyNumberFormat="1" applyBorder="1"/>
    <xf numFmtId="184" fontId="0" fillId="15" borderId="6" xfId="0" applyNumberFormat="1" applyFill="1" applyBorder="1"/>
    <xf numFmtId="0" fontId="0" fillId="6" borderId="26" xfId="0" applyFill="1" applyBorder="1"/>
    <xf numFmtId="0" fontId="0" fillId="6" borderId="9" xfId="0" applyFill="1" applyBorder="1"/>
    <xf numFmtId="0" fontId="19" fillId="6" borderId="25" xfId="0" applyFont="1" applyFill="1" applyBorder="1"/>
    <xf numFmtId="0" fontId="20" fillId="6" borderId="26" xfId="0" applyFont="1" applyFill="1" applyBorder="1"/>
    <xf numFmtId="184" fontId="21" fillId="6" borderId="8" xfId="0" applyNumberFormat="1" applyFont="1" applyFill="1" applyBorder="1"/>
    <xf numFmtId="0" fontId="13" fillId="12" borderId="2" xfId="0" applyFont="1" applyFill="1" applyBorder="1"/>
    <xf numFmtId="0" fontId="13" fillId="12" borderId="6" xfId="0" applyFont="1" applyFill="1" applyBorder="1"/>
    <xf numFmtId="41" fontId="0" fillId="6" borderId="0" xfId="0" applyNumberFormat="1" applyFill="1"/>
    <xf numFmtId="0" fontId="0" fillId="6" borderId="29" xfId="0" applyFill="1" applyBorder="1"/>
    <xf numFmtId="38" fontId="0" fillId="6" borderId="17" xfId="0" applyNumberFormat="1" applyFill="1" applyBorder="1" applyAlignment="1">
      <alignment horizontal="center"/>
    </xf>
    <xf numFmtId="38" fontId="0" fillId="6" borderId="7" xfId="0" applyNumberFormat="1" applyFill="1" applyBorder="1" applyAlignment="1">
      <alignment horizontal="center"/>
    </xf>
    <xf numFmtId="0" fontId="13" fillId="6" borderId="24" xfId="0" applyFont="1" applyFill="1" applyBorder="1"/>
    <xf numFmtId="0" fontId="13" fillId="6" borderId="3" xfId="0" applyFont="1" applyFill="1" applyBorder="1"/>
    <xf numFmtId="0" fontId="13" fillId="6" borderId="10" xfId="0" applyFont="1" applyFill="1" applyBorder="1"/>
    <xf numFmtId="0" fontId="13" fillId="6" borderId="29" xfId="0" applyFont="1" applyFill="1" applyBorder="1"/>
    <xf numFmtId="38" fontId="0" fillId="6" borderId="0" xfId="0" applyNumberFormat="1" applyFill="1"/>
    <xf numFmtId="0" fontId="13" fillId="14" borderId="10" xfId="0" applyFont="1" applyFill="1" applyBorder="1"/>
    <xf numFmtId="0" fontId="13" fillId="14" borderId="24" xfId="0" applyFont="1" applyFill="1" applyBorder="1"/>
    <xf numFmtId="0" fontId="13" fillId="14" borderId="3" xfId="0" applyFont="1" applyFill="1" applyBorder="1"/>
    <xf numFmtId="0" fontId="13" fillId="14" borderId="29" xfId="0" applyFont="1" applyFill="1" applyBorder="1"/>
    <xf numFmtId="0" fontId="13" fillId="14" borderId="0" xfId="0" applyFont="1" applyFill="1" applyBorder="1"/>
    <xf numFmtId="0" fontId="13" fillId="14" borderId="17" xfId="0" applyFont="1" applyFill="1" applyBorder="1"/>
    <xf numFmtId="0" fontId="13" fillId="14" borderId="13" xfId="0" applyFont="1" applyFill="1" applyBorder="1"/>
    <xf numFmtId="0" fontId="13" fillId="14" borderId="27" xfId="0" applyFont="1" applyFill="1" applyBorder="1"/>
    <xf numFmtId="0" fontId="13" fillId="14" borderId="7" xfId="0" applyFont="1" applyFill="1" applyBorder="1"/>
    <xf numFmtId="38" fontId="13" fillId="14" borderId="29" xfId="0" applyNumberFormat="1" applyFont="1" applyFill="1" applyBorder="1"/>
    <xf numFmtId="38" fontId="13" fillId="14" borderId="0" xfId="0" applyNumberFormat="1" applyFont="1" applyFill="1" applyBorder="1"/>
    <xf numFmtId="38" fontId="13" fillId="14" borderId="17" xfId="0" applyNumberFormat="1" applyFont="1" applyFill="1" applyBorder="1"/>
    <xf numFmtId="38" fontId="13" fillId="14" borderId="13" xfId="0" applyNumberFormat="1" applyFont="1" applyFill="1" applyBorder="1"/>
    <xf numFmtId="38" fontId="13" fillId="14" borderId="27" xfId="0" applyNumberFormat="1" applyFont="1" applyFill="1" applyBorder="1"/>
    <xf numFmtId="38" fontId="13" fillId="14" borderId="7" xfId="0" applyNumberFormat="1" applyFont="1" applyFill="1" applyBorder="1"/>
    <xf numFmtId="38" fontId="13" fillId="14" borderId="24" xfId="0" applyNumberFormat="1" applyFont="1" applyFill="1" applyBorder="1"/>
    <xf numFmtId="38" fontId="13" fillId="14" borderId="3" xfId="0" applyNumberFormat="1" applyFont="1" applyFill="1" applyBorder="1"/>
    <xf numFmtId="44" fontId="3" fillId="5" borderId="2" xfId="2" applyNumberFormat="1" applyFont="1" applyFill="1" applyBorder="1" applyAlignment="1" applyProtection="1">
      <alignment horizontal="center"/>
    </xf>
    <xf numFmtId="17" fontId="5" fillId="4" borderId="10" xfId="0" applyNumberFormat="1" applyFont="1" applyFill="1" applyBorder="1" applyProtection="1"/>
    <xf numFmtId="17" fontId="5" fillId="4" borderId="29" xfId="0" applyNumberFormat="1" applyFont="1" applyFill="1" applyBorder="1" applyProtection="1"/>
    <xf numFmtId="17" fontId="5" fillId="4" borderId="13" xfId="0" applyNumberFormat="1" applyFont="1" applyFill="1" applyBorder="1" applyProtection="1"/>
    <xf numFmtId="2" fontId="6" fillId="5" borderId="3" xfId="0" applyNumberFormat="1" applyFont="1" applyFill="1" applyBorder="1" applyAlignment="1" applyProtection="1">
      <alignment horizontal="center"/>
    </xf>
    <xf numFmtId="2" fontId="6" fillId="5" borderId="17" xfId="0" applyNumberFormat="1" applyFont="1" applyFill="1" applyBorder="1" applyAlignment="1" applyProtection="1">
      <alignment horizontal="center"/>
    </xf>
    <xf numFmtId="2" fontId="6" fillId="5" borderId="7" xfId="0" applyNumberFormat="1" applyFont="1" applyFill="1" applyBorder="1" applyAlignment="1" applyProtection="1">
      <alignment horizontal="center"/>
    </xf>
    <xf numFmtId="44" fontId="3" fillId="5" borderId="10" xfId="2" applyFont="1" applyFill="1" applyBorder="1" applyAlignment="1" applyProtection="1">
      <alignment horizontal="center"/>
    </xf>
    <xf numFmtId="44" fontId="3" fillId="5" borderId="3" xfId="2" applyFont="1" applyFill="1" applyBorder="1" applyAlignment="1" applyProtection="1">
      <alignment horizontal="center"/>
    </xf>
    <xf numFmtId="44" fontId="3" fillId="5" borderId="29" xfId="2" applyFont="1" applyFill="1" applyBorder="1" applyAlignment="1" applyProtection="1">
      <alignment horizontal="center"/>
    </xf>
    <xf numFmtId="44" fontId="3" fillId="5" borderId="17" xfId="2" applyFont="1" applyFill="1" applyBorder="1" applyAlignment="1" applyProtection="1">
      <alignment horizontal="center"/>
    </xf>
    <xf numFmtId="44" fontId="3" fillId="5" borderId="29" xfId="2" applyFont="1" applyFill="1" applyBorder="1" applyAlignment="1">
      <alignment horizontal="center"/>
    </xf>
    <xf numFmtId="44" fontId="3" fillId="5" borderId="17" xfId="2" applyFont="1" applyFill="1" applyBorder="1" applyAlignment="1">
      <alignment horizontal="center"/>
    </xf>
    <xf numFmtId="44" fontId="3" fillId="5" borderId="13" xfId="2" applyFont="1" applyFill="1" applyBorder="1" applyAlignment="1">
      <alignment horizontal="center"/>
    </xf>
    <xf numFmtId="44" fontId="3" fillId="5" borderId="7" xfId="2" applyFont="1" applyFill="1" applyBorder="1" applyAlignment="1">
      <alignment horizontal="center"/>
    </xf>
    <xf numFmtId="164" fontId="7" fillId="6" borderId="16" xfId="0" applyNumberFormat="1" applyFont="1" applyFill="1" applyBorder="1" applyAlignment="1" applyProtection="1">
      <alignment horizontal="center"/>
    </xf>
    <xf numFmtId="164" fontId="0" fillId="0" borderId="16" xfId="0" applyNumberFormat="1" applyBorder="1"/>
    <xf numFmtId="164" fontId="13" fillId="6" borderId="26" xfId="1" applyNumberFormat="1" applyFont="1" applyFill="1" applyBorder="1"/>
    <xf numFmtId="2" fontId="2" fillId="6" borderId="0" xfId="0" applyNumberFormat="1" applyFont="1" applyFill="1"/>
    <xf numFmtId="41" fontId="3" fillId="7" borderId="6" xfId="0" applyNumberFormat="1" applyFont="1" applyFill="1" applyBorder="1" applyAlignment="1" applyProtection="1">
      <alignment horizontal="center"/>
    </xf>
    <xf numFmtId="166" fontId="5" fillId="4" borderId="29" xfId="0" applyNumberFormat="1" applyFont="1" applyFill="1" applyBorder="1" applyProtection="1"/>
    <xf numFmtId="0" fontId="0" fillId="6" borderId="25" xfId="0" applyFill="1" applyBorder="1"/>
    <xf numFmtId="0" fontId="13" fillId="6" borderId="47" xfId="0" applyFont="1" applyFill="1" applyBorder="1"/>
    <xf numFmtId="0" fontId="13" fillId="6" borderId="48" xfId="0" applyFont="1" applyFill="1" applyBorder="1"/>
    <xf numFmtId="0" fontId="0" fillId="6" borderId="2" xfId="0" applyFill="1" applyBorder="1"/>
    <xf numFmtId="0" fontId="13" fillId="6" borderId="6" xfId="0" applyFont="1" applyFill="1" applyBorder="1"/>
    <xf numFmtId="41" fontId="6" fillId="0" borderId="19" xfId="0" applyNumberFormat="1" applyFont="1" applyFill="1" applyBorder="1" applyAlignment="1" applyProtection="1">
      <alignment horizontal="center"/>
      <protection locked="0"/>
    </xf>
    <xf numFmtId="44" fontId="6" fillId="0" borderId="20" xfId="2" applyFont="1" applyFill="1" applyBorder="1" applyAlignment="1" applyProtection="1">
      <alignment horizontal="center"/>
      <protection locked="0"/>
    </xf>
    <xf numFmtId="194" fontId="0" fillId="6" borderId="0" xfId="0" applyNumberFormat="1" applyFill="1" applyBorder="1" applyAlignment="1">
      <alignment horizontal="center"/>
    </xf>
    <xf numFmtId="40" fontId="0" fillId="6" borderId="0" xfId="0" applyNumberFormat="1" applyFill="1" applyBorder="1" applyAlignment="1">
      <alignment horizontal="center"/>
    </xf>
    <xf numFmtId="40" fontId="0" fillId="6" borderId="17" xfId="0" applyNumberFormat="1" applyFill="1" applyBorder="1" applyAlignment="1">
      <alignment horizontal="center"/>
    </xf>
    <xf numFmtId="194" fontId="0" fillId="6" borderId="17" xfId="0" applyNumberFormat="1" applyFill="1" applyBorder="1" applyAlignment="1">
      <alignment horizontal="center"/>
    </xf>
    <xf numFmtId="44" fontId="6" fillId="0" borderId="20" xfId="2" applyFont="1" applyFill="1" applyBorder="1" applyAlignment="1" applyProtection="1">
      <alignment horizontal="right"/>
      <protection locked="0"/>
    </xf>
    <xf numFmtId="41" fontId="6" fillId="12" borderId="19" xfId="0" applyNumberFormat="1" applyFont="1" applyFill="1" applyBorder="1" applyAlignment="1" applyProtection="1">
      <alignment horizontal="center"/>
      <protection locked="0"/>
    </xf>
    <xf numFmtId="44" fontId="6" fillId="12" borderId="20" xfId="2" applyFont="1" applyFill="1" applyBorder="1" applyAlignment="1" applyProtection="1">
      <alignment horizontal="center"/>
      <protection locked="0"/>
    </xf>
    <xf numFmtId="2" fontId="8" fillId="0" borderId="6" xfId="0" applyNumberFormat="1" applyFont="1" applyFill="1" applyBorder="1" applyAlignment="1" applyProtection="1">
      <alignment horizontal="center"/>
    </xf>
    <xf numFmtId="41" fontId="6" fillId="12" borderId="0" xfId="0" applyNumberFormat="1" applyFont="1" applyFill="1" applyBorder="1" applyAlignment="1" applyProtection="1">
      <alignment horizontal="center"/>
      <protection locked="0"/>
    </xf>
    <xf numFmtId="44" fontId="6" fillId="12" borderId="0" xfId="2" applyFont="1" applyFill="1" applyBorder="1" applyAlignment="1" applyProtection="1">
      <alignment horizontal="center"/>
      <protection locked="0"/>
    </xf>
    <xf numFmtId="194" fontId="0" fillId="6" borderId="0" xfId="0" applyNumberFormat="1" applyFill="1"/>
    <xf numFmtId="44" fontId="0" fillId="6" borderId="0" xfId="2" applyFont="1" applyFill="1" applyBorder="1" applyAlignment="1">
      <alignment horizontal="center"/>
    </xf>
    <xf numFmtId="44" fontId="0" fillId="6" borderId="17" xfId="2" applyFont="1" applyFill="1" applyBorder="1" applyAlignment="1">
      <alignment horizontal="center"/>
    </xf>
    <xf numFmtId="13" fontId="0" fillId="6" borderId="0" xfId="0" applyNumberFormat="1" applyFill="1"/>
    <xf numFmtId="44" fontId="5" fillId="6" borderId="0" xfId="2" applyFont="1" applyFill="1"/>
    <xf numFmtId="2" fontId="0" fillId="6" borderId="0" xfId="0" applyNumberFormat="1" applyFill="1"/>
    <xf numFmtId="44" fontId="13" fillId="6" borderId="0" xfId="2" applyFont="1" applyFill="1"/>
    <xf numFmtId="8" fontId="6" fillId="12" borderId="20" xfId="2" applyNumberFormat="1" applyFont="1" applyFill="1" applyBorder="1" applyAlignment="1" applyProtection="1">
      <alignment horizontal="right"/>
      <protection locked="0"/>
    </xf>
    <xf numFmtId="44" fontId="13" fillId="6" borderId="0" xfId="2" applyNumberFormat="1" applyFont="1" applyFill="1"/>
    <xf numFmtId="2" fontId="13" fillId="6" borderId="0" xfId="0" applyNumberFormat="1" applyFont="1" applyFill="1"/>
    <xf numFmtId="44" fontId="0" fillId="6" borderId="27" xfId="2" applyFont="1" applyFill="1" applyBorder="1" applyAlignment="1">
      <alignment horizontal="center"/>
    </xf>
    <xf numFmtId="44" fontId="0" fillId="6" borderId="7" xfId="2" applyFont="1" applyFill="1" applyBorder="1" applyAlignment="1">
      <alignment horizontal="center"/>
    </xf>
    <xf numFmtId="194" fontId="0" fillId="6" borderId="27" xfId="0" applyNumberFormat="1" applyFill="1" applyBorder="1" applyAlignment="1">
      <alignment horizontal="center"/>
    </xf>
    <xf numFmtId="194" fontId="0" fillId="6" borderId="7" xfId="0" applyNumberFormat="1" applyFill="1" applyBorder="1" applyAlignment="1">
      <alignment horizontal="center"/>
    </xf>
    <xf numFmtId="44" fontId="0" fillId="6" borderId="0" xfId="2" applyFont="1" applyFill="1"/>
    <xf numFmtId="41" fontId="7" fillId="6" borderId="16" xfId="0" applyNumberFormat="1" applyFont="1" applyFill="1" applyBorder="1" applyAlignment="1" applyProtection="1"/>
    <xf numFmtId="164" fontId="3" fillId="7" borderId="6" xfId="1" applyNumberFormat="1" applyFont="1" applyFill="1" applyBorder="1" applyAlignment="1" applyProtection="1">
      <alignment horizontal="center"/>
    </xf>
    <xf numFmtId="0" fontId="4" fillId="6" borderId="28" xfId="0" applyFont="1" applyFill="1" applyBorder="1"/>
    <xf numFmtId="2" fontId="6" fillId="6" borderId="0" xfId="0" applyNumberFormat="1" applyFont="1" applyFill="1" applyBorder="1" applyAlignment="1" applyProtection="1">
      <alignment horizontal="center"/>
    </xf>
    <xf numFmtId="39" fontId="6" fillId="6" borderId="0" xfId="0" applyNumberFormat="1" applyFont="1" applyFill="1" applyBorder="1" applyAlignment="1" applyProtection="1">
      <alignment horizontal="center"/>
    </xf>
    <xf numFmtId="17" fontId="5" fillId="4" borderId="49" xfId="0" applyNumberFormat="1" applyFont="1" applyFill="1" applyBorder="1" applyProtection="1"/>
    <xf numFmtId="41" fontId="6" fillId="2" borderId="50" xfId="0" applyNumberFormat="1" applyFont="1" applyFill="1" applyBorder="1" applyAlignment="1" applyProtection="1">
      <alignment horizontal="center"/>
      <protection locked="0"/>
    </xf>
    <xf numFmtId="44" fontId="6" fillId="2" borderId="51" xfId="2" applyFont="1" applyFill="1" applyBorder="1" applyAlignment="1" applyProtection="1">
      <alignment horizontal="center"/>
      <protection locked="0"/>
    </xf>
    <xf numFmtId="41" fontId="6" fillId="6" borderId="50" xfId="0" applyNumberFormat="1" applyFont="1" applyFill="1" applyBorder="1" applyAlignment="1" applyProtection="1">
      <alignment horizontal="center"/>
      <protection locked="0"/>
    </xf>
    <xf numFmtId="44" fontId="6" fillId="6" borderId="51" xfId="2" applyFont="1" applyFill="1" applyBorder="1" applyAlignment="1" applyProtection="1">
      <alignment horizontal="center"/>
      <protection locked="0"/>
    </xf>
    <xf numFmtId="44" fontId="6" fillId="6" borderId="52" xfId="2" applyFont="1" applyFill="1" applyBorder="1" applyAlignment="1" applyProtection="1">
      <alignment horizontal="center"/>
      <protection locked="0"/>
    </xf>
    <xf numFmtId="41" fontId="6" fillId="0" borderId="52" xfId="0" applyNumberFormat="1" applyFont="1" applyBorder="1" applyAlignment="1" applyProtection="1">
      <alignment horizontal="center"/>
      <protection locked="0"/>
    </xf>
    <xf numFmtId="44" fontId="6" fillId="0" borderId="51" xfId="2" applyFont="1" applyBorder="1" applyAlignment="1" applyProtection="1">
      <alignment horizontal="center"/>
      <protection locked="0"/>
    </xf>
    <xf numFmtId="41" fontId="6" fillId="0" borderId="50" xfId="0" applyNumberFormat="1" applyFont="1" applyBorder="1" applyAlignment="1" applyProtection="1">
      <alignment horizontal="center"/>
      <protection locked="0"/>
    </xf>
    <xf numFmtId="0" fontId="2" fillId="4" borderId="42" xfId="0" applyFont="1" applyFill="1" applyBorder="1" applyAlignment="1" applyProtection="1">
      <alignment horizontal="center"/>
    </xf>
    <xf numFmtId="44" fontId="2" fillId="4" borderId="43" xfId="2" applyFont="1" applyFill="1" applyBorder="1" applyAlignment="1" applyProtection="1">
      <alignment horizontal="center"/>
    </xf>
    <xf numFmtId="166" fontId="2" fillId="6" borderId="0" xfId="0" applyNumberFormat="1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17" fontId="5" fillId="4" borderId="53" xfId="0" applyNumberFormat="1" applyFont="1" applyFill="1" applyBorder="1" applyProtection="1"/>
    <xf numFmtId="41" fontId="6" fillId="2" borderId="54" xfId="0" applyNumberFormat="1" applyFont="1" applyFill="1" applyBorder="1" applyAlignment="1" applyProtection="1">
      <alignment horizontal="center"/>
      <protection locked="0"/>
    </xf>
    <xf numFmtId="44" fontId="6" fillId="2" borderId="48" xfId="2" applyFont="1" applyFill="1" applyBorder="1" applyAlignment="1" applyProtection="1">
      <alignment horizontal="center"/>
      <protection locked="0"/>
    </xf>
    <xf numFmtId="41" fontId="6" fillId="6" borderId="54" xfId="0" applyNumberFormat="1" applyFont="1" applyFill="1" applyBorder="1" applyAlignment="1" applyProtection="1">
      <alignment horizontal="center"/>
      <protection locked="0"/>
    </xf>
    <xf numFmtId="44" fontId="6" fillId="6" borderId="48" xfId="2" applyFont="1" applyFill="1" applyBorder="1" applyAlignment="1" applyProtection="1">
      <alignment horizontal="center"/>
      <protection locked="0"/>
    </xf>
    <xf numFmtId="44" fontId="6" fillId="6" borderId="47" xfId="2" applyFont="1" applyFill="1" applyBorder="1" applyAlignment="1" applyProtection="1">
      <alignment horizontal="center"/>
      <protection locked="0"/>
    </xf>
    <xf numFmtId="41" fontId="6" fillId="0" borderId="47" xfId="0" applyNumberFormat="1" applyFont="1" applyBorder="1" applyAlignment="1" applyProtection="1">
      <alignment horizontal="center"/>
      <protection locked="0"/>
    </xf>
    <xf numFmtId="44" fontId="6" fillId="0" borderId="48" xfId="2" applyFont="1" applyBorder="1" applyAlignment="1" applyProtection="1">
      <alignment horizontal="center"/>
      <protection locked="0"/>
    </xf>
    <xf numFmtId="41" fontId="6" fillId="0" borderId="54" xfId="0" applyNumberFormat="1" applyFont="1" applyBorder="1" applyAlignment="1" applyProtection="1">
      <alignment horizontal="center"/>
      <protection locked="0"/>
    </xf>
    <xf numFmtId="0" fontId="2" fillId="4" borderId="34" xfId="0" applyFont="1" applyFill="1" applyBorder="1" applyAlignment="1" applyProtection="1">
      <alignment horizontal="center"/>
    </xf>
    <xf numFmtId="44" fontId="2" fillId="4" borderId="35" xfId="2" applyFont="1" applyFill="1" applyBorder="1" applyAlignment="1" applyProtection="1">
      <alignment horizontal="center"/>
    </xf>
    <xf numFmtId="0" fontId="3" fillId="6" borderId="0" xfId="0" applyFont="1" applyFill="1" applyBorder="1" applyAlignment="1">
      <alignment horizontal="center"/>
    </xf>
    <xf numFmtId="41" fontId="6" fillId="2" borderId="29" xfId="0" applyNumberFormat="1" applyFont="1" applyFill="1" applyBorder="1" applyAlignment="1" applyProtection="1">
      <alignment horizontal="center"/>
      <protection locked="0"/>
    </xf>
    <xf numFmtId="44" fontId="6" fillId="2" borderId="17" xfId="2" applyFont="1" applyFill="1" applyBorder="1" applyAlignment="1" applyProtection="1">
      <alignment horizontal="center"/>
      <protection locked="0"/>
    </xf>
    <xf numFmtId="0" fontId="19" fillId="0" borderId="0" xfId="0" applyFont="1"/>
    <xf numFmtId="0" fontId="13" fillId="2" borderId="8" xfId="0" applyFont="1" applyFill="1" applyBorder="1" applyAlignment="1">
      <alignment horizontal="center"/>
    </xf>
    <xf numFmtId="17" fontId="0" fillId="0" borderId="0" xfId="0" applyNumberFormat="1"/>
    <xf numFmtId="0" fontId="14" fillId="16" borderId="18" xfId="0" applyFont="1" applyFill="1" applyBorder="1" applyAlignment="1">
      <alignment horizontal="center"/>
    </xf>
    <xf numFmtId="0" fontId="27" fillId="6" borderId="22" xfId="0" applyNumberFormat="1" applyFont="1" applyFill="1" applyBorder="1" applyAlignment="1">
      <alignment horizontal="center"/>
    </xf>
    <xf numFmtId="2" fontId="28" fillId="6" borderId="55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3" fillId="13" borderId="16" xfId="0" applyNumberFormat="1" applyFont="1" applyFill="1" applyBorder="1" applyAlignment="1">
      <alignment horizontal="center"/>
    </xf>
    <xf numFmtId="0" fontId="14" fillId="16" borderId="49" xfId="0" applyFont="1" applyFill="1" applyBorder="1" applyAlignment="1">
      <alignment horizontal="center"/>
    </xf>
    <xf numFmtId="0" fontId="27" fillId="6" borderId="43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2" fontId="13" fillId="2" borderId="56" xfId="0" applyNumberFormat="1" applyFont="1" applyFill="1" applyBorder="1" applyAlignment="1">
      <alignment horizontal="center"/>
    </xf>
    <xf numFmtId="2" fontId="13" fillId="2" borderId="57" xfId="0" applyNumberFormat="1" applyFont="1" applyFill="1" applyBorder="1" applyAlignment="1">
      <alignment horizontal="center"/>
    </xf>
    <xf numFmtId="2" fontId="13" fillId="14" borderId="8" xfId="0" applyNumberFormat="1" applyFont="1" applyFill="1" applyBorder="1" applyAlignment="1">
      <alignment horizontal="center"/>
    </xf>
    <xf numFmtId="0" fontId="14" fillId="16" borderId="16" xfId="0" applyFont="1" applyFill="1" applyBorder="1" applyAlignment="1">
      <alignment horizontal="center"/>
    </xf>
    <xf numFmtId="0" fontId="27" fillId="6" borderId="45" xfId="0" applyNumberFormat="1" applyFont="1" applyFill="1" applyBorder="1" applyAlignment="1">
      <alignment horizontal="center"/>
    </xf>
    <xf numFmtId="2" fontId="28" fillId="6" borderId="58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0" fontId="14" fillId="16" borderId="59" xfId="0" applyFont="1" applyFill="1" applyBorder="1" applyAlignment="1">
      <alignment horizontal="center"/>
    </xf>
    <xf numFmtId="0" fontId="27" fillId="6" borderId="33" xfId="0" applyNumberFormat="1" applyFont="1" applyFill="1" applyBorder="1" applyAlignment="1">
      <alignment horizontal="center"/>
    </xf>
    <xf numFmtId="2" fontId="28" fillId="6" borderId="60" xfId="0" applyNumberFormat="1" applyFont="1" applyFill="1" applyBorder="1" applyAlignment="1" applyProtection="1">
      <alignment horizontal="center"/>
      <protection locked="0"/>
    </xf>
    <xf numFmtId="2" fontId="12" fillId="6" borderId="61" xfId="0" applyNumberFormat="1" applyFont="1" applyFill="1" applyBorder="1" applyAlignment="1" applyProtection="1">
      <alignment horizontal="center"/>
      <protection locked="0"/>
    </xf>
    <xf numFmtId="2" fontId="28" fillId="6" borderId="62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3" fillId="2" borderId="57" xfId="0" applyNumberFormat="1" applyFont="1" applyFill="1" applyBorder="1" applyAlignment="1" applyProtection="1">
      <alignment horizontal="center"/>
      <protection locked="0"/>
    </xf>
    <xf numFmtId="0" fontId="13" fillId="2" borderId="63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16" fontId="13" fillId="6" borderId="9" xfId="0" applyNumberFormat="1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27" fillId="6" borderId="31" xfId="0" applyNumberFormat="1" applyFont="1" applyFill="1" applyBorder="1" applyAlignment="1">
      <alignment horizontal="center"/>
    </xf>
    <xf numFmtId="2" fontId="28" fillId="6" borderId="64" xfId="0" applyNumberFormat="1" applyFont="1" applyFill="1" applyBorder="1" applyAlignment="1" applyProtection="1">
      <alignment horizontal="center"/>
      <protection locked="0"/>
    </xf>
    <xf numFmtId="2" fontId="12" fillId="6" borderId="65" xfId="0" applyNumberFormat="1" applyFont="1" applyFill="1" applyBorder="1" applyAlignment="1" applyProtection="1">
      <alignment horizontal="center"/>
      <protection locked="0"/>
    </xf>
    <xf numFmtId="2" fontId="12" fillId="6" borderId="31" xfId="0" applyNumberFormat="1" applyFont="1" applyFill="1" applyBorder="1" applyAlignment="1" applyProtection="1">
      <alignment horizontal="center"/>
      <protection locked="0"/>
    </xf>
    <xf numFmtId="2" fontId="29" fillId="18" borderId="16" xfId="0" applyNumberFormat="1" applyFont="1" applyFill="1" applyBorder="1" applyAlignment="1">
      <alignment horizontal="center"/>
    </xf>
    <xf numFmtId="0" fontId="27" fillId="6" borderId="18" xfId="0" applyNumberFormat="1" applyFont="1" applyFill="1" applyBorder="1" applyAlignment="1">
      <alignment horizontal="center"/>
    </xf>
    <xf numFmtId="2" fontId="12" fillId="6" borderId="43" xfId="0" applyNumberFormat="1" applyFont="1" applyFill="1" applyBorder="1" applyAlignment="1" applyProtection="1">
      <alignment horizontal="center"/>
      <protection locked="0"/>
    </xf>
    <xf numFmtId="2" fontId="13" fillId="13" borderId="6" xfId="0" applyNumberFormat="1" applyFont="1" applyFill="1" applyBorder="1" applyAlignment="1">
      <alignment horizontal="center"/>
    </xf>
    <xf numFmtId="0" fontId="27" fillId="6" borderId="4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>
      <alignment horizontal="center"/>
    </xf>
    <xf numFmtId="2" fontId="29" fillId="2" borderId="8" xfId="0" applyNumberFormat="1" applyFont="1" applyFill="1" applyBorder="1" applyAlignment="1">
      <alignment horizontal="center"/>
    </xf>
    <xf numFmtId="0" fontId="13" fillId="2" borderId="8" xfId="0" applyNumberFormat="1" applyFont="1" applyFill="1" applyBorder="1" applyAlignment="1">
      <alignment horizontal="center"/>
    </xf>
    <xf numFmtId="2" fontId="12" fillId="6" borderId="45" xfId="0" applyNumberFormat="1" applyFont="1" applyFill="1" applyBorder="1" applyAlignment="1" applyProtection="1">
      <alignment horizontal="center"/>
      <protection locked="0"/>
    </xf>
    <xf numFmtId="0" fontId="27" fillId="6" borderId="16" xfId="0" applyNumberFormat="1" applyFont="1" applyFill="1" applyBorder="1" applyAlignment="1">
      <alignment horizontal="center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6" borderId="33" xfId="0" applyNumberFormat="1" applyFont="1" applyFill="1" applyBorder="1" applyAlignment="1" applyProtection="1">
      <alignment horizontal="center"/>
      <protection locked="0"/>
    </xf>
    <xf numFmtId="0" fontId="27" fillId="6" borderId="5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 applyProtection="1">
      <alignment horizontal="center"/>
      <protection locked="0"/>
    </xf>
    <xf numFmtId="0" fontId="0" fillId="5" borderId="61" xfId="0" applyFill="1" applyBorder="1"/>
    <xf numFmtId="1" fontId="1" fillId="5" borderId="61" xfId="1" applyNumberFormat="1" applyFill="1" applyBorder="1"/>
    <xf numFmtId="205" fontId="1" fillId="5" borderId="61" xfId="1" applyNumberFormat="1" applyFill="1" applyBorder="1"/>
    <xf numFmtId="0" fontId="0" fillId="5" borderId="40" xfId="0" applyFill="1" applyBorder="1"/>
    <xf numFmtId="0" fontId="12" fillId="19" borderId="0" xfId="0" applyFont="1" applyFill="1"/>
    <xf numFmtId="0" fontId="0" fillId="5" borderId="39" xfId="0" applyFill="1" applyBorder="1"/>
    <xf numFmtId="0" fontId="13" fillId="5" borderId="0" xfId="0" applyFont="1" applyFill="1" applyAlignment="1">
      <alignment horizontal="center"/>
    </xf>
    <xf numFmtId="0" fontId="0" fillId="19" borderId="0" xfId="0" applyFill="1"/>
    <xf numFmtId="44" fontId="1" fillId="0" borderId="0" xfId="2"/>
    <xf numFmtId="1" fontId="1" fillId="0" borderId="0" xfId="1" applyNumberFormat="1"/>
    <xf numFmtId="212" fontId="1" fillId="0" borderId="0" xfId="1" applyNumberFormat="1"/>
    <xf numFmtId="0" fontId="0" fillId="19" borderId="0" xfId="0" applyFill="1" applyAlignment="1">
      <alignment horizontal="center"/>
    </xf>
    <xf numFmtId="0" fontId="0" fillId="12" borderId="25" xfId="0" applyFill="1" applyBorder="1"/>
    <xf numFmtId="164" fontId="28" fillId="12" borderId="8" xfId="1" applyNumberFormat="1" applyFont="1" applyFill="1" applyBorder="1"/>
    <xf numFmtId="16" fontId="0" fillId="19" borderId="0" xfId="0" applyNumberFormat="1" applyFill="1" applyAlignment="1">
      <alignment horizontal="center"/>
    </xf>
    <xf numFmtId="16" fontId="0" fillId="12" borderId="0" xfId="0" applyNumberFormat="1" applyFill="1" applyBorder="1"/>
    <xf numFmtId="0" fontId="0" fillId="12" borderId="0" xfId="0" applyFill="1" applyBorder="1"/>
    <xf numFmtId="16" fontId="0" fillId="12" borderId="0" xfId="0" applyNumberFormat="1" applyFill="1" applyAlignment="1">
      <alignment horizontal="left"/>
    </xf>
    <xf numFmtId="205" fontId="1" fillId="0" borderId="0" xfId="1" applyNumberFormat="1"/>
    <xf numFmtId="207" fontId="1" fillId="0" borderId="0" xfId="2" applyNumberFormat="1"/>
    <xf numFmtId="0" fontId="2" fillId="4" borderId="66" xfId="0" applyFont="1" applyFill="1" applyBorder="1" applyAlignment="1" applyProtection="1">
      <alignment horizontal="center"/>
    </xf>
    <xf numFmtId="44" fontId="2" fillId="4" borderId="12" xfId="2" applyFont="1" applyFill="1" applyBorder="1" applyAlignment="1" applyProtection="1">
      <alignment horizontal="center"/>
    </xf>
    <xf numFmtId="0" fontId="2" fillId="4" borderId="67" xfId="0" applyFont="1" applyFill="1" applyBorder="1" applyAlignment="1" applyProtection="1">
      <alignment horizontal="center"/>
    </xf>
    <xf numFmtId="44" fontId="2" fillId="4" borderId="63" xfId="2" applyFont="1" applyFill="1" applyBorder="1" applyAlignment="1" applyProtection="1">
      <alignment horizontal="center"/>
    </xf>
    <xf numFmtId="0" fontId="0" fillId="6" borderId="27" xfId="0" applyFill="1" applyBorder="1"/>
    <xf numFmtId="0" fontId="20" fillId="6" borderId="36" xfId="0" applyFont="1" applyFill="1" applyBorder="1" applyAlignment="1">
      <alignment horizontal="center"/>
    </xf>
    <xf numFmtId="0" fontId="20" fillId="6" borderId="46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6" fillId="20" borderId="25" xfId="0" applyFont="1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26" fillId="9" borderId="25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CheckBox" fmlaLink="$C$4" lockText="1" noThreeD="1"/>
</file>

<file path=xl/ctrlProps/ctrlProp10.xml><?xml version="1.0" encoding="utf-8"?>
<formControlPr xmlns="http://schemas.microsoft.com/office/spreadsheetml/2009/9/main" objectType="CheckBox" fmlaLink="$Q$9" lockText="1" noThreeD="1"/>
</file>

<file path=xl/ctrlProps/ctrlProp11.xml><?xml version="1.0" encoding="utf-8"?>
<formControlPr xmlns="http://schemas.microsoft.com/office/spreadsheetml/2009/9/main" objectType="CheckBox" fmlaLink="$C$4" lockText="1" noThreeD="1"/>
</file>

<file path=xl/ctrlProps/ctrlProp12.xml><?xml version="1.0" encoding="utf-8"?>
<formControlPr xmlns="http://schemas.microsoft.com/office/spreadsheetml/2009/9/main" objectType="CheckBox" fmlaLink="$Q$9" lockText="1" noThreeD="1"/>
</file>

<file path=xl/ctrlProps/ctrlProp2.xml><?xml version="1.0" encoding="utf-8"?>
<formControlPr xmlns="http://schemas.microsoft.com/office/spreadsheetml/2009/9/main" objectType="CheckBox" fmlaLink="$Q$9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CheckBox" fmlaLink="$C$4" lockText="1" noThreeD="1"/>
</file>

<file path=xl/ctrlProps/ctrlProp6.xml><?xml version="1.0" encoding="utf-8"?>
<formControlPr xmlns="http://schemas.microsoft.com/office/spreadsheetml/2009/9/main" objectType="CheckBox" fmlaLink="$Q$9" lockText="1" noThreeD="1"/>
</file>

<file path=xl/ctrlProps/ctrlProp7.xml><?xml version="1.0" encoding="utf-8"?>
<formControlPr xmlns="http://schemas.microsoft.com/office/spreadsheetml/2009/9/main" objectType="CheckBox" fmlaLink="$C$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</xdr:row>
          <xdr:rowOff>219075</xdr:rowOff>
        </xdr:from>
        <xdr:to>
          <xdr:col>6</xdr:col>
          <xdr:colOff>457200</xdr:colOff>
          <xdr:row>4</xdr:row>
          <xdr:rowOff>9525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Clear Deals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</xdr:row>
          <xdr:rowOff>257175</xdr:rowOff>
        </xdr:from>
        <xdr:to>
          <xdr:col>4</xdr:col>
          <xdr:colOff>352425</xdr:colOff>
          <xdr:row>4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End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ecash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NE/ny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Cash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MW/MW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OtherPosn"/>
      <sheetName val="WestHub"/>
      <sheetName val="PJM"/>
      <sheetName val="NEPOOL"/>
      <sheetName val="WestPJM"/>
      <sheetName val="EastHub"/>
      <sheetName val="Cd"/>
      <sheetName val=""/>
      <sheetName val="Necash4"/>
    </sheetNames>
    <sheetDataSet>
      <sheetData sheetId="0"/>
      <sheetData sheetId="1"/>
      <sheetData sheetId="2"/>
      <sheetData sheetId="3"/>
      <sheetData sheetId="4">
        <row r="10">
          <cell r="L10">
            <v>-1189.7</v>
          </cell>
        </row>
        <row r="11">
          <cell r="L11">
            <v>-1189.7</v>
          </cell>
        </row>
        <row r="12">
          <cell r="L12">
            <v>-1189.7</v>
          </cell>
        </row>
        <row r="13">
          <cell r="L13">
            <v>-1189.7</v>
          </cell>
        </row>
        <row r="16">
          <cell r="L16">
            <v>-1189.7</v>
          </cell>
        </row>
        <row r="17">
          <cell r="L17">
            <v>-1189.7</v>
          </cell>
        </row>
        <row r="18">
          <cell r="L18">
            <v>-1189.7</v>
          </cell>
        </row>
        <row r="19">
          <cell r="L19">
            <v>-1189.7</v>
          </cell>
        </row>
        <row r="20">
          <cell r="L20">
            <v>-1189.7</v>
          </cell>
        </row>
        <row r="23">
          <cell r="L23">
            <v>-1189.7</v>
          </cell>
        </row>
        <row r="24">
          <cell r="L24">
            <v>-1189.7</v>
          </cell>
        </row>
        <row r="25">
          <cell r="L25">
            <v>-1189.7</v>
          </cell>
        </row>
        <row r="26">
          <cell r="L26">
            <v>-1189.7</v>
          </cell>
        </row>
        <row r="27">
          <cell r="L27">
            <v>-1189.7</v>
          </cell>
        </row>
        <row r="29">
          <cell r="L29">
            <v>-1189.7</v>
          </cell>
        </row>
        <row r="30">
          <cell r="L30">
            <v>-1189.7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NYZoneA"/>
      <sheetName val="NYZoneG"/>
      <sheetName val="Tregion"/>
      <sheetName val="Tbasis"/>
      <sheetName val="NYZoneJ"/>
      <sheetName val="OtherPosn"/>
      <sheetName val="Nepool"/>
      <sheetName val="Days"/>
      <sheetName val="Cd"/>
      <sheetName val="NYZoneD"/>
      <sheetName val="WestHub"/>
      <sheetName val="PJM"/>
      <sheetName val="ny4"/>
    </sheetNames>
    <sheetDataSet>
      <sheetData sheetId="0"/>
      <sheetData sheetId="1">
        <row r="3">
          <cell r="D3">
            <v>37135</v>
          </cell>
        </row>
        <row r="4">
          <cell r="D4">
            <v>37136</v>
          </cell>
        </row>
        <row r="5">
          <cell r="D5">
            <v>37137</v>
          </cell>
        </row>
        <row r="6">
          <cell r="D6">
            <v>37138</v>
          </cell>
        </row>
        <row r="7">
          <cell r="D7">
            <v>37139</v>
          </cell>
        </row>
        <row r="8">
          <cell r="D8">
            <v>37140</v>
          </cell>
        </row>
        <row r="9">
          <cell r="D9">
            <v>37141</v>
          </cell>
        </row>
        <row r="10">
          <cell r="D10">
            <v>37142</v>
          </cell>
        </row>
        <row r="11">
          <cell r="D11">
            <v>37143</v>
          </cell>
        </row>
        <row r="12">
          <cell r="D12">
            <v>37144</v>
          </cell>
        </row>
        <row r="13">
          <cell r="D13">
            <v>37145</v>
          </cell>
        </row>
        <row r="14">
          <cell r="D14">
            <v>37146</v>
          </cell>
        </row>
        <row r="15">
          <cell r="D15">
            <v>37147</v>
          </cell>
        </row>
        <row r="16">
          <cell r="D16">
            <v>37148</v>
          </cell>
        </row>
        <row r="17">
          <cell r="D17">
            <v>37149</v>
          </cell>
        </row>
        <row r="18">
          <cell r="D18">
            <v>37150</v>
          </cell>
        </row>
        <row r="19">
          <cell r="D19">
            <v>37151</v>
          </cell>
        </row>
        <row r="20">
          <cell r="D20">
            <v>37152</v>
          </cell>
        </row>
        <row r="21">
          <cell r="D21">
            <v>37153</v>
          </cell>
        </row>
        <row r="22">
          <cell r="D22">
            <v>37154</v>
          </cell>
        </row>
        <row r="23">
          <cell r="D23">
            <v>37155</v>
          </cell>
        </row>
        <row r="24">
          <cell r="D24">
            <v>37156</v>
          </cell>
        </row>
        <row r="25">
          <cell r="D25">
            <v>37157</v>
          </cell>
        </row>
        <row r="26">
          <cell r="D26">
            <v>37158</v>
          </cell>
        </row>
        <row r="27">
          <cell r="D27">
            <v>37159</v>
          </cell>
        </row>
        <row r="28">
          <cell r="D28">
            <v>37160</v>
          </cell>
        </row>
        <row r="29">
          <cell r="D29">
            <v>37161</v>
          </cell>
        </row>
        <row r="30">
          <cell r="D30">
            <v>37162</v>
          </cell>
        </row>
        <row r="31">
          <cell r="D31">
            <v>37163</v>
          </cell>
        </row>
        <row r="32">
          <cell r="D32">
            <v>37164</v>
          </cell>
        </row>
        <row r="33">
          <cell r="D33">
            <v>37165</v>
          </cell>
        </row>
        <row r="34">
          <cell r="D34">
            <v>37195</v>
          </cell>
        </row>
        <row r="35">
          <cell r="D35">
            <v>37196</v>
          </cell>
        </row>
        <row r="36">
          <cell r="D36">
            <v>37226</v>
          </cell>
        </row>
        <row r="37">
          <cell r="D37">
            <v>37257</v>
          </cell>
        </row>
        <row r="38">
          <cell r="D38">
            <v>37288</v>
          </cell>
        </row>
        <row r="39">
          <cell r="D39">
            <v>37316</v>
          </cell>
        </row>
        <row r="40">
          <cell r="D40">
            <v>37347</v>
          </cell>
        </row>
        <row r="41">
          <cell r="D41">
            <v>37377</v>
          </cell>
        </row>
        <row r="42">
          <cell r="D42">
            <v>37408</v>
          </cell>
        </row>
        <row r="43">
          <cell r="D43">
            <v>37438</v>
          </cell>
        </row>
        <row r="44">
          <cell r="D44">
            <v>37469</v>
          </cell>
        </row>
        <row r="45">
          <cell r="D45">
            <v>37500</v>
          </cell>
        </row>
        <row r="46">
          <cell r="D46">
            <v>37530</v>
          </cell>
        </row>
        <row r="47">
          <cell r="D47">
            <v>37561</v>
          </cell>
        </row>
        <row r="48">
          <cell r="D48">
            <v>37591</v>
          </cell>
        </row>
        <row r="49">
          <cell r="D49">
            <v>37622</v>
          </cell>
        </row>
        <row r="50">
          <cell r="D50">
            <v>37653</v>
          </cell>
        </row>
        <row r="51">
          <cell r="D51">
            <v>37681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NYZoneA"/>
      <sheetName val="NYZoneD"/>
      <sheetName val="NYZoneG"/>
      <sheetName val="NYZoneJ"/>
      <sheetName val="Nepool"/>
      <sheetName val="PJM"/>
      <sheetName val="WestHub"/>
      <sheetName val="OtherPosn"/>
      <sheetName val="Cd"/>
    </sheetNames>
    <sheetDataSet>
      <sheetData sheetId="0">
        <row r="4">
          <cell r="B4">
            <v>37134</v>
          </cell>
        </row>
        <row r="5">
          <cell r="B5">
            <v>37133</v>
          </cell>
        </row>
      </sheetData>
      <sheetData sheetId="1">
        <row r="3">
          <cell r="C3">
            <v>34</v>
          </cell>
          <cell r="L3">
            <v>0</v>
          </cell>
        </row>
        <row r="4">
          <cell r="C4">
            <v>34</v>
          </cell>
          <cell r="L4">
            <v>0</v>
          </cell>
        </row>
        <row r="5">
          <cell r="C5">
            <v>34</v>
          </cell>
          <cell r="L5">
            <v>0</v>
          </cell>
        </row>
        <row r="6">
          <cell r="C6">
            <v>38.5</v>
          </cell>
          <cell r="L6">
            <v>-3188.606201171875</v>
          </cell>
        </row>
        <row r="7">
          <cell r="C7">
            <v>38.5</v>
          </cell>
          <cell r="L7">
            <v>-3188.606201171875</v>
          </cell>
        </row>
        <row r="8">
          <cell r="C8">
            <v>38.5</v>
          </cell>
          <cell r="L8">
            <v>-3188.606201171875</v>
          </cell>
        </row>
        <row r="9">
          <cell r="C9">
            <v>38.5</v>
          </cell>
          <cell r="L9">
            <v>-3188.606201171875</v>
          </cell>
        </row>
        <row r="10">
          <cell r="C10">
            <v>34</v>
          </cell>
          <cell r="L10">
            <v>0</v>
          </cell>
        </row>
        <row r="11">
          <cell r="C11">
            <v>34</v>
          </cell>
          <cell r="L11">
            <v>0</v>
          </cell>
        </row>
        <row r="12">
          <cell r="C12">
            <v>34</v>
          </cell>
          <cell r="L12">
            <v>-3985.7578125</v>
          </cell>
        </row>
        <row r="13">
          <cell r="C13">
            <v>34</v>
          </cell>
          <cell r="L13">
            <v>-3985.7578125</v>
          </cell>
        </row>
        <row r="14">
          <cell r="C14">
            <v>34</v>
          </cell>
          <cell r="L14">
            <v>-3985.7578125</v>
          </cell>
        </row>
        <row r="15">
          <cell r="C15">
            <v>34</v>
          </cell>
          <cell r="L15">
            <v>-3985.7578125</v>
          </cell>
        </row>
        <row r="16">
          <cell r="C16">
            <v>34</v>
          </cell>
          <cell r="L16">
            <v>-3985.7578125</v>
          </cell>
        </row>
        <row r="17">
          <cell r="C17">
            <v>33</v>
          </cell>
          <cell r="L17">
            <v>0</v>
          </cell>
        </row>
        <row r="18">
          <cell r="C18">
            <v>33</v>
          </cell>
          <cell r="L18">
            <v>0</v>
          </cell>
        </row>
        <row r="19">
          <cell r="C19">
            <v>34</v>
          </cell>
          <cell r="L19">
            <v>-3985.7578125</v>
          </cell>
        </row>
        <row r="20">
          <cell r="C20">
            <v>34</v>
          </cell>
          <cell r="L20">
            <v>-3985.7578125</v>
          </cell>
        </row>
        <row r="21">
          <cell r="C21">
            <v>34</v>
          </cell>
          <cell r="L21">
            <v>-3985.7578125</v>
          </cell>
        </row>
        <row r="22">
          <cell r="C22">
            <v>34</v>
          </cell>
          <cell r="L22">
            <v>-3985.7578125</v>
          </cell>
        </row>
        <row r="23">
          <cell r="C23">
            <v>34</v>
          </cell>
          <cell r="L23">
            <v>-3985.7578125</v>
          </cell>
        </row>
        <row r="24">
          <cell r="C24">
            <v>33</v>
          </cell>
          <cell r="L24">
            <v>0</v>
          </cell>
        </row>
        <row r="25">
          <cell r="C25">
            <v>33</v>
          </cell>
          <cell r="L25">
            <v>0</v>
          </cell>
        </row>
        <row r="26">
          <cell r="C26">
            <v>34</v>
          </cell>
          <cell r="L26">
            <v>-3985.7578125</v>
          </cell>
        </row>
        <row r="27">
          <cell r="C27">
            <v>34</v>
          </cell>
          <cell r="L27">
            <v>-3985.7578125</v>
          </cell>
        </row>
        <row r="28">
          <cell r="C28">
            <v>34</v>
          </cell>
          <cell r="L28">
            <v>-3985.7578125</v>
          </cell>
        </row>
        <row r="29">
          <cell r="C29">
            <v>34</v>
          </cell>
          <cell r="L29">
            <v>-3985.7578125</v>
          </cell>
        </row>
        <row r="30">
          <cell r="C30">
            <v>34</v>
          </cell>
          <cell r="L30">
            <v>-3985.7578125</v>
          </cell>
        </row>
        <row r="31">
          <cell r="C31">
            <v>33</v>
          </cell>
          <cell r="L31">
            <v>0</v>
          </cell>
        </row>
        <row r="32">
          <cell r="C32">
            <v>33</v>
          </cell>
          <cell r="L32">
            <v>0</v>
          </cell>
        </row>
        <row r="33">
          <cell r="C33">
            <v>34.25</v>
          </cell>
          <cell r="L33">
            <v>-73105</v>
          </cell>
        </row>
        <row r="34">
          <cell r="C34">
            <v>34.25</v>
          </cell>
          <cell r="L34">
            <v>0</v>
          </cell>
        </row>
        <row r="35">
          <cell r="C35">
            <v>34.25</v>
          </cell>
          <cell r="L35">
            <v>-66560.9140625</v>
          </cell>
        </row>
        <row r="36">
          <cell r="C36">
            <v>34.25</v>
          </cell>
          <cell r="L36">
            <v>-63206.4140625</v>
          </cell>
        </row>
        <row r="37">
          <cell r="C37">
            <v>38.5</v>
          </cell>
          <cell r="L37">
            <v>51998.2109375</v>
          </cell>
        </row>
        <row r="38">
          <cell r="C38">
            <v>38.5</v>
          </cell>
          <cell r="L38">
            <v>47146.87890625</v>
          </cell>
        </row>
        <row r="39">
          <cell r="C39">
            <v>34.5</v>
          </cell>
          <cell r="L39">
            <v>16456.11328125</v>
          </cell>
        </row>
        <row r="40">
          <cell r="C40">
            <v>34.5</v>
          </cell>
          <cell r="L40">
            <v>17186.7109375</v>
          </cell>
        </row>
        <row r="41">
          <cell r="C41">
            <v>35.25</v>
          </cell>
          <cell r="L41">
            <v>-2.0000000267028639E-10</v>
          </cell>
        </row>
        <row r="42">
          <cell r="C42">
            <v>42.75</v>
          </cell>
          <cell r="L42">
            <v>-46587.87890625</v>
          </cell>
        </row>
        <row r="43">
          <cell r="C43">
            <v>56.5</v>
          </cell>
          <cell r="L43">
            <v>17029.357421875</v>
          </cell>
        </row>
        <row r="44">
          <cell r="C44">
            <v>56.5</v>
          </cell>
          <cell r="L44">
            <v>16970.353515625</v>
          </cell>
        </row>
        <row r="45">
          <cell r="C45">
            <v>34.25</v>
          </cell>
          <cell r="L45">
            <v>15380.6826171875</v>
          </cell>
        </row>
        <row r="46">
          <cell r="C46">
            <v>33.899997711181641</v>
          </cell>
          <cell r="L46">
            <v>52878.0546875</v>
          </cell>
        </row>
        <row r="47">
          <cell r="C47">
            <v>33.899997711181641</v>
          </cell>
          <cell r="L47">
            <v>45827.55078125</v>
          </cell>
        </row>
        <row r="48">
          <cell r="C48">
            <v>33.899997711181641</v>
          </cell>
          <cell r="L48">
            <v>0</v>
          </cell>
        </row>
        <row r="49">
          <cell r="C49">
            <v>40</v>
          </cell>
          <cell r="L49">
            <v>0</v>
          </cell>
        </row>
        <row r="50">
          <cell r="C50">
            <v>40</v>
          </cell>
          <cell r="L50">
            <v>0</v>
          </cell>
        </row>
        <row r="51">
          <cell r="C51">
            <v>34.099998474121094</v>
          </cell>
          <cell r="L51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3">
        <row r="3">
          <cell r="C3">
            <v>38</v>
          </cell>
          <cell r="L3">
            <v>0</v>
          </cell>
        </row>
        <row r="4">
          <cell r="C4">
            <v>38</v>
          </cell>
          <cell r="L4">
            <v>0</v>
          </cell>
        </row>
        <row r="5">
          <cell r="C5">
            <v>38</v>
          </cell>
          <cell r="L5">
            <v>0</v>
          </cell>
        </row>
        <row r="6">
          <cell r="C6">
            <v>45.5</v>
          </cell>
          <cell r="L6">
            <v>-797.15155029296875</v>
          </cell>
        </row>
        <row r="7">
          <cell r="C7">
            <v>45.5</v>
          </cell>
          <cell r="L7">
            <v>-797.15155029296875</v>
          </cell>
        </row>
        <row r="8">
          <cell r="C8">
            <v>45.5</v>
          </cell>
          <cell r="L8">
            <v>-797.15155029296875</v>
          </cell>
        </row>
        <row r="9">
          <cell r="C9">
            <v>45.5</v>
          </cell>
          <cell r="L9">
            <v>-797.15155029296875</v>
          </cell>
        </row>
        <row r="10">
          <cell r="C10">
            <v>38</v>
          </cell>
          <cell r="L10">
            <v>0</v>
          </cell>
        </row>
        <row r="11">
          <cell r="C11">
            <v>38</v>
          </cell>
          <cell r="L11">
            <v>0</v>
          </cell>
        </row>
        <row r="12">
          <cell r="C12">
            <v>40.5</v>
          </cell>
          <cell r="L12">
            <v>1.9999999920083944E-12</v>
          </cell>
        </row>
        <row r="13">
          <cell r="C13">
            <v>40.5</v>
          </cell>
          <cell r="L13">
            <v>1.9999999920083944E-12</v>
          </cell>
        </row>
        <row r="14">
          <cell r="C14">
            <v>40.5</v>
          </cell>
          <cell r="L14">
            <v>1.9999999920083944E-12</v>
          </cell>
        </row>
        <row r="15">
          <cell r="C15">
            <v>40.5</v>
          </cell>
          <cell r="L15">
            <v>1.9999999920083944E-12</v>
          </cell>
        </row>
        <row r="16">
          <cell r="C16">
            <v>40.5</v>
          </cell>
          <cell r="L16">
            <v>1.9999999920083944E-12</v>
          </cell>
        </row>
        <row r="17">
          <cell r="C17">
            <v>38</v>
          </cell>
          <cell r="L17">
            <v>0</v>
          </cell>
        </row>
        <row r="18">
          <cell r="C18">
            <v>38</v>
          </cell>
          <cell r="L18">
            <v>0</v>
          </cell>
        </row>
        <row r="19">
          <cell r="C19">
            <v>40.5</v>
          </cell>
          <cell r="L19">
            <v>1.9999999920083944E-12</v>
          </cell>
        </row>
        <row r="20">
          <cell r="C20">
            <v>40.5</v>
          </cell>
          <cell r="L20">
            <v>0</v>
          </cell>
        </row>
        <row r="21">
          <cell r="C21">
            <v>40.5</v>
          </cell>
          <cell r="L21">
            <v>3.9999999840167888E-12</v>
          </cell>
        </row>
        <row r="22">
          <cell r="C22">
            <v>40.5</v>
          </cell>
          <cell r="L22">
            <v>3.9999999840167888E-12</v>
          </cell>
        </row>
        <row r="23">
          <cell r="C23">
            <v>40.5</v>
          </cell>
          <cell r="L23">
            <v>3.9999999840167888E-12</v>
          </cell>
        </row>
        <row r="24">
          <cell r="C24">
            <v>38</v>
          </cell>
          <cell r="L24">
            <v>0</v>
          </cell>
        </row>
        <row r="25">
          <cell r="C25">
            <v>38</v>
          </cell>
          <cell r="L25">
            <v>0</v>
          </cell>
        </row>
        <row r="26">
          <cell r="C26">
            <v>40.5</v>
          </cell>
          <cell r="L26">
            <v>3.9999999840167888E-12</v>
          </cell>
        </row>
        <row r="27">
          <cell r="C27">
            <v>40.5</v>
          </cell>
          <cell r="L27">
            <v>3.9999999840167888E-12</v>
          </cell>
        </row>
        <row r="28">
          <cell r="C28">
            <v>40.5</v>
          </cell>
          <cell r="L28">
            <v>3.9999999840167888E-12</v>
          </cell>
        </row>
        <row r="29">
          <cell r="C29">
            <v>40.5</v>
          </cell>
          <cell r="L29">
            <v>3.9999999840167888E-12</v>
          </cell>
        </row>
        <row r="30">
          <cell r="C30">
            <v>40.5</v>
          </cell>
          <cell r="L30">
            <v>3.9999999840167888E-12</v>
          </cell>
        </row>
        <row r="31">
          <cell r="C31">
            <v>38</v>
          </cell>
          <cell r="L31">
            <v>0</v>
          </cell>
        </row>
        <row r="32">
          <cell r="C32">
            <v>38</v>
          </cell>
          <cell r="L32">
            <v>0</v>
          </cell>
        </row>
        <row r="33">
          <cell r="C33">
            <v>41</v>
          </cell>
          <cell r="L33">
            <v>-18276.25</v>
          </cell>
        </row>
        <row r="34">
          <cell r="C34">
            <v>41</v>
          </cell>
          <cell r="L34">
            <v>0</v>
          </cell>
        </row>
        <row r="35">
          <cell r="C35">
            <v>41</v>
          </cell>
          <cell r="L35">
            <v>-16640.228515625</v>
          </cell>
        </row>
        <row r="36">
          <cell r="C36">
            <v>41</v>
          </cell>
          <cell r="L36">
            <v>-15801.603515625</v>
          </cell>
        </row>
        <row r="37">
          <cell r="C37">
            <v>47</v>
          </cell>
          <cell r="L37">
            <v>-3.9999999840167888E-11</v>
          </cell>
        </row>
        <row r="38">
          <cell r="C38">
            <v>47</v>
          </cell>
          <cell r="L38">
            <v>3.9999999840167888E-11</v>
          </cell>
        </row>
        <row r="39">
          <cell r="C39">
            <v>41.5</v>
          </cell>
          <cell r="L39">
            <v>1.9999999920083944E-11</v>
          </cell>
        </row>
        <row r="40">
          <cell r="C40">
            <v>40.5</v>
          </cell>
          <cell r="L40">
            <v>3.9999999840167888E-11</v>
          </cell>
        </row>
        <row r="41">
          <cell r="C41">
            <v>43</v>
          </cell>
          <cell r="L41">
            <v>17135.123046875</v>
          </cell>
        </row>
        <row r="42">
          <cell r="C42">
            <v>52</v>
          </cell>
          <cell r="L42">
            <v>31058.5859375</v>
          </cell>
        </row>
        <row r="43">
          <cell r="C43">
            <v>74</v>
          </cell>
          <cell r="L43">
            <v>-17029.357421875</v>
          </cell>
        </row>
        <row r="44">
          <cell r="C44">
            <v>74</v>
          </cell>
          <cell r="L44">
            <v>-16970.353515625</v>
          </cell>
        </row>
        <row r="45">
          <cell r="C45">
            <v>40.75</v>
          </cell>
          <cell r="L45">
            <v>1.9999999920083944E-11</v>
          </cell>
        </row>
        <row r="46">
          <cell r="C46">
            <v>40.75</v>
          </cell>
          <cell r="L46">
            <v>-17626.017578125</v>
          </cell>
        </row>
        <row r="47">
          <cell r="C47">
            <v>40.75</v>
          </cell>
          <cell r="L47">
            <v>-15275.8505859375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4">
        <row r="3">
          <cell r="C3">
            <v>42</v>
          </cell>
          <cell r="L3">
            <v>0</v>
          </cell>
        </row>
        <row r="4">
          <cell r="C4">
            <v>42</v>
          </cell>
          <cell r="L4">
            <v>0</v>
          </cell>
        </row>
        <row r="5">
          <cell r="C5">
            <v>42</v>
          </cell>
          <cell r="L5">
            <v>0</v>
          </cell>
        </row>
        <row r="6">
          <cell r="C6">
            <v>48.25</v>
          </cell>
          <cell r="L6">
            <v>1195.727294921875</v>
          </cell>
        </row>
        <row r="7">
          <cell r="C7">
            <v>48.25</v>
          </cell>
          <cell r="L7">
            <v>1195.727294921875</v>
          </cell>
        </row>
        <row r="8">
          <cell r="C8">
            <v>48.25</v>
          </cell>
          <cell r="L8">
            <v>1195.727294921875</v>
          </cell>
        </row>
        <row r="9">
          <cell r="C9">
            <v>48.25</v>
          </cell>
          <cell r="L9">
            <v>1195.727294921875</v>
          </cell>
        </row>
        <row r="10">
          <cell r="C10">
            <v>42</v>
          </cell>
          <cell r="L10">
            <v>0</v>
          </cell>
        </row>
        <row r="11">
          <cell r="C11">
            <v>42</v>
          </cell>
          <cell r="L11">
            <v>0</v>
          </cell>
        </row>
        <row r="12">
          <cell r="C12">
            <v>45.75</v>
          </cell>
          <cell r="L12">
            <v>1195.727294921875</v>
          </cell>
        </row>
        <row r="13">
          <cell r="C13">
            <v>45.75</v>
          </cell>
          <cell r="L13">
            <v>1195.727294921875</v>
          </cell>
        </row>
        <row r="14">
          <cell r="C14">
            <v>45.75</v>
          </cell>
          <cell r="L14">
            <v>1195.727294921875</v>
          </cell>
        </row>
        <row r="15">
          <cell r="C15">
            <v>45.75</v>
          </cell>
          <cell r="L15">
            <v>1195.727294921875</v>
          </cell>
        </row>
        <row r="16">
          <cell r="C16">
            <v>45.75</v>
          </cell>
          <cell r="L16">
            <v>1195.727294921875</v>
          </cell>
        </row>
        <row r="17">
          <cell r="C17">
            <v>42</v>
          </cell>
          <cell r="L17">
            <v>0</v>
          </cell>
        </row>
        <row r="18">
          <cell r="C18">
            <v>42</v>
          </cell>
          <cell r="L18">
            <v>0</v>
          </cell>
        </row>
        <row r="19">
          <cell r="C19">
            <v>45.75</v>
          </cell>
          <cell r="L19">
            <v>1195.727294921875</v>
          </cell>
        </row>
        <row r="20">
          <cell r="C20">
            <v>45.75</v>
          </cell>
          <cell r="L20">
            <v>1195.727294921875</v>
          </cell>
        </row>
        <row r="21">
          <cell r="C21">
            <v>45.75</v>
          </cell>
          <cell r="L21">
            <v>1195.727294921875</v>
          </cell>
        </row>
        <row r="22">
          <cell r="C22">
            <v>45.75</v>
          </cell>
          <cell r="L22">
            <v>1195.727294921875</v>
          </cell>
        </row>
        <row r="23">
          <cell r="C23">
            <v>45.75</v>
          </cell>
          <cell r="L23">
            <v>1195.727294921875</v>
          </cell>
        </row>
        <row r="24">
          <cell r="C24">
            <v>42</v>
          </cell>
          <cell r="L24">
            <v>0</v>
          </cell>
        </row>
        <row r="25">
          <cell r="C25">
            <v>42</v>
          </cell>
          <cell r="L25">
            <v>0</v>
          </cell>
        </row>
        <row r="26">
          <cell r="C26">
            <v>45.75</v>
          </cell>
          <cell r="L26">
            <v>1195.727294921875</v>
          </cell>
        </row>
        <row r="27">
          <cell r="C27">
            <v>45.75</v>
          </cell>
          <cell r="L27">
            <v>1195.727294921875</v>
          </cell>
        </row>
        <row r="28">
          <cell r="C28">
            <v>45.75</v>
          </cell>
          <cell r="L28">
            <v>1195.727294921875</v>
          </cell>
        </row>
        <row r="29">
          <cell r="C29">
            <v>45.75</v>
          </cell>
          <cell r="L29">
            <v>1195.727294921875</v>
          </cell>
        </row>
        <row r="30">
          <cell r="C30">
            <v>45.75</v>
          </cell>
          <cell r="L30">
            <v>1195.727294921875</v>
          </cell>
        </row>
        <row r="31">
          <cell r="C31">
            <v>47</v>
          </cell>
          <cell r="L31">
            <v>0</v>
          </cell>
        </row>
        <row r="32">
          <cell r="C32">
            <v>47</v>
          </cell>
          <cell r="L32">
            <v>0</v>
          </cell>
        </row>
        <row r="33">
          <cell r="C33">
            <v>45.75</v>
          </cell>
          <cell r="L33">
            <v>18276.25</v>
          </cell>
        </row>
        <row r="34">
          <cell r="C34">
            <v>45.75</v>
          </cell>
          <cell r="L34">
            <v>0</v>
          </cell>
        </row>
        <row r="35">
          <cell r="C35">
            <v>45.75</v>
          </cell>
          <cell r="L35">
            <v>16640.228515625</v>
          </cell>
        </row>
        <row r="36">
          <cell r="C36">
            <v>45.75</v>
          </cell>
          <cell r="L36">
            <v>15801.603515625</v>
          </cell>
        </row>
        <row r="37">
          <cell r="C37">
            <v>56</v>
          </cell>
          <cell r="L37">
            <v>0</v>
          </cell>
        </row>
        <row r="38">
          <cell r="C38">
            <v>56</v>
          </cell>
          <cell r="L38">
            <v>0</v>
          </cell>
        </row>
        <row r="39">
          <cell r="C39">
            <v>44</v>
          </cell>
          <cell r="L39">
            <v>0</v>
          </cell>
        </row>
        <row r="40">
          <cell r="C40">
            <v>44</v>
          </cell>
          <cell r="L40">
            <v>0</v>
          </cell>
        </row>
        <row r="41">
          <cell r="C41">
            <v>49</v>
          </cell>
          <cell r="L41">
            <v>0</v>
          </cell>
        </row>
        <row r="42">
          <cell r="C42">
            <v>58</v>
          </cell>
          <cell r="L42">
            <v>0</v>
          </cell>
        </row>
        <row r="43">
          <cell r="C43">
            <v>85.5</v>
          </cell>
          <cell r="L43">
            <v>0</v>
          </cell>
        </row>
        <row r="44">
          <cell r="C44">
            <v>85.5</v>
          </cell>
          <cell r="L44">
            <v>0</v>
          </cell>
        </row>
        <row r="45">
          <cell r="C45">
            <v>48.5</v>
          </cell>
          <cell r="L45">
            <v>0</v>
          </cell>
        </row>
        <row r="46">
          <cell r="C46">
            <v>47.5</v>
          </cell>
          <cell r="L46">
            <v>0</v>
          </cell>
        </row>
        <row r="47">
          <cell r="C47">
            <v>47.5</v>
          </cell>
        </row>
      </sheetData>
      <sheetData sheetId="5">
        <row r="3">
          <cell r="C3">
            <v>32</v>
          </cell>
          <cell r="L3">
            <v>0</v>
          </cell>
        </row>
        <row r="4">
          <cell r="C4">
            <v>32</v>
          </cell>
          <cell r="L4">
            <v>0</v>
          </cell>
        </row>
        <row r="5">
          <cell r="C5">
            <v>32</v>
          </cell>
          <cell r="L5">
            <v>0</v>
          </cell>
        </row>
        <row r="6">
          <cell r="C6">
            <v>44.5</v>
          </cell>
          <cell r="L6">
            <v>2387.97314453125</v>
          </cell>
        </row>
        <row r="7">
          <cell r="C7">
            <v>44.5</v>
          </cell>
          <cell r="L7">
            <v>2387.97314453125</v>
          </cell>
        </row>
        <row r="8">
          <cell r="C8">
            <v>44.5</v>
          </cell>
          <cell r="L8">
            <v>2387.97314453125</v>
          </cell>
        </row>
        <row r="9">
          <cell r="C9">
            <v>44.5</v>
          </cell>
          <cell r="L9">
            <v>2387.97314453125</v>
          </cell>
        </row>
        <row r="10">
          <cell r="C10">
            <v>30</v>
          </cell>
          <cell r="L10">
            <v>0</v>
          </cell>
        </row>
        <row r="11">
          <cell r="C11">
            <v>30</v>
          </cell>
          <cell r="L11">
            <v>0</v>
          </cell>
        </row>
        <row r="12">
          <cell r="C12">
            <v>40.5</v>
          </cell>
          <cell r="L12">
            <v>-3183.964111328125</v>
          </cell>
        </row>
        <row r="13">
          <cell r="C13">
            <v>40.5</v>
          </cell>
          <cell r="L13">
            <v>-3183.964111328125</v>
          </cell>
        </row>
        <row r="14">
          <cell r="C14">
            <v>40.5</v>
          </cell>
          <cell r="L14">
            <v>-3183.964111328125</v>
          </cell>
        </row>
        <row r="15">
          <cell r="C15">
            <v>40.5</v>
          </cell>
          <cell r="L15">
            <v>-3183.964111328125</v>
          </cell>
        </row>
        <row r="16">
          <cell r="C16">
            <v>40.5</v>
          </cell>
          <cell r="L16">
            <v>-3183.964111328125</v>
          </cell>
        </row>
        <row r="17">
          <cell r="C17">
            <v>35</v>
          </cell>
          <cell r="L17">
            <v>0</v>
          </cell>
        </row>
        <row r="18">
          <cell r="C18">
            <v>35</v>
          </cell>
          <cell r="L18">
            <v>0</v>
          </cell>
        </row>
        <row r="19">
          <cell r="C19">
            <v>39</v>
          </cell>
          <cell r="L19">
            <v>-3183.964111328125</v>
          </cell>
        </row>
        <row r="20">
          <cell r="C20">
            <v>39</v>
          </cell>
          <cell r="L20">
            <v>-3183.964111328125</v>
          </cell>
        </row>
        <row r="21">
          <cell r="C21">
            <v>39</v>
          </cell>
          <cell r="L21">
            <v>-3183.964111328125</v>
          </cell>
        </row>
        <row r="22">
          <cell r="C22">
            <v>39</v>
          </cell>
          <cell r="L22">
            <v>-3183.964111328125</v>
          </cell>
        </row>
        <row r="23">
          <cell r="C23">
            <v>39</v>
          </cell>
          <cell r="L23">
            <v>-3183.964111328125</v>
          </cell>
        </row>
        <row r="24">
          <cell r="C24">
            <v>35</v>
          </cell>
          <cell r="L24">
            <v>0</v>
          </cell>
        </row>
        <row r="25">
          <cell r="C25">
            <v>35</v>
          </cell>
          <cell r="L25">
            <v>0</v>
          </cell>
        </row>
        <row r="26">
          <cell r="C26">
            <v>38</v>
          </cell>
          <cell r="L26">
            <v>-3183.964111328125</v>
          </cell>
        </row>
        <row r="27">
          <cell r="C27">
            <v>38</v>
          </cell>
          <cell r="L27">
            <v>-3183.964111328125</v>
          </cell>
        </row>
        <row r="28">
          <cell r="C28">
            <v>38</v>
          </cell>
          <cell r="L28">
            <v>-3183.964111328125</v>
          </cell>
        </row>
        <row r="29">
          <cell r="C29">
            <v>38</v>
          </cell>
          <cell r="L29">
            <v>-3183.964111328125</v>
          </cell>
        </row>
        <row r="30">
          <cell r="C30">
            <v>38</v>
          </cell>
          <cell r="L30">
            <v>-3183.964111328125</v>
          </cell>
        </row>
        <row r="31">
          <cell r="C31">
            <v>35</v>
          </cell>
          <cell r="L31">
            <v>0</v>
          </cell>
        </row>
        <row r="32">
          <cell r="C32">
            <v>35</v>
          </cell>
          <cell r="L32">
            <v>0</v>
          </cell>
        </row>
        <row r="33">
          <cell r="C33">
            <v>38</v>
          </cell>
          <cell r="L33">
            <v>0</v>
          </cell>
        </row>
        <row r="34">
          <cell r="C34">
            <v>38</v>
          </cell>
          <cell r="L34">
            <v>0</v>
          </cell>
        </row>
        <row r="35">
          <cell r="C35">
            <v>39</v>
          </cell>
        </row>
        <row r="36">
          <cell r="C36">
            <v>41.5</v>
          </cell>
          <cell r="L36">
            <v>0</v>
          </cell>
        </row>
        <row r="37">
          <cell r="C37">
            <v>45.5</v>
          </cell>
          <cell r="L37">
            <v>0</v>
          </cell>
        </row>
        <row r="38">
          <cell r="C38">
            <v>45.5</v>
          </cell>
          <cell r="L38">
            <v>0</v>
          </cell>
        </row>
        <row r="39">
          <cell r="C39">
            <v>36.75</v>
          </cell>
          <cell r="L39">
            <v>0</v>
          </cell>
        </row>
        <row r="40">
          <cell r="C40">
            <v>36.75</v>
          </cell>
          <cell r="L40">
            <v>0</v>
          </cell>
        </row>
        <row r="41">
          <cell r="C41">
            <v>37</v>
          </cell>
          <cell r="L41">
            <v>0</v>
          </cell>
        </row>
        <row r="42">
          <cell r="C42">
            <v>44.75</v>
          </cell>
          <cell r="L42">
            <v>0</v>
          </cell>
        </row>
        <row r="43">
          <cell r="C43">
            <v>58.5</v>
          </cell>
          <cell r="L43">
            <v>0</v>
          </cell>
        </row>
        <row r="44">
          <cell r="C44">
            <v>58.5</v>
          </cell>
          <cell r="L44">
            <v>0</v>
          </cell>
        </row>
        <row r="45">
          <cell r="C45">
            <v>36.25</v>
          </cell>
          <cell r="L45">
            <v>0</v>
          </cell>
        </row>
        <row r="46">
          <cell r="C46">
            <v>34.75</v>
          </cell>
          <cell r="L46">
            <v>0</v>
          </cell>
        </row>
        <row r="47">
          <cell r="C47">
            <v>34.75</v>
          </cell>
          <cell r="L47">
            <v>0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7">
        <row r="3">
          <cell r="C3">
            <v>24.5</v>
          </cell>
          <cell r="L3">
            <v>0</v>
          </cell>
        </row>
        <row r="4">
          <cell r="C4">
            <v>24.5</v>
          </cell>
          <cell r="L4">
            <v>0</v>
          </cell>
        </row>
        <row r="5">
          <cell r="C5">
            <v>24.499998092651367</v>
          </cell>
          <cell r="L5">
            <v>0</v>
          </cell>
        </row>
        <row r="6">
          <cell r="C6">
            <v>38.849994659423828</v>
          </cell>
          <cell r="L6">
            <v>2387.97314453125</v>
          </cell>
        </row>
        <row r="7">
          <cell r="C7">
            <v>38.849994659423828</v>
          </cell>
          <cell r="L7">
            <v>2387.97314453125</v>
          </cell>
        </row>
        <row r="8">
          <cell r="C8">
            <v>38.849994659423828</v>
          </cell>
          <cell r="L8">
            <v>2387.97314453125</v>
          </cell>
        </row>
        <row r="9">
          <cell r="C9">
            <v>38.849998474121094</v>
          </cell>
          <cell r="L9">
            <v>2387.97314453125</v>
          </cell>
        </row>
        <row r="10">
          <cell r="C10">
            <v>25</v>
          </cell>
          <cell r="L10">
            <v>0</v>
          </cell>
        </row>
        <row r="11">
          <cell r="C11">
            <v>25</v>
          </cell>
          <cell r="L11">
            <v>0</v>
          </cell>
        </row>
        <row r="12">
          <cell r="C12">
            <v>34.250003814697266</v>
          </cell>
          <cell r="L12">
            <v>-4.999999980020986E-12</v>
          </cell>
        </row>
        <row r="13">
          <cell r="C13">
            <v>34.250003814697266</v>
          </cell>
          <cell r="L13">
            <v>-1.1999999952050366E-11</v>
          </cell>
        </row>
        <row r="14">
          <cell r="C14">
            <v>34.250003814697266</v>
          </cell>
          <cell r="L14">
            <v>4.999999980020986E-12</v>
          </cell>
        </row>
        <row r="15">
          <cell r="C15">
            <v>34.250003814697266</v>
          </cell>
          <cell r="L15">
            <v>-4.999999980020986E-12</v>
          </cell>
        </row>
        <row r="16">
          <cell r="C16">
            <v>34.250003814697266</v>
          </cell>
          <cell r="L16">
            <v>-4.999999980020986E-12</v>
          </cell>
        </row>
        <row r="17">
          <cell r="C17">
            <v>25.000001907348633</v>
          </cell>
          <cell r="L17">
            <v>0</v>
          </cell>
        </row>
        <row r="18">
          <cell r="C18">
            <v>25.000003814697266</v>
          </cell>
          <cell r="L18">
            <v>0</v>
          </cell>
        </row>
        <row r="19">
          <cell r="C19">
            <v>29.700002670288086</v>
          </cell>
          <cell r="L19">
            <v>-4.999999980020986E-12</v>
          </cell>
        </row>
        <row r="20">
          <cell r="C20">
            <v>29.700002670288086</v>
          </cell>
          <cell r="L20">
            <v>-4.999999980020986E-12</v>
          </cell>
        </row>
        <row r="21">
          <cell r="C21">
            <v>29.700002670288086</v>
          </cell>
          <cell r="L21">
            <v>-1.1999999952050366E-11</v>
          </cell>
        </row>
        <row r="22">
          <cell r="C22">
            <v>29.700002670288086</v>
          </cell>
          <cell r="L22">
            <v>-1.1999999952050366E-11</v>
          </cell>
        </row>
        <row r="23">
          <cell r="C23">
            <v>29.700002670288086</v>
          </cell>
          <cell r="L23">
            <v>-1.9999999920083944E-12</v>
          </cell>
        </row>
        <row r="24">
          <cell r="C24">
            <v>25.000001907348633</v>
          </cell>
          <cell r="L24">
            <v>0</v>
          </cell>
        </row>
        <row r="25">
          <cell r="C25">
            <v>25.000001907348633</v>
          </cell>
          <cell r="L25">
            <v>0</v>
          </cell>
        </row>
        <row r="26">
          <cell r="C26">
            <v>29.800003051757813</v>
          </cell>
          <cell r="L26">
            <v>-1.9999999920083944E-12</v>
          </cell>
        </row>
        <row r="27">
          <cell r="C27">
            <v>29.800003051757813</v>
          </cell>
          <cell r="L27">
            <v>-1.9999999920083944E-12</v>
          </cell>
        </row>
        <row r="28">
          <cell r="C28">
            <v>29.800003051757813</v>
          </cell>
          <cell r="L28">
            <v>-1.9999999920083944E-12</v>
          </cell>
        </row>
        <row r="29">
          <cell r="C29">
            <v>29.800003051757813</v>
          </cell>
          <cell r="L29">
            <v>-1.9999999920083944E-12</v>
          </cell>
        </row>
        <row r="30">
          <cell r="C30">
            <v>29.800003051757813</v>
          </cell>
          <cell r="L30">
            <v>-1.9999999920083944E-12</v>
          </cell>
        </row>
        <row r="31">
          <cell r="C31">
            <v>25.000001907348633</v>
          </cell>
          <cell r="L31">
            <v>0</v>
          </cell>
        </row>
        <row r="32">
          <cell r="C32">
            <v>25.000001907348633</v>
          </cell>
          <cell r="L32">
            <v>0</v>
          </cell>
        </row>
        <row r="33">
          <cell r="C33">
            <v>29.350000381469727</v>
          </cell>
          <cell r="L33">
            <v>-18253.826171875</v>
          </cell>
        </row>
        <row r="34">
          <cell r="C34">
            <v>29.350000381469727</v>
          </cell>
          <cell r="L34">
            <v>0</v>
          </cell>
        </row>
        <row r="35">
          <cell r="C35">
            <v>28.5</v>
          </cell>
          <cell r="L35">
            <v>-16620.55078125</v>
          </cell>
        </row>
        <row r="36">
          <cell r="C36">
            <v>31.75</v>
          </cell>
          <cell r="L36">
            <v>-15783.7373046875</v>
          </cell>
        </row>
        <row r="37">
          <cell r="C37">
            <v>35.5</v>
          </cell>
          <cell r="L37">
            <v>-51934.80078125</v>
          </cell>
        </row>
        <row r="38">
          <cell r="C38">
            <v>35.5</v>
          </cell>
          <cell r="L38">
            <v>-47088.9375</v>
          </cell>
        </row>
        <row r="39">
          <cell r="C39">
            <v>32.25</v>
          </cell>
          <cell r="L39">
            <v>0</v>
          </cell>
        </row>
        <row r="40">
          <cell r="C40">
            <v>31.5</v>
          </cell>
          <cell r="L40">
            <v>0</v>
          </cell>
        </row>
        <row r="41">
          <cell r="C41">
            <v>33.5</v>
          </cell>
          <cell r="L41">
            <v>-34226.25390625</v>
          </cell>
        </row>
        <row r="42">
          <cell r="C42">
            <v>44.25</v>
          </cell>
          <cell r="L42">
            <v>-15510.1259765625</v>
          </cell>
        </row>
        <row r="43">
          <cell r="C43">
            <v>59.75</v>
          </cell>
          <cell r="L43">
            <v>-85031.4453125</v>
          </cell>
        </row>
        <row r="44">
          <cell r="C44">
            <v>59.75</v>
          </cell>
          <cell r="L44">
            <v>-84751.3046875</v>
          </cell>
        </row>
        <row r="45">
          <cell r="C45">
            <v>31.5</v>
          </cell>
          <cell r="L45">
            <v>0</v>
          </cell>
        </row>
        <row r="46">
          <cell r="C46">
            <v>31.25</v>
          </cell>
          <cell r="L46">
            <v>0</v>
          </cell>
        </row>
        <row r="47">
          <cell r="C47">
            <v>31.25</v>
          </cell>
          <cell r="L47">
            <v>0</v>
          </cell>
        </row>
      </sheetData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"/>
      <sheetName val="Total"/>
      <sheetName val="Master"/>
      <sheetName val="TradeSum"/>
      <sheetName val="GencoPosn"/>
      <sheetName val="NYMEX"/>
      <sheetName val="OthNewDeals"/>
      <sheetName val="NymexData"/>
      <sheetName val="Interest"/>
      <sheetName val="FuturesPosn"/>
      <sheetName val="EOL LINKS"/>
      <sheetName val="Cd"/>
      <sheetName val="Module1"/>
      <sheetName val="Module2"/>
      <sheetName val="MWSUM"/>
      <sheetName val="Sheet1"/>
    </sheetNames>
    <sheetDataSet>
      <sheetData sheetId="0"/>
      <sheetData sheetId="1"/>
      <sheetData sheetId="2"/>
      <sheetData sheetId="3">
        <row r="2">
          <cell r="B2">
            <v>37113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abSelected="1" workbookViewId="0">
      <selection activeCell="C10" sqref="B8:C10"/>
    </sheetView>
  </sheetViews>
  <sheetFormatPr defaultRowHeight="12.75" x14ac:dyDescent="0.2"/>
  <cols>
    <col min="1" max="1" width="9.7109375" bestFit="1" customWidth="1"/>
    <col min="2" max="2" width="11" customWidth="1"/>
    <col min="3" max="3" width="9.85546875" bestFit="1" customWidth="1"/>
    <col min="4" max="4" width="1.42578125" style="488" customWidth="1"/>
    <col min="5" max="5" width="16.28515625" style="497" bestFit="1" customWidth="1"/>
    <col min="6" max="6" width="27.42578125" bestFit="1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479" t="s">
        <v>124</v>
      </c>
      <c r="B1" s="479" t="s">
        <v>125</v>
      </c>
      <c r="C1" s="479" t="s">
        <v>126</v>
      </c>
      <c r="D1" s="480"/>
      <c r="E1" s="481" t="s">
        <v>127</v>
      </c>
      <c r="F1" s="482" t="s">
        <v>128</v>
      </c>
      <c r="G1" s="483">
        <v>14</v>
      </c>
      <c r="H1" s="484" t="s">
        <v>129</v>
      </c>
      <c r="J1" s="485" t="s">
        <v>130</v>
      </c>
      <c r="K1" s="485" t="s">
        <v>131</v>
      </c>
      <c r="L1" s="485" t="s">
        <v>132</v>
      </c>
      <c r="M1" s="485" t="s">
        <v>133</v>
      </c>
    </row>
    <row r="2" spans="1:13" ht="13.5" thickBot="1" x14ac:dyDescent="0.25">
      <c r="A2" s="486">
        <v>30187</v>
      </c>
      <c r="B2" s="487">
        <v>34.65</v>
      </c>
      <c r="C2" s="487">
        <v>35.15</v>
      </c>
      <c r="D2" s="488">
        <v>988116575035</v>
      </c>
      <c r="E2" s="489">
        <v>37134.543414351851</v>
      </c>
      <c r="F2" s="490" t="s">
        <v>139</v>
      </c>
      <c r="H2" s="491" t="s">
        <v>135</v>
      </c>
      <c r="I2" s="492">
        <f>+(C3+B3)/(C11+B11)*1000</f>
        <v>16866.158868335144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486">
        <v>30188</v>
      </c>
      <c r="B3" s="487">
        <v>38.25</v>
      </c>
      <c r="C3" s="487">
        <v>39.25</v>
      </c>
      <c r="D3" s="488">
        <v>988040938678</v>
      </c>
      <c r="E3" s="489">
        <v>37134.534618055557</v>
      </c>
      <c r="F3" s="493" t="s">
        <v>140</v>
      </c>
      <c r="H3" s="491" t="s">
        <v>136</v>
      </c>
      <c r="I3" s="492">
        <f>+(C18+B18)/(C10+B10)*1000</f>
        <v>1108.28025477707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486">
        <v>30190</v>
      </c>
      <c r="B4" s="487">
        <v>33.65</v>
      </c>
      <c r="C4" s="487">
        <v>34.65</v>
      </c>
      <c r="E4" s="489">
        <v>37134.534861111111</v>
      </c>
      <c r="F4" s="493" t="s">
        <v>157</v>
      </c>
      <c r="H4" s="491"/>
      <c r="I4" s="492"/>
    </row>
    <row r="5" spans="1:13" ht="13.5" thickBot="1" x14ac:dyDescent="0.25">
      <c r="A5" s="486">
        <v>30192</v>
      </c>
      <c r="B5" s="487">
        <v>35.4</v>
      </c>
      <c r="C5" s="487">
        <v>36.4</v>
      </c>
      <c r="E5" s="489">
        <v>37134.534710648149</v>
      </c>
      <c r="F5" s="493" t="s">
        <v>158</v>
      </c>
      <c r="H5" s="491"/>
      <c r="I5" s="492"/>
    </row>
    <row r="6" spans="1:13" ht="13.5" thickBot="1" x14ac:dyDescent="0.25">
      <c r="A6" s="486">
        <v>30193</v>
      </c>
      <c r="B6" s="487">
        <v>43.2</v>
      </c>
      <c r="C6" s="487">
        <v>44.2</v>
      </c>
      <c r="E6" s="489">
        <v>37134.534722222219</v>
      </c>
      <c r="F6" s="493" t="s">
        <v>156</v>
      </c>
      <c r="H6" s="491"/>
      <c r="I6" s="492"/>
    </row>
    <row r="7" spans="1:13" ht="13.5" thickBot="1" x14ac:dyDescent="0.25">
      <c r="A7" s="486">
        <v>30194</v>
      </c>
      <c r="B7" s="487">
        <v>56.75</v>
      </c>
      <c r="C7" s="487">
        <v>58.25</v>
      </c>
      <c r="D7" s="488">
        <v>988117645653</v>
      </c>
      <c r="E7" s="489">
        <v>37134.544062499997</v>
      </c>
      <c r="F7" s="490" t="s">
        <v>141</v>
      </c>
      <c r="H7" s="491" t="s">
        <v>137</v>
      </c>
      <c r="I7" s="492">
        <f>+(C9+B9)/(C7+B7)*1000</f>
        <v>602.60869565217388</v>
      </c>
      <c r="J7">
        <v>9134</v>
      </c>
      <c r="K7">
        <v>9354</v>
      </c>
      <c r="L7">
        <v>2</v>
      </c>
      <c r="M7">
        <v>4</v>
      </c>
    </row>
    <row r="8" spans="1:13" ht="13.5" thickBot="1" x14ac:dyDescent="0.25">
      <c r="A8" s="486">
        <v>30195</v>
      </c>
      <c r="B8" s="487">
        <v>34.35</v>
      </c>
      <c r="C8" s="487">
        <v>35.35</v>
      </c>
      <c r="E8" s="489">
        <v>37134.534837962965</v>
      </c>
      <c r="F8" s="493" t="s">
        <v>155</v>
      </c>
      <c r="H8" s="495"/>
      <c r="I8" s="492"/>
    </row>
    <row r="9" spans="1:13" ht="13.5" thickBot="1" x14ac:dyDescent="0.25">
      <c r="A9" s="486">
        <v>30196</v>
      </c>
      <c r="B9" s="487">
        <v>34.15</v>
      </c>
      <c r="C9" s="487">
        <v>35.15</v>
      </c>
      <c r="E9" s="489">
        <v>37134.544027777774</v>
      </c>
      <c r="F9" s="490" t="s">
        <v>142</v>
      </c>
      <c r="H9" s="494" t="s">
        <v>138</v>
      </c>
      <c r="I9" s="492">
        <f>+(C16+B16)/(C7+B7)*1000</f>
        <v>62.695652173913039</v>
      </c>
      <c r="J9">
        <v>8739</v>
      </c>
      <c r="K9">
        <v>8739</v>
      </c>
    </row>
    <row r="10" spans="1:13" ht="13.5" thickBot="1" x14ac:dyDescent="0.25">
      <c r="A10" s="486">
        <v>32930</v>
      </c>
      <c r="B10" s="487">
        <v>38.75</v>
      </c>
      <c r="C10" s="487">
        <v>39.75</v>
      </c>
      <c r="D10" s="488">
        <v>988054237081</v>
      </c>
      <c r="E10" s="489">
        <v>37134.421886574077</v>
      </c>
      <c r="F10" s="490" t="s">
        <v>143</v>
      </c>
      <c r="H10" s="495" t="s">
        <v>134</v>
      </c>
      <c r="I10" s="492">
        <f>+(C2+B2)/(C10+B10)*1000</f>
        <v>889.17197452229289</v>
      </c>
      <c r="J10">
        <v>8739</v>
      </c>
      <c r="K10">
        <v>8739</v>
      </c>
    </row>
    <row r="11" spans="1:13" ht="13.5" thickBot="1" x14ac:dyDescent="0.25">
      <c r="A11" s="486">
        <v>49613</v>
      </c>
      <c r="B11" s="498">
        <v>2.29</v>
      </c>
      <c r="C11" s="498">
        <v>2.3050000000000002</v>
      </c>
      <c r="D11" s="488">
        <v>988117673560</v>
      </c>
      <c r="E11" s="489">
        <v>37132.597685185188</v>
      </c>
      <c r="F11" s="490" t="s">
        <v>144</v>
      </c>
      <c r="H11" s="496">
        <v>37043</v>
      </c>
      <c r="I11" s="492">
        <f>+(C2+B2)/(C7+B7)*1000</f>
        <v>606.95652173913038</v>
      </c>
    </row>
    <row r="12" spans="1:13" x14ac:dyDescent="0.2">
      <c r="A12" s="486">
        <v>49615</v>
      </c>
      <c r="B12" s="498">
        <v>2.4</v>
      </c>
      <c r="C12" s="498">
        <v>2.41</v>
      </c>
      <c r="D12" s="488">
        <v>988117189925</v>
      </c>
      <c r="E12" s="489">
        <v>37134.623854166668</v>
      </c>
      <c r="F12" s="490" t="s">
        <v>145</v>
      </c>
    </row>
    <row r="13" spans="1:13" x14ac:dyDescent="0.2">
      <c r="A13" s="486">
        <v>49617</v>
      </c>
      <c r="B13" s="498">
        <v>2.73</v>
      </c>
      <c r="C13" s="498">
        <v>2.7425000000000002</v>
      </c>
      <c r="D13" s="488">
        <v>988116717414</v>
      </c>
      <c r="E13" s="489">
        <v>37134.623854166668</v>
      </c>
      <c r="F13" s="490" t="s">
        <v>146</v>
      </c>
    </row>
    <row r="14" spans="1:13" x14ac:dyDescent="0.2">
      <c r="A14" s="486">
        <v>35353</v>
      </c>
      <c r="B14" s="498">
        <v>3.0649999999999999</v>
      </c>
      <c r="C14" s="498">
        <v>3.0750000000000002</v>
      </c>
      <c r="D14" s="488">
        <v>988117635766</v>
      </c>
      <c r="E14" s="489">
        <v>37134.612824074073</v>
      </c>
      <c r="F14" s="490" t="s">
        <v>147</v>
      </c>
    </row>
    <row r="15" spans="1:13" x14ac:dyDescent="0.2">
      <c r="A15" s="486">
        <v>48724</v>
      </c>
      <c r="B15" s="498">
        <v>3.19</v>
      </c>
      <c r="C15" s="498">
        <v>3.2050000000000001</v>
      </c>
      <c r="D15" s="488">
        <v>988117122150</v>
      </c>
      <c r="E15" s="489">
        <v>37134.537314814814</v>
      </c>
      <c r="F15" s="490" t="s">
        <v>148</v>
      </c>
    </row>
    <row r="16" spans="1:13" x14ac:dyDescent="0.2">
      <c r="A16" s="486">
        <v>54674</v>
      </c>
      <c r="B16" s="498">
        <v>3.6</v>
      </c>
      <c r="C16" s="498">
        <v>3.61</v>
      </c>
      <c r="E16" s="489">
        <v>37123.549861111111</v>
      </c>
      <c r="F16" s="493" t="s">
        <v>149</v>
      </c>
    </row>
    <row r="17" spans="1:6" x14ac:dyDescent="0.2">
      <c r="A17" s="486">
        <v>51173</v>
      </c>
      <c r="B17">
        <v>29</v>
      </c>
      <c r="C17">
        <v>30</v>
      </c>
      <c r="E17" s="489">
        <v>37040.406493055554</v>
      </c>
      <c r="F17" s="493" t="s">
        <v>150</v>
      </c>
    </row>
    <row r="18" spans="1:6" x14ac:dyDescent="0.2">
      <c r="A18" s="486">
        <v>32218</v>
      </c>
      <c r="B18">
        <v>43</v>
      </c>
      <c r="C18">
        <v>44</v>
      </c>
      <c r="E18" s="489">
        <v>37123.360474537039</v>
      </c>
      <c r="F18" s="490" t="s">
        <v>151</v>
      </c>
    </row>
    <row r="19" spans="1:6" x14ac:dyDescent="0.2">
      <c r="A19" s="486">
        <v>32219</v>
      </c>
      <c r="B19">
        <v>50.5</v>
      </c>
      <c r="C19">
        <v>51.5</v>
      </c>
      <c r="E19" s="489">
        <v>37123.361527777779</v>
      </c>
      <c r="F19" s="493" t="s">
        <v>152</v>
      </c>
    </row>
    <row r="20" spans="1:6" x14ac:dyDescent="0.2">
      <c r="A20" s="486">
        <v>32224</v>
      </c>
      <c r="B20">
        <v>52.5</v>
      </c>
      <c r="C20">
        <v>54</v>
      </c>
      <c r="E20" s="489">
        <v>37034.662534722222</v>
      </c>
      <c r="F20" s="490" t="s">
        <v>153</v>
      </c>
    </row>
    <row r="21" spans="1:6" x14ac:dyDescent="0.2">
      <c r="A21" s="486">
        <v>32226</v>
      </c>
      <c r="B21">
        <v>31.75</v>
      </c>
      <c r="C21">
        <v>32.75</v>
      </c>
      <c r="E21" s="489">
        <v>37034.662534722222</v>
      </c>
      <c r="F21" s="490" t="s">
        <v>154</v>
      </c>
    </row>
    <row r="22" spans="1:6" x14ac:dyDescent="0.2">
      <c r="A22" s="486">
        <v>3751</v>
      </c>
      <c r="B22">
        <v>31.75</v>
      </c>
      <c r="C22">
        <v>32.75</v>
      </c>
      <c r="E22" s="489">
        <v>37034.662534722222</v>
      </c>
      <c r="F22" s="490" t="s">
        <v>159</v>
      </c>
    </row>
    <row r="23" spans="1:6" x14ac:dyDescent="0.2">
      <c r="A23" s="486">
        <v>26117</v>
      </c>
      <c r="B23">
        <v>31.75</v>
      </c>
      <c r="C23">
        <v>32.75</v>
      </c>
      <c r="E23" s="489">
        <v>37034.662534722222</v>
      </c>
      <c r="F23" s="490" t="s">
        <v>160</v>
      </c>
    </row>
    <row r="24" spans="1:6" x14ac:dyDescent="0.2">
      <c r="A24" s="486">
        <v>48506</v>
      </c>
      <c r="B24">
        <v>31.75</v>
      </c>
      <c r="C24">
        <v>32.75</v>
      </c>
      <c r="E24" s="489">
        <v>37034.662534722222</v>
      </c>
      <c r="F24" s="490" t="s">
        <v>161</v>
      </c>
    </row>
    <row r="25" spans="1:6" x14ac:dyDescent="0.2">
      <c r="A25" s="486">
        <v>26116</v>
      </c>
      <c r="B25">
        <v>31.75</v>
      </c>
      <c r="C25">
        <v>32.75</v>
      </c>
      <c r="E25" s="489">
        <v>37034.662534722222</v>
      </c>
      <c r="F25" s="490" t="s">
        <v>162</v>
      </c>
    </row>
  </sheetData>
  <phoneticPr fontId="0" type="noConversion"/>
  <conditionalFormatting sqref="B2:C16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4"/>
  <sheetViews>
    <sheetView zoomScale="85" workbookViewId="0">
      <pane xSplit="1" ySplit="6" topLeftCell="B47" activePane="bottomRight" state="frozen"/>
      <selection pane="topRight" activeCell="B1" sqref="B1"/>
      <selection pane="bottomLeft" activeCell="A7" sqref="A7"/>
      <selection pane="bottomRight" activeCell="F39" sqref="F39:F53"/>
    </sheetView>
  </sheetViews>
  <sheetFormatPr defaultRowHeight="12.75" x14ac:dyDescent="0.2"/>
  <cols>
    <col min="1" max="1" width="9.7109375" bestFit="1" customWidth="1"/>
    <col min="3" max="3" width="10.28515625" bestFit="1" customWidth="1"/>
    <col min="5" max="5" width="9.7109375" bestFit="1" customWidth="1"/>
    <col min="6" max="6" width="10.5703125" bestFit="1" customWidth="1"/>
    <col min="12" max="12" width="11.85546875" bestFit="1" customWidth="1"/>
    <col min="13" max="13" width="12.28515625" style="87" bestFit="1" customWidth="1"/>
    <col min="14" max="14" width="12.28515625" style="86" bestFit="1" customWidth="1"/>
    <col min="15" max="16" width="12.28515625" style="86" customWidth="1"/>
    <col min="17" max="17" width="12.28515625" style="86" bestFit="1" customWidth="1"/>
    <col min="18" max="19" width="12.28515625" bestFit="1" customWidth="1"/>
    <col min="20" max="20" width="14.140625" bestFit="1" customWidth="1"/>
    <col min="21" max="21" width="10.5703125" bestFit="1" customWidth="1"/>
    <col min="33" max="33" width="10.28515625" bestFit="1" customWidth="1"/>
  </cols>
  <sheetData>
    <row r="1" spans="1:38" x14ac:dyDescent="0.2">
      <c r="A1" s="172"/>
    </row>
    <row r="2" spans="1:38" ht="13.5" thickBot="1" x14ac:dyDescent="0.25">
      <c r="A2" s="172"/>
    </row>
    <row r="3" spans="1:38" ht="13.5" thickBot="1" x14ac:dyDescent="0.25">
      <c r="A3" s="172"/>
      <c r="L3" s="154">
        <f>+SUM(L6:L38)</f>
        <v>-90721.93359375</v>
      </c>
      <c r="M3" s="158">
        <f>+SUM(M6:M38)</f>
        <v>-12725.306976318359</v>
      </c>
      <c r="N3" s="162">
        <f>+SUM(N6:N38)</f>
        <v>30746.301452636719</v>
      </c>
      <c r="O3" s="162">
        <f t="shared" ref="O3:U3" si="0">+SUM(O6:O38)</f>
        <v>-2547.1713500977312</v>
      </c>
      <c r="P3" s="162">
        <f t="shared" si="0"/>
        <v>-11864.938145221324</v>
      </c>
      <c r="Q3" s="154">
        <f t="shared" si="0"/>
        <v>0</v>
      </c>
      <c r="R3" s="158">
        <f t="shared" si="0"/>
        <v>0</v>
      </c>
      <c r="S3" s="267">
        <f t="shared" si="0"/>
        <v>0</v>
      </c>
      <c r="T3" s="267" t="s">
        <v>53</v>
      </c>
      <c r="U3" s="267">
        <f t="shared" si="0"/>
        <v>0</v>
      </c>
    </row>
    <row r="4" spans="1:38" x14ac:dyDescent="0.2">
      <c r="A4" s="172"/>
      <c r="B4" s="155" t="s">
        <v>55</v>
      </c>
      <c r="C4" s="159" t="s">
        <v>58</v>
      </c>
      <c r="D4" s="163" t="s">
        <v>59</v>
      </c>
      <c r="E4" s="163" t="s">
        <v>78</v>
      </c>
      <c r="F4" s="163" t="s">
        <v>79</v>
      </c>
      <c r="G4" s="155" t="s">
        <v>55</v>
      </c>
      <c r="H4" s="159" t="s">
        <v>58</v>
      </c>
      <c r="I4" s="163" t="s">
        <v>59</v>
      </c>
      <c r="J4" s="163" t="s">
        <v>78</v>
      </c>
      <c r="K4" s="163" t="s">
        <v>79</v>
      </c>
      <c r="L4" s="155" t="s">
        <v>61</v>
      </c>
      <c r="M4" s="159" t="s">
        <v>63</v>
      </c>
      <c r="N4" s="163" t="s">
        <v>62</v>
      </c>
      <c r="O4" s="163" t="s">
        <v>81</v>
      </c>
      <c r="P4" s="163" t="s">
        <v>82</v>
      </c>
      <c r="Q4" s="155" t="s">
        <v>61</v>
      </c>
      <c r="R4" s="159" t="s">
        <v>63</v>
      </c>
      <c r="S4" s="163" t="s">
        <v>62</v>
      </c>
      <c r="T4" s="163" t="s">
        <v>83</v>
      </c>
      <c r="U4" s="163" t="s">
        <v>82</v>
      </c>
      <c r="AI4" s="98" t="s">
        <v>54</v>
      </c>
      <c r="AJ4" s="98" t="s">
        <v>64</v>
      </c>
      <c r="AK4" s="99" t="s">
        <v>65</v>
      </c>
      <c r="AL4" s="98" t="s">
        <v>66</v>
      </c>
    </row>
    <row r="5" spans="1:38" x14ac:dyDescent="0.2">
      <c r="A5" s="172"/>
      <c r="B5" s="156" t="s">
        <v>56</v>
      </c>
      <c r="C5" s="160" t="s">
        <v>56</v>
      </c>
      <c r="D5" s="164" t="s">
        <v>56</v>
      </c>
      <c r="E5" s="164" t="s">
        <v>56</v>
      </c>
      <c r="F5" s="164" t="s">
        <v>56</v>
      </c>
      <c r="G5" s="156" t="s">
        <v>60</v>
      </c>
      <c r="H5" s="160" t="s">
        <v>60</v>
      </c>
      <c r="I5" s="164" t="s">
        <v>60</v>
      </c>
      <c r="J5" s="164" t="s">
        <v>80</v>
      </c>
      <c r="K5" s="164" t="s">
        <v>80</v>
      </c>
      <c r="L5" s="156" t="s">
        <v>72</v>
      </c>
      <c r="M5" s="160" t="s">
        <v>72</v>
      </c>
      <c r="N5" s="164" t="s">
        <v>72</v>
      </c>
      <c r="O5" s="164" t="s">
        <v>72</v>
      </c>
      <c r="P5" s="164" t="s">
        <v>72</v>
      </c>
      <c r="Q5" s="156" t="s">
        <v>73</v>
      </c>
      <c r="R5" s="160" t="s">
        <v>73</v>
      </c>
      <c r="S5" s="164" t="s">
        <v>73</v>
      </c>
      <c r="T5" s="164" t="s">
        <v>73</v>
      </c>
      <c r="U5" s="164" t="s">
        <v>73</v>
      </c>
      <c r="AI5" s="98" t="s">
        <v>67</v>
      </c>
      <c r="AJ5" s="98" t="s">
        <v>67</v>
      </c>
      <c r="AK5" s="100" t="s">
        <v>68</v>
      </c>
      <c r="AL5" s="98"/>
    </row>
    <row r="6" spans="1:38" x14ac:dyDescent="0.2">
      <c r="A6" s="172"/>
      <c r="B6" s="157" t="s">
        <v>57</v>
      </c>
      <c r="C6" s="161" t="s">
        <v>57</v>
      </c>
      <c r="D6" s="165" t="s">
        <v>57</v>
      </c>
      <c r="E6" s="165" t="s">
        <v>57</v>
      </c>
      <c r="F6" s="165" t="s">
        <v>57</v>
      </c>
      <c r="G6" s="157" t="s">
        <v>57</v>
      </c>
      <c r="H6" s="161" t="s">
        <v>57</v>
      </c>
      <c r="I6" s="165" t="s">
        <v>57</v>
      </c>
      <c r="J6" s="310" t="s">
        <v>57</v>
      </c>
      <c r="K6" s="165" t="s">
        <v>57</v>
      </c>
      <c r="L6" s="157"/>
      <c r="M6" s="161"/>
      <c r="N6" s="165"/>
      <c r="O6" s="165"/>
      <c r="P6" s="165"/>
      <c r="Q6" s="157"/>
      <c r="R6" s="161"/>
      <c r="S6" s="165"/>
      <c r="T6" s="165"/>
      <c r="U6" s="165"/>
      <c r="AG6" s="166"/>
      <c r="AH6" s="101">
        <v>36831</v>
      </c>
      <c r="AI6" s="98">
        <v>21</v>
      </c>
      <c r="AJ6" s="98">
        <v>4</v>
      </c>
      <c r="AK6" s="98">
        <v>5</v>
      </c>
      <c r="AL6" s="98">
        <v>1</v>
      </c>
    </row>
    <row r="7" spans="1:38" x14ac:dyDescent="0.2">
      <c r="A7" s="110">
        <f>+'NYISO A'!A12</f>
        <v>37135</v>
      </c>
      <c r="B7" s="148">
        <f>16*'NYISO A'!B12</f>
        <v>0</v>
      </c>
      <c r="C7" s="148">
        <f>16*'NYISO G'!B12</f>
        <v>0</v>
      </c>
      <c r="D7" s="148">
        <f>16*'NYISO J'!B12</f>
        <v>0</v>
      </c>
      <c r="E7" s="311">
        <f>16*NEPOOL!B12</f>
        <v>0</v>
      </c>
      <c r="F7" s="362">
        <f>16*PJM!B12</f>
        <v>0</v>
      </c>
      <c r="G7" s="148">
        <f>16*'NYISO A'!C12</f>
        <v>0</v>
      </c>
      <c r="H7" s="148">
        <f>16*'NYISO G'!C12</f>
        <v>0</v>
      </c>
      <c r="I7" s="148">
        <f>16*'NYISO J'!C12</f>
        <v>0</v>
      </c>
      <c r="J7" s="148">
        <f>16*NEPOOL!C12</f>
        <v>0</v>
      </c>
      <c r="K7" s="148">
        <f>16*PJM!C12</f>
        <v>0</v>
      </c>
      <c r="L7" s="147">
        <f>+'NYISO A'!I12</f>
        <v>0</v>
      </c>
      <c r="M7" s="147">
        <f>+'NYISO G'!I12</f>
        <v>0</v>
      </c>
      <c r="N7" s="147">
        <f>+'NYISO J'!I12</f>
        <v>0</v>
      </c>
      <c r="O7" s="147">
        <f>+NEPOOL!I12</f>
        <v>0</v>
      </c>
      <c r="P7" s="147">
        <f>+PJM!I12</f>
        <v>0</v>
      </c>
      <c r="Q7" s="147">
        <f>+'NYISO A'!J12</f>
        <v>0</v>
      </c>
      <c r="R7" s="147">
        <f>+'NYISO G'!J12</f>
        <v>0</v>
      </c>
      <c r="S7" s="147">
        <f>+'NYISO J'!J12</f>
        <v>0</v>
      </c>
      <c r="T7" s="147">
        <f>+NEPOOL!J12</f>
        <v>0</v>
      </c>
      <c r="U7" s="147">
        <f>+PJM!J12</f>
        <v>0</v>
      </c>
      <c r="AH7" s="101">
        <v>36861</v>
      </c>
      <c r="AI7" s="98">
        <v>20</v>
      </c>
      <c r="AJ7" s="98">
        <v>5</v>
      </c>
      <c r="AK7" s="98">
        <v>6</v>
      </c>
      <c r="AL7" s="98">
        <v>1</v>
      </c>
    </row>
    <row r="8" spans="1:38" x14ac:dyDescent="0.2">
      <c r="A8" s="111">
        <f>+'NYISO A'!A13</f>
        <v>37136</v>
      </c>
      <c r="B8" s="148">
        <f>16*'NYISO A'!B13</f>
        <v>0</v>
      </c>
      <c r="C8" s="148">
        <f>16*'NYISO G'!B13</f>
        <v>0</v>
      </c>
      <c r="D8" s="148">
        <f>16*'NYISO J'!B13</f>
        <v>0</v>
      </c>
      <c r="E8" s="148">
        <f>16*NEPOOL!B13</f>
        <v>0</v>
      </c>
      <c r="F8" s="148">
        <f>16*PJM!B13</f>
        <v>0</v>
      </c>
      <c r="G8" s="148">
        <f>16*'NYISO A'!C13</f>
        <v>0</v>
      </c>
      <c r="H8" s="148">
        <f>16*'NYISO G'!C13</f>
        <v>0</v>
      </c>
      <c r="I8" s="148">
        <f>16*'NYISO J'!C13</f>
        <v>0</v>
      </c>
      <c r="J8" s="148">
        <f>16*NEPOOL!C13</f>
        <v>0</v>
      </c>
      <c r="K8" s="148">
        <f>16*PJM!C13</f>
        <v>0</v>
      </c>
      <c r="L8" s="147">
        <f>+'NYISO A'!I13</f>
        <v>0</v>
      </c>
      <c r="M8" s="147">
        <f>+'NYISO G'!I13</f>
        <v>0</v>
      </c>
      <c r="N8" s="147">
        <f>+'NYISO J'!I13</f>
        <v>0</v>
      </c>
      <c r="O8" s="147">
        <f>+NEPOOL!I13</f>
        <v>0</v>
      </c>
      <c r="P8" s="147">
        <f>+PJM!I13</f>
        <v>0</v>
      </c>
      <c r="Q8" s="147">
        <f>+'NYISO A'!J13</f>
        <v>0</v>
      </c>
      <c r="R8" s="147">
        <f>+'NYISO G'!J13</f>
        <v>0</v>
      </c>
      <c r="S8" s="147">
        <f>+'NYISO J'!J13</f>
        <v>0</v>
      </c>
      <c r="T8" s="147">
        <f>+NEPOOL!J13</f>
        <v>0</v>
      </c>
      <c r="U8" s="147">
        <f>+PJM!J13</f>
        <v>0</v>
      </c>
      <c r="AH8" s="101">
        <v>36892</v>
      </c>
      <c r="AI8" s="98">
        <v>22</v>
      </c>
      <c r="AJ8" s="98">
        <v>4</v>
      </c>
      <c r="AK8" s="98">
        <v>5</v>
      </c>
      <c r="AL8" s="98">
        <v>1</v>
      </c>
    </row>
    <row r="9" spans="1:38" x14ac:dyDescent="0.2">
      <c r="A9" s="111">
        <f>+'NYISO A'!A14</f>
        <v>37137</v>
      </c>
      <c r="B9" s="148">
        <f>16*'NYISO A'!B14</f>
        <v>0</v>
      </c>
      <c r="C9" s="148">
        <f>16*'NYISO G'!B14</f>
        <v>0</v>
      </c>
      <c r="D9" s="148">
        <f>16*'NYISO J'!B14</f>
        <v>0</v>
      </c>
      <c r="E9" s="148">
        <f>16*NEPOOL!B14</f>
        <v>0</v>
      </c>
      <c r="F9" s="148">
        <f>16*PJM!B14</f>
        <v>0</v>
      </c>
      <c r="G9" s="148">
        <f>16*'NYISO A'!C14</f>
        <v>0</v>
      </c>
      <c r="H9" s="148">
        <f>16*'NYISO G'!C14</f>
        <v>0</v>
      </c>
      <c r="I9" s="148">
        <f>16*'NYISO J'!C14</f>
        <v>0</v>
      </c>
      <c r="J9" s="148">
        <f>16*NEPOOL!C14</f>
        <v>0</v>
      </c>
      <c r="K9" s="148">
        <f>16*PJM!C14</f>
        <v>0</v>
      </c>
      <c r="L9" s="147">
        <f>+'NYISO A'!I14</f>
        <v>0</v>
      </c>
      <c r="M9" s="147">
        <f>+'NYISO G'!I14</f>
        <v>0</v>
      </c>
      <c r="N9" s="147">
        <f>+'NYISO J'!I14</f>
        <v>0</v>
      </c>
      <c r="O9" s="147">
        <f>+NEPOOL!I14</f>
        <v>0</v>
      </c>
      <c r="P9" s="147">
        <f>+PJM!I14</f>
        <v>0</v>
      </c>
      <c r="Q9" s="147">
        <f>+'NYISO A'!J14</f>
        <v>0</v>
      </c>
      <c r="R9" s="147">
        <f>+'NYISO G'!J14</f>
        <v>0</v>
      </c>
      <c r="S9" s="147">
        <f>+'NYISO J'!J14</f>
        <v>0</v>
      </c>
      <c r="T9" s="147">
        <f>+NEPOOL!J14</f>
        <v>0</v>
      </c>
      <c r="U9" s="147">
        <f>+PJM!J14</f>
        <v>0</v>
      </c>
      <c r="AH9" s="101">
        <v>36923</v>
      </c>
      <c r="AI9" s="98">
        <v>20</v>
      </c>
      <c r="AJ9" s="98">
        <v>4</v>
      </c>
      <c r="AK9" s="98">
        <v>4</v>
      </c>
      <c r="AL9" s="98">
        <v>0</v>
      </c>
    </row>
    <row r="10" spans="1:38" x14ac:dyDescent="0.2">
      <c r="A10" s="111">
        <f>+'NYISO A'!A15</f>
        <v>37138</v>
      </c>
      <c r="B10" s="148">
        <f>16*'NYISO A'!B15</f>
        <v>-800</v>
      </c>
      <c r="C10" s="148">
        <f>16*'NYISO G'!B15</f>
        <v>-797.15155029296875</v>
      </c>
      <c r="D10" s="148">
        <f>16*'NYISO J'!B15</f>
        <v>1195.727294921875</v>
      </c>
      <c r="E10" s="148">
        <f>16*NEPOOL!B15</f>
        <v>2387.97314453125</v>
      </c>
      <c r="F10" s="148">
        <f>16*PJM!B15</f>
        <v>2387.97314453125</v>
      </c>
      <c r="G10" s="148">
        <f>16*'NYISO A'!C15</f>
        <v>0</v>
      </c>
      <c r="H10" s="148">
        <f>16*'NYISO G'!C15</f>
        <v>0</v>
      </c>
      <c r="I10" s="148">
        <f>16*'NYISO J'!C15</f>
        <v>0</v>
      </c>
      <c r="J10" s="148">
        <f>16*NEPOOL!C15</f>
        <v>0</v>
      </c>
      <c r="K10" s="148">
        <f>16*PJM!C15</f>
        <v>0</v>
      </c>
      <c r="L10" s="147">
        <f>+'NYISO A'!I15</f>
        <v>0</v>
      </c>
      <c r="M10" s="147">
        <f>+'NYISO G'!I15</f>
        <v>-3188.606201171875</v>
      </c>
      <c r="N10" s="147">
        <f>+'NYISO J'!I15</f>
        <v>5679.7046508789062</v>
      </c>
      <c r="O10" s="147">
        <f>+NEPOOL!I15</f>
        <v>1193.986572265625</v>
      </c>
      <c r="P10" s="147">
        <f>+PJM!I15</f>
        <v>1.2753152478154523E-2</v>
      </c>
      <c r="Q10" s="147">
        <f>+'NYISO A'!J15</f>
        <v>0</v>
      </c>
      <c r="R10" s="147">
        <f>+'NYISO G'!J15</f>
        <v>0</v>
      </c>
      <c r="S10" s="147">
        <f>+'NYISO J'!J15</f>
        <v>0</v>
      </c>
      <c r="T10" s="147">
        <f>+NEPOOL!J15</f>
        <v>0</v>
      </c>
      <c r="U10" s="147">
        <f>+PJM!J15</f>
        <v>0</v>
      </c>
      <c r="AH10" s="101">
        <v>36951</v>
      </c>
      <c r="AI10" s="98">
        <v>22</v>
      </c>
      <c r="AJ10" s="98">
        <v>5</v>
      </c>
      <c r="AK10" s="98">
        <v>4</v>
      </c>
      <c r="AL10" s="98">
        <v>0</v>
      </c>
    </row>
    <row r="11" spans="1:38" x14ac:dyDescent="0.2">
      <c r="A11" s="111">
        <f>+'NYISO A'!A16</f>
        <v>37139</v>
      </c>
      <c r="B11" s="148">
        <f>16*'NYISO A'!B16</f>
        <v>-800</v>
      </c>
      <c r="C11" s="148">
        <f>16*'NYISO G'!B16</f>
        <v>-797.15155029296875</v>
      </c>
      <c r="D11" s="148">
        <f>16*'NYISO J'!B16</f>
        <v>1195.727294921875</v>
      </c>
      <c r="E11" s="148">
        <f>16*NEPOOL!B16</f>
        <v>2387.97314453125</v>
      </c>
      <c r="F11" s="148">
        <f>16*PJM!B16</f>
        <v>2387.97314453125</v>
      </c>
      <c r="G11" s="148">
        <f>16*'NYISO A'!C16</f>
        <v>0</v>
      </c>
      <c r="H11" s="148">
        <f>16*'NYISO G'!C16</f>
        <v>0</v>
      </c>
      <c r="I11" s="148">
        <f>16*'NYISO J'!C16</f>
        <v>0</v>
      </c>
      <c r="J11" s="148">
        <f>16*NEPOOL!C16</f>
        <v>0</v>
      </c>
      <c r="K11" s="148">
        <f>16*PJM!C16</f>
        <v>0</v>
      </c>
      <c r="L11" s="147">
        <f>+'NYISO A'!I16</f>
        <v>-2000</v>
      </c>
      <c r="M11" s="147">
        <f>+'NYISO G'!I16</f>
        <v>-3188.606201171875</v>
      </c>
      <c r="N11" s="147">
        <f>+'NYISO J'!I16</f>
        <v>5679.7046508789062</v>
      </c>
      <c r="O11" s="147">
        <f>+NEPOOL!I16</f>
        <v>-1193.986572265625</v>
      </c>
      <c r="P11" s="147">
        <f>+PJM!I16</f>
        <v>1.2753152478154523E-2</v>
      </c>
      <c r="Q11" s="147">
        <f>+'NYISO A'!J16</f>
        <v>0</v>
      </c>
      <c r="R11" s="147">
        <f>+'NYISO G'!J16</f>
        <v>0</v>
      </c>
      <c r="S11" s="147">
        <f>+'NYISO J'!J16</f>
        <v>0</v>
      </c>
      <c r="T11" s="147">
        <f>+NEPOOL!J16</f>
        <v>0</v>
      </c>
      <c r="U11" s="147">
        <f>+PJM!J16</f>
        <v>0</v>
      </c>
      <c r="AH11" s="101">
        <v>36982</v>
      </c>
      <c r="AI11" s="98">
        <v>21</v>
      </c>
      <c r="AJ11" s="98">
        <v>4</v>
      </c>
      <c r="AK11" s="98">
        <v>5</v>
      </c>
      <c r="AL11" s="98">
        <v>0</v>
      </c>
    </row>
    <row r="12" spans="1:38" x14ac:dyDescent="0.2">
      <c r="A12" s="111">
        <f>+'NYISO A'!A17</f>
        <v>37140</v>
      </c>
      <c r="B12" s="148">
        <f>16*'NYISO A'!B17</f>
        <v>-800</v>
      </c>
      <c r="C12" s="148">
        <f>16*'NYISO G'!B17</f>
        <v>-797.15155029296875</v>
      </c>
      <c r="D12" s="148">
        <f>16*'NYISO J'!B17</f>
        <v>1195.727294921875</v>
      </c>
      <c r="E12" s="148">
        <f>16*NEPOOL!B17</f>
        <v>2387.97314453125</v>
      </c>
      <c r="F12" s="148">
        <f>16*PJM!B17</f>
        <v>2387.97314453125</v>
      </c>
      <c r="G12" s="148">
        <f>16*'NYISO A'!C17</f>
        <v>0</v>
      </c>
      <c r="H12" s="148">
        <f>16*'NYISO G'!C17</f>
        <v>0</v>
      </c>
      <c r="I12" s="148">
        <f>16*'NYISO J'!C17</f>
        <v>0</v>
      </c>
      <c r="J12" s="148">
        <f>16*NEPOOL!C17</f>
        <v>0</v>
      </c>
      <c r="K12" s="148">
        <f>16*PJM!C17</f>
        <v>0</v>
      </c>
      <c r="L12" s="147">
        <f>+'NYISO A'!I17</f>
        <v>-2000</v>
      </c>
      <c r="M12" s="147">
        <f>+'NYISO G'!I17</f>
        <v>-3188.606201171875</v>
      </c>
      <c r="N12" s="147">
        <f>+'NYISO J'!I17</f>
        <v>5679.7046508789062</v>
      </c>
      <c r="O12" s="147">
        <f>+NEPOOL!I17</f>
        <v>-1193.986572265625</v>
      </c>
      <c r="P12" s="147">
        <f>+PJM!I17</f>
        <v>1.2753152478154523E-2</v>
      </c>
      <c r="Q12" s="147">
        <f>+'NYISO A'!J17</f>
        <v>0</v>
      </c>
      <c r="R12" s="147">
        <f>+'NYISO G'!J17</f>
        <v>0</v>
      </c>
      <c r="S12" s="147">
        <f>+'NYISO J'!J17</f>
        <v>0</v>
      </c>
      <c r="T12" s="147">
        <f>+NEPOOL!J17</f>
        <v>0</v>
      </c>
      <c r="U12" s="147">
        <f>+PJM!J17</f>
        <v>0</v>
      </c>
      <c r="AH12" s="101">
        <v>37012</v>
      </c>
      <c r="AI12" s="98">
        <v>22</v>
      </c>
      <c r="AJ12" s="98">
        <v>4</v>
      </c>
      <c r="AK12" s="98">
        <v>5</v>
      </c>
      <c r="AL12" s="98">
        <v>1</v>
      </c>
    </row>
    <row r="13" spans="1:38" x14ac:dyDescent="0.2">
      <c r="A13" s="111">
        <f>+'NYISO A'!A18</f>
        <v>37141</v>
      </c>
      <c r="B13" s="148">
        <f>16*'NYISO A'!B18</f>
        <v>-800</v>
      </c>
      <c r="C13" s="148">
        <f>16*'NYISO G'!B18</f>
        <v>-797.15155029296875</v>
      </c>
      <c r="D13" s="148">
        <f>16*'NYISO J'!B18</f>
        <v>1195.727294921875</v>
      </c>
      <c r="E13" s="148">
        <f>16*NEPOOL!B18</f>
        <v>2387.97314453125</v>
      </c>
      <c r="F13" s="148">
        <f>16*PJM!B18</f>
        <v>2387.97314453125</v>
      </c>
      <c r="G13" s="148">
        <f>16*'NYISO A'!C18</f>
        <v>0</v>
      </c>
      <c r="H13" s="148">
        <f>16*'NYISO G'!C18</f>
        <v>0</v>
      </c>
      <c r="I13" s="148">
        <f>16*'NYISO J'!C18</f>
        <v>0</v>
      </c>
      <c r="J13" s="148">
        <f>16*NEPOOL!C18</f>
        <v>0</v>
      </c>
      <c r="K13" s="148">
        <f>16*PJM!C18</f>
        <v>0</v>
      </c>
      <c r="L13" s="147">
        <f>+'NYISO A'!I18</f>
        <v>-2000</v>
      </c>
      <c r="M13" s="147">
        <f>+'NYISO G'!I18</f>
        <v>5978.6366271972656</v>
      </c>
      <c r="N13" s="147">
        <f>+'NYISO J'!I18</f>
        <v>0</v>
      </c>
      <c r="O13" s="147">
        <f>+NEPOOL!I18</f>
        <v>-1193.986572265625</v>
      </c>
      <c r="P13" s="147">
        <f>+PJM!I18</f>
        <v>3.6437578533252309E-3</v>
      </c>
      <c r="Q13" s="147">
        <f>+'NYISO A'!J18</f>
        <v>0</v>
      </c>
      <c r="R13" s="147">
        <f>+'NYISO G'!J18</f>
        <v>0</v>
      </c>
      <c r="S13" s="147">
        <f>+'NYISO J'!J18</f>
        <v>0</v>
      </c>
      <c r="T13" s="147">
        <f>+NEPOOL!J18</f>
        <v>0</v>
      </c>
      <c r="U13" s="147">
        <f>+PJM!J18</f>
        <v>0</v>
      </c>
      <c r="AH13" s="101">
        <v>37043</v>
      </c>
      <c r="AI13" s="98">
        <v>21</v>
      </c>
      <c r="AJ13" s="98">
        <v>5</v>
      </c>
      <c r="AK13" s="98">
        <v>4</v>
      </c>
      <c r="AL13" s="98">
        <v>0</v>
      </c>
    </row>
    <row r="14" spans="1:38" x14ac:dyDescent="0.2">
      <c r="A14" s="111">
        <f>+'NYISO A'!A19</f>
        <v>37142</v>
      </c>
      <c r="B14" s="148">
        <f>16*'NYISO A'!B19</f>
        <v>0</v>
      </c>
      <c r="C14" s="148">
        <f>16*'NYISO G'!B19</f>
        <v>0</v>
      </c>
      <c r="D14" s="148">
        <f>16*'NYISO J'!B19</f>
        <v>0</v>
      </c>
      <c r="E14" s="148">
        <f>16*NEPOOL!B19</f>
        <v>0</v>
      </c>
      <c r="F14" s="148">
        <f>16*PJM!B19</f>
        <v>0</v>
      </c>
      <c r="G14" s="148">
        <f>16*'NYISO A'!C19</f>
        <v>0</v>
      </c>
      <c r="H14" s="148">
        <f>16*'NYISO G'!C19</f>
        <v>0</v>
      </c>
      <c r="I14" s="148">
        <f>16*'NYISO J'!C19</f>
        <v>0</v>
      </c>
      <c r="J14" s="148">
        <f>16*NEPOOL!C19</f>
        <v>0</v>
      </c>
      <c r="K14" s="148">
        <f>16*PJM!C19</f>
        <v>0</v>
      </c>
      <c r="L14" s="147">
        <f>+'NYISO A'!I19</f>
        <v>0</v>
      </c>
      <c r="M14" s="147">
        <f>+'NYISO G'!I19</f>
        <v>0</v>
      </c>
      <c r="N14" s="147">
        <f>+'NYISO J'!I19</f>
        <v>0</v>
      </c>
      <c r="O14" s="147">
        <f>+NEPOOL!I19</f>
        <v>0</v>
      </c>
      <c r="P14" s="147">
        <f>+PJM!I19</f>
        <v>0</v>
      </c>
      <c r="Q14" s="147">
        <f>+'NYISO A'!J19</f>
        <v>0</v>
      </c>
      <c r="R14" s="147">
        <f>+'NYISO G'!J19</f>
        <v>0</v>
      </c>
      <c r="S14" s="147">
        <f>+'NYISO J'!J19</f>
        <v>0</v>
      </c>
      <c r="T14" s="147">
        <f>+NEPOOL!J19</f>
        <v>0</v>
      </c>
      <c r="U14" s="147">
        <f>+PJM!J19</f>
        <v>0</v>
      </c>
      <c r="AH14" s="101">
        <v>37073</v>
      </c>
      <c r="AI14" s="98">
        <v>21</v>
      </c>
      <c r="AJ14" s="98">
        <v>4</v>
      </c>
      <c r="AK14" s="98">
        <v>6</v>
      </c>
      <c r="AL14" s="98">
        <v>1</v>
      </c>
    </row>
    <row r="15" spans="1:38" x14ac:dyDescent="0.2">
      <c r="A15" s="111">
        <f>+'NYISO A'!A20</f>
        <v>37143</v>
      </c>
      <c r="B15" s="148">
        <f>16*'NYISO A'!B20</f>
        <v>0</v>
      </c>
      <c r="C15" s="148">
        <f>16*'NYISO G'!B20</f>
        <v>0</v>
      </c>
      <c r="D15" s="148">
        <f>16*'NYISO J'!B20</f>
        <v>0</v>
      </c>
      <c r="E15" s="148">
        <f>16*NEPOOL!B20</f>
        <v>0</v>
      </c>
      <c r="F15" s="148">
        <f>16*PJM!B20</f>
        <v>0</v>
      </c>
      <c r="G15" s="148">
        <f>16*'NYISO A'!C20</f>
        <v>0</v>
      </c>
      <c r="H15" s="148">
        <f>16*'NYISO G'!C20</f>
        <v>0</v>
      </c>
      <c r="I15" s="148">
        <f>16*'NYISO J'!C20</f>
        <v>0</v>
      </c>
      <c r="J15" s="148">
        <f>16*NEPOOL!C20</f>
        <v>0</v>
      </c>
      <c r="K15" s="148">
        <f>16*PJM!C20</f>
        <v>0</v>
      </c>
      <c r="L15" s="147">
        <f>+'NYISO A'!I20</f>
        <v>0</v>
      </c>
      <c r="M15" s="147">
        <f>+'NYISO G'!I20</f>
        <v>0</v>
      </c>
      <c r="N15" s="147">
        <f>+'NYISO J'!I20</f>
        <v>0</v>
      </c>
      <c r="O15" s="147">
        <f>+NEPOOL!I20</f>
        <v>0</v>
      </c>
      <c r="P15" s="147">
        <f>+PJM!I20</f>
        <v>0</v>
      </c>
      <c r="Q15" s="147">
        <f>+'NYISO A'!J20</f>
        <v>0</v>
      </c>
      <c r="R15" s="147">
        <f>+'NYISO G'!J20</f>
        <v>0</v>
      </c>
      <c r="S15" s="147">
        <f>+'NYISO J'!J20</f>
        <v>0</v>
      </c>
      <c r="T15" s="147">
        <f>+NEPOOL!J20</f>
        <v>0</v>
      </c>
      <c r="U15" s="147">
        <f>+PJM!J20</f>
        <v>0</v>
      </c>
      <c r="AH15" s="101">
        <v>37104</v>
      </c>
      <c r="AI15" s="98">
        <v>23</v>
      </c>
      <c r="AJ15" s="98">
        <v>4</v>
      </c>
      <c r="AK15" s="98">
        <v>4</v>
      </c>
      <c r="AL15" s="98">
        <v>0</v>
      </c>
    </row>
    <row r="16" spans="1:38" x14ac:dyDescent="0.2">
      <c r="A16" s="111">
        <f>+'NYISO A'!A21</f>
        <v>37144</v>
      </c>
      <c r="B16" s="148">
        <f>16*'NYISO A'!B21</f>
        <v>-3985.7578125</v>
      </c>
      <c r="C16" s="148">
        <f>16*'NYISO G'!B21</f>
        <v>1.9999999920083944E-12</v>
      </c>
      <c r="D16" s="148">
        <f>16*'NYISO J'!B21</f>
        <v>1195.727294921875</v>
      </c>
      <c r="E16" s="148">
        <f>16*NEPOOL!B21</f>
        <v>-3183.964111328125</v>
      </c>
      <c r="F16" s="148">
        <f>16*PJM!B21</f>
        <v>-4.999999980020986E-12</v>
      </c>
      <c r="G16" s="148">
        <f>16*'NYISO A'!C21</f>
        <v>0</v>
      </c>
      <c r="H16" s="148">
        <f>16*'NYISO G'!C21</f>
        <v>0</v>
      </c>
      <c r="I16" s="148">
        <f>16*'NYISO J'!C21</f>
        <v>0</v>
      </c>
      <c r="J16" s="148">
        <f>16*NEPOOL!C21</f>
        <v>0</v>
      </c>
      <c r="K16" s="148">
        <f>16*PJM!C21</f>
        <v>0</v>
      </c>
      <c r="L16" s="147">
        <f>+'NYISO A'!I21</f>
        <v>-1992.87890625</v>
      </c>
      <c r="M16" s="147">
        <f>+'NYISO G'!I21</f>
        <v>0</v>
      </c>
      <c r="N16" s="147">
        <f>+'NYISO J'!I21</f>
        <v>0</v>
      </c>
      <c r="O16" s="147">
        <f>+NEPOOL!I21</f>
        <v>4234.6722680664006</v>
      </c>
      <c r="P16" s="147">
        <f>+PJM!I21</f>
        <v>1.725001900455865E-11</v>
      </c>
      <c r="Q16" s="147">
        <f>+'NYISO A'!J21</f>
        <v>0</v>
      </c>
      <c r="R16" s="147">
        <f>+'NYISO G'!J21</f>
        <v>0</v>
      </c>
      <c r="S16" s="147">
        <f>+'NYISO J'!J21</f>
        <v>0</v>
      </c>
      <c r="T16" s="147">
        <f>+NEPOOL!J21</f>
        <v>0</v>
      </c>
      <c r="U16" s="147">
        <f>+PJM!J21</f>
        <v>0</v>
      </c>
      <c r="AH16" s="101">
        <v>37135</v>
      </c>
      <c r="AI16" s="98">
        <v>19</v>
      </c>
      <c r="AJ16" s="98">
        <v>5</v>
      </c>
      <c r="AK16" s="98">
        <v>6</v>
      </c>
      <c r="AL16" s="98">
        <v>1</v>
      </c>
    </row>
    <row r="17" spans="1:38" x14ac:dyDescent="0.2">
      <c r="A17" s="111">
        <f>+'NYISO A'!A22</f>
        <v>37145</v>
      </c>
      <c r="B17" s="148">
        <f>16*'NYISO A'!B22</f>
        <v>-3985.7578125</v>
      </c>
      <c r="C17" s="148">
        <f>16*'NYISO G'!B22</f>
        <v>1.9999999920083944E-12</v>
      </c>
      <c r="D17" s="148">
        <f>16*'NYISO J'!B22</f>
        <v>1195.727294921875</v>
      </c>
      <c r="E17" s="148">
        <f>16*NEPOOL!B22</f>
        <v>-3183.964111328125</v>
      </c>
      <c r="F17" s="148">
        <f>16*PJM!B22</f>
        <v>-1.1999999952050366E-11</v>
      </c>
      <c r="G17" s="148">
        <f>16*'NYISO A'!C22</f>
        <v>0</v>
      </c>
      <c r="H17" s="148">
        <f>16*'NYISO G'!C22</f>
        <v>0</v>
      </c>
      <c r="I17" s="148">
        <f>16*'NYISO J'!C22</f>
        <v>0</v>
      </c>
      <c r="J17" s="148">
        <f>16*NEPOOL!C22</f>
        <v>0</v>
      </c>
      <c r="K17" s="148">
        <f>16*PJM!C22</f>
        <v>0</v>
      </c>
      <c r="L17" s="147">
        <f>+'NYISO A'!I22</f>
        <v>-1992.87890625</v>
      </c>
      <c r="M17" s="147">
        <f>+'NYISO G'!I22</f>
        <v>0</v>
      </c>
      <c r="N17" s="147">
        <f>+'NYISO J'!I22</f>
        <v>0</v>
      </c>
      <c r="O17" s="147">
        <f>+NEPOOL!I22</f>
        <v>4234.6722680664006</v>
      </c>
      <c r="P17" s="147">
        <f>+PJM!I22</f>
        <v>4.8600045582171E-11</v>
      </c>
      <c r="Q17" s="147">
        <f>+'NYISO A'!J22</f>
        <v>0</v>
      </c>
      <c r="R17" s="147">
        <f>+'NYISO G'!J22</f>
        <v>0</v>
      </c>
      <c r="S17" s="147">
        <f>+'NYISO J'!J22</f>
        <v>0</v>
      </c>
      <c r="T17" s="147">
        <f>+NEPOOL!J22</f>
        <v>0</v>
      </c>
      <c r="U17" s="147">
        <f>+PJM!J22</f>
        <v>0</v>
      </c>
      <c r="AH17" s="101">
        <v>37165</v>
      </c>
      <c r="AI17" s="98">
        <v>23</v>
      </c>
      <c r="AJ17" s="98">
        <v>4</v>
      </c>
      <c r="AK17" s="98">
        <v>4</v>
      </c>
      <c r="AL17" s="98">
        <v>0</v>
      </c>
    </row>
    <row r="18" spans="1:38" x14ac:dyDescent="0.2">
      <c r="A18" s="111">
        <f>+'NYISO A'!A23</f>
        <v>37146</v>
      </c>
      <c r="B18" s="148">
        <f>16*'NYISO A'!B23</f>
        <v>-3985.7578125</v>
      </c>
      <c r="C18" s="148">
        <f>16*'NYISO G'!B23</f>
        <v>1.9999999920083944E-12</v>
      </c>
      <c r="D18" s="148">
        <f>16*'NYISO J'!B23</f>
        <v>1195.727294921875</v>
      </c>
      <c r="E18" s="148">
        <f>16*NEPOOL!B23</f>
        <v>-3183.964111328125</v>
      </c>
      <c r="F18" s="148">
        <f>16*PJM!B23</f>
        <v>4.999999980020986E-12</v>
      </c>
      <c r="G18" s="148">
        <f>16*'NYISO A'!C23</f>
        <v>0</v>
      </c>
      <c r="H18" s="148">
        <f>16*'NYISO G'!C23</f>
        <v>0</v>
      </c>
      <c r="I18" s="148">
        <f>16*'NYISO J'!C23</f>
        <v>0</v>
      </c>
      <c r="J18" s="148">
        <f>16*NEPOOL!C23</f>
        <v>0</v>
      </c>
      <c r="K18" s="148">
        <f>16*PJM!C23</f>
        <v>0</v>
      </c>
      <c r="L18" s="147">
        <f>+'NYISO A'!I23</f>
        <v>-1992.87890625</v>
      </c>
      <c r="M18" s="147">
        <f>+'NYISO G'!I23</f>
        <v>0</v>
      </c>
      <c r="N18" s="147">
        <f>+'NYISO J'!I23</f>
        <v>0</v>
      </c>
      <c r="O18" s="147">
        <f>+NEPOOL!I23</f>
        <v>4234.6722680664006</v>
      </c>
      <c r="P18" s="147">
        <f>+PJM!I23</f>
        <v>-2.0250018992571248E-11</v>
      </c>
      <c r="Q18" s="147">
        <f>+'NYISO A'!J23</f>
        <v>0</v>
      </c>
      <c r="R18" s="147">
        <f>+'NYISO G'!J23</f>
        <v>0</v>
      </c>
      <c r="S18" s="147">
        <f>+'NYISO J'!J23</f>
        <v>0</v>
      </c>
      <c r="T18" s="147">
        <f>+NEPOOL!J23</f>
        <v>0</v>
      </c>
      <c r="U18" s="147">
        <f>+PJM!J23</f>
        <v>0</v>
      </c>
      <c r="AH18" s="101">
        <v>37196</v>
      </c>
      <c r="AI18" s="98">
        <v>21</v>
      </c>
      <c r="AJ18" s="98">
        <v>4</v>
      </c>
      <c r="AK18" s="98">
        <v>5</v>
      </c>
      <c r="AL18" s="98">
        <v>1</v>
      </c>
    </row>
    <row r="19" spans="1:38" x14ac:dyDescent="0.2">
      <c r="A19" s="111">
        <f>+'NYISO A'!A24</f>
        <v>37147</v>
      </c>
      <c r="B19" s="148">
        <f>16*'NYISO A'!B24</f>
        <v>-3985.7578125</v>
      </c>
      <c r="C19" s="148">
        <f>16*'NYISO G'!B24</f>
        <v>1.9999999920083944E-12</v>
      </c>
      <c r="D19" s="148">
        <f>16*'NYISO J'!B24</f>
        <v>1195.727294921875</v>
      </c>
      <c r="E19" s="148">
        <f>16*NEPOOL!B24</f>
        <v>-3183.964111328125</v>
      </c>
      <c r="F19" s="148">
        <f>16*PJM!B24</f>
        <v>-4.999999980020986E-12</v>
      </c>
      <c r="G19" s="148">
        <f>16*'NYISO A'!C24</f>
        <v>0</v>
      </c>
      <c r="H19" s="148">
        <f>16*'NYISO G'!C24</f>
        <v>0</v>
      </c>
      <c r="I19" s="148">
        <f>16*'NYISO J'!C24</f>
        <v>0</v>
      </c>
      <c r="J19" s="148">
        <f>16*NEPOOL!C24</f>
        <v>0</v>
      </c>
      <c r="K19" s="148">
        <f>16*PJM!C24</f>
        <v>0</v>
      </c>
      <c r="L19" s="147">
        <f>+'NYISO A'!I24</f>
        <v>-1992.87890625</v>
      </c>
      <c r="M19" s="147">
        <f>+'NYISO G'!I24</f>
        <v>0</v>
      </c>
      <c r="N19" s="147">
        <f>+'NYISO J'!I24</f>
        <v>0</v>
      </c>
      <c r="O19" s="147">
        <f>+NEPOOL!I24</f>
        <v>4234.6722680664006</v>
      </c>
      <c r="P19" s="147">
        <f>+PJM!I24</f>
        <v>2.0250018992571248E-11</v>
      </c>
      <c r="Q19" s="147">
        <f>+'NYISO A'!J24</f>
        <v>0</v>
      </c>
      <c r="R19" s="147">
        <f>+'NYISO G'!J24</f>
        <v>0</v>
      </c>
      <c r="S19" s="147">
        <f>+'NYISO J'!J24</f>
        <v>0</v>
      </c>
      <c r="T19" s="147">
        <f>+NEPOOL!J24</f>
        <v>0</v>
      </c>
      <c r="U19" s="147">
        <f>+PJM!J24</f>
        <v>0</v>
      </c>
      <c r="AH19" s="101">
        <v>37226</v>
      </c>
      <c r="AI19" s="98">
        <v>20</v>
      </c>
      <c r="AJ19" s="98">
        <v>5</v>
      </c>
      <c r="AK19" s="98">
        <v>6</v>
      </c>
      <c r="AL19" s="98">
        <v>1</v>
      </c>
    </row>
    <row r="20" spans="1:38" x14ac:dyDescent="0.2">
      <c r="A20" s="111">
        <f>+'NYISO A'!A25</f>
        <v>37148</v>
      </c>
      <c r="B20" s="148">
        <f>16*'NYISO A'!B25</f>
        <v>-3985.7578125</v>
      </c>
      <c r="C20" s="148">
        <f>16*'NYISO G'!B25</f>
        <v>1.9999999920083944E-12</v>
      </c>
      <c r="D20" s="148">
        <f>16*'NYISO J'!B25</f>
        <v>1195.727294921875</v>
      </c>
      <c r="E20" s="148">
        <f>16*NEPOOL!B25</f>
        <v>-3183.964111328125</v>
      </c>
      <c r="F20" s="148">
        <f>16*PJM!B25</f>
        <v>-4.999999980020986E-12</v>
      </c>
      <c r="G20" s="148">
        <f>16*'NYISO A'!C25</f>
        <v>0</v>
      </c>
      <c r="H20" s="148">
        <f>16*'NYISO G'!C25</f>
        <v>0</v>
      </c>
      <c r="I20" s="148">
        <f>16*'NYISO J'!C25</f>
        <v>0</v>
      </c>
      <c r="J20" s="148">
        <f>16*NEPOOL!C25</f>
        <v>0</v>
      </c>
      <c r="K20" s="148">
        <f>16*PJM!C25</f>
        <v>0</v>
      </c>
      <c r="L20" s="147">
        <f>+'NYISO A'!I25</f>
        <v>-1992.87890625</v>
      </c>
      <c r="M20" s="147">
        <f>+'NYISO G'!I25</f>
        <v>0</v>
      </c>
      <c r="N20" s="147">
        <f>+'NYISO J'!I25</f>
        <v>0</v>
      </c>
      <c r="O20" s="147">
        <f>+NEPOOL!I25</f>
        <v>4234.6722680664006</v>
      </c>
      <c r="P20" s="147">
        <f>+PJM!I25</f>
        <v>2.0250018992571248E-11</v>
      </c>
      <c r="Q20" s="147">
        <f>+'NYISO A'!J25</f>
        <v>0</v>
      </c>
      <c r="R20" s="147">
        <f>+'NYISO G'!J25</f>
        <v>0</v>
      </c>
      <c r="S20" s="147">
        <f>+'NYISO J'!J25</f>
        <v>0</v>
      </c>
      <c r="T20" s="147">
        <f>+NEPOOL!J25</f>
        <v>0</v>
      </c>
      <c r="U20" s="147">
        <f>+PJM!J25</f>
        <v>0</v>
      </c>
      <c r="AH20" s="101">
        <v>37257</v>
      </c>
      <c r="AI20" s="98">
        <v>22</v>
      </c>
      <c r="AJ20" s="98">
        <v>4</v>
      </c>
      <c r="AK20" s="98">
        <v>5</v>
      </c>
      <c r="AL20" s="98">
        <v>1</v>
      </c>
    </row>
    <row r="21" spans="1:38" x14ac:dyDescent="0.2">
      <c r="A21" s="111">
        <f>+'NYISO A'!A26</f>
        <v>37149</v>
      </c>
      <c r="B21" s="148">
        <f>16*'NYISO A'!B26</f>
        <v>0</v>
      </c>
      <c r="C21" s="148">
        <f>16*'NYISO G'!B26</f>
        <v>0</v>
      </c>
      <c r="D21" s="148">
        <f>16*'NYISO J'!B26</f>
        <v>0</v>
      </c>
      <c r="E21" s="148">
        <f>16*NEPOOL!B26</f>
        <v>0</v>
      </c>
      <c r="F21" s="148">
        <f>16*PJM!B26</f>
        <v>0</v>
      </c>
      <c r="G21" s="148">
        <f>16*'NYISO A'!C26</f>
        <v>0</v>
      </c>
      <c r="H21" s="148">
        <f>16*'NYISO G'!C26</f>
        <v>0</v>
      </c>
      <c r="I21" s="148">
        <f>16*'NYISO J'!C26</f>
        <v>0</v>
      </c>
      <c r="J21" s="148">
        <f>16*NEPOOL!C26</f>
        <v>0</v>
      </c>
      <c r="K21" s="148">
        <f>16*PJM!C26</f>
        <v>0</v>
      </c>
      <c r="L21" s="147">
        <f>+'NYISO A'!I26</f>
        <v>0</v>
      </c>
      <c r="M21" s="147">
        <f>+'NYISO G'!I26</f>
        <v>0</v>
      </c>
      <c r="N21" s="147">
        <f>+'NYISO J'!I26</f>
        <v>0</v>
      </c>
      <c r="O21" s="147">
        <f>+NEPOOL!I26</f>
        <v>0</v>
      </c>
      <c r="P21" s="147">
        <f>+PJM!I26</f>
        <v>0</v>
      </c>
      <c r="Q21" s="147">
        <f>+'NYISO A'!J26</f>
        <v>0</v>
      </c>
      <c r="R21" s="147">
        <f>+'NYISO G'!J26</f>
        <v>0</v>
      </c>
      <c r="S21" s="147">
        <f>+'NYISO J'!J26</f>
        <v>0</v>
      </c>
      <c r="T21" s="147">
        <f>+NEPOOL!J26</f>
        <v>0</v>
      </c>
      <c r="U21" s="147">
        <f>+PJM!J26</f>
        <v>0</v>
      </c>
      <c r="AH21" s="101">
        <v>37288</v>
      </c>
      <c r="AI21" s="98">
        <v>20</v>
      </c>
      <c r="AJ21" s="98">
        <v>4</v>
      </c>
      <c r="AK21" s="98">
        <v>4</v>
      </c>
      <c r="AL21" s="98">
        <v>0</v>
      </c>
    </row>
    <row r="22" spans="1:38" x14ac:dyDescent="0.2">
      <c r="A22" s="111">
        <f>+'NYISO A'!A27</f>
        <v>37150</v>
      </c>
      <c r="B22" s="148">
        <f>16*'NYISO A'!B27</f>
        <v>0</v>
      </c>
      <c r="C22" s="148">
        <f>16*'NYISO G'!B27</f>
        <v>0</v>
      </c>
      <c r="D22" s="148">
        <f>16*'NYISO J'!B27</f>
        <v>0</v>
      </c>
      <c r="E22" s="148">
        <f>16*NEPOOL!B27</f>
        <v>0</v>
      </c>
      <c r="F22" s="148">
        <f>16*PJM!B27</f>
        <v>0</v>
      </c>
      <c r="G22" s="148">
        <f>16*'NYISO A'!C27</f>
        <v>0</v>
      </c>
      <c r="H22" s="148">
        <f>16*'NYISO G'!C27</f>
        <v>0</v>
      </c>
      <c r="I22" s="148">
        <f>16*'NYISO J'!C27</f>
        <v>0</v>
      </c>
      <c r="J22" s="148">
        <f>16*NEPOOL!C27</f>
        <v>0</v>
      </c>
      <c r="K22" s="148">
        <f>16*PJM!C27</f>
        <v>0</v>
      </c>
      <c r="L22" s="147">
        <f>+'NYISO A'!I27</f>
        <v>0</v>
      </c>
      <c r="M22" s="147">
        <f>+'NYISO G'!I27</f>
        <v>0</v>
      </c>
      <c r="N22" s="147">
        <f>+'NYISO J'!I27</f>
        <v>0</v>
      </c>
      <c r="O22" s="147">
        <f>+NEPOOL!I27</f>
        <v>0</v>
      </c>
      <c r="P22" s="147">
        <f>+PJM!I27</f>
        <v>0</v>
      </c>
      <c r="Q22" s="147">
        <f>+'NYISO A'!J27</f>
        <v>0</v>
      </c>
      <c r="R22" s="147">
        <f>+'NYISO G'!J27</f>
        <v>0</v>
      </c>
      <c r="S22" s="147">
        <f>+'NYISO J'!J27</f>
        <v>0</v>
      </c>
      <c r="T22" s="147">
        <f>+NEPOOL!J27</f>
        <v>0</v>
      </c>
      <c r="U22" s="147">
        <f>+PJM!J27</f>
        <v>0</v>
      </c>
      <c r="AH22" s="101">
        <v>37316</v>
      </c>
      <c r="AI22" s="98">
        <v>21</v>
      </c>
      <c r="AJ22" s="98">
        <v>5</v>
      </c>
      <c r="AK22" s="98">
        <v>5</v>
      </c>
      <c r="AL22" s="98">
        <v>0</v>
      </c>
    </row>
    <row r="23" spans="1:38" x14ac:dyDescent="0.2">
      <c r="A23" s="111">
        <f>+'NYISO A'!A28</f>
        <v>37151</v>
      </c>
      <c r="B23" s="148">
        <f>16*'NYISO A'!B28</f>
        <v>-3985.7578125</v>
      </c>
      <c r="C23" s="148">
        <f>16*'NYISO G'!B28</f>
        <v>1.9999999920083944E-12</v>
      </c>
      <c r="D23" s="148">
        <f>16*'NYISO J'!B28</f>
        <v>1195.727294921875</v>
      </c>
      <c r="E23" s="148">
        <f>16*NEPOOL!B28</f>
        <v>-3183.964111328125</v>
      </c>
      <c r="F23" s="148">
        <f>16*PJM!B28</f>
        <v>-4.999999980020986E-12</v>
      </c>
      <c r="G23" s="148">
        <f>16*'NYISO A'!C28</f>
        <v>0</v>
      </c>
      <c r="H23" s="148">
        <f>16*'NYISO G'!C28</f>
        <v>0</v>
      </c>
      <c r="I23" s="148">
        <f>16*'NYISO J'!C28</f>
        <v>0</v>
      </c>
      <c r="J23" s="148">
        <f>16*NEPOOL!C28</f>
        <v>0</v>
      </c>
      <c r="K23" s="148">
        <f>16*PJM!C28</f>
        <v>0</v>
      </c>
      <c r="L23" s="147">
        <f>+'NYISO A'!I28</f>
        <v>-1992.87890625</v>
      </c>
      <c r="M23" s="147">
        <f>+'NYISO G'!I28</f>
        <v>0</v>
      </c>
      <c r="N23" s="147">
        <f>+'NYISO J'!I28</f>
        <v>0</v>
      </c>
      <c r="O23" s="147">
        <f>+NEPOOL!I28</f>
        <v>-541.27389892578663</v>
      </c>
      <c r="P23" s="147">
        <f>+PJM!I28</f>
        <v>-5.4999866265827115E-12</v>
      </c>
      <c r="Q23" s="147">
        <f>+'NYISO A'!J28</f>
        <v>0</v>
      </c>
      <c r="R23" s="147">
        <f>+'NYISO G'!J28</f>
        <v>0</v>
      </c>
      <c r="S23" s="147">
        <f>+'NYISO J'!J28</f>
        <v>0</v>
      </c>
      <c r="T23" s="147">
        <f>+NEPOOL!J28</f>
        <v>0</v>
      </c>
      <c r="U23" s="147">
        <f>+PJM!J28</f>
        <v>0</v>
      </c>
      <c r="AH23" s="101">
        <v>37347</v>
      </c>
      <c r="AI23" s="98">
        <v>22</v>
      </c>
      <c r="AJ23" s="98">
        <v>4</v>
      </c>
      <c r="AK23" s="98">
        <v>4</v>
      </c>
      <c r="AL23" s="98">
        <v>0</v>
      </c>
    </row>
    <row r="24" spans="1:38" x14ac:dyDescent="0.2">
      <c r="A24" s="111">
        <f>+'NYISO A'!A29</f>
        <v>37152</v>
      </c>
      <c r="B24" s="148">
        <f>16*'NYISO A'!B29</f>
        <v>-3985.7578125</v>
      </c>
      <c r="C24" s="148">
        <f>16*'NYISO G'!B29</f>
        <v>0</v>
      </c>
      <c r="D24" s="148">
        <f>16*'NYISO J'!B29</f>
        <v>1195.727294921875</v>
      </c>
      <c r="E24" s="148">
        <f>16*NEPOOL!B29</f>
        <v>-3183.964111328125</v>
      </c>
      <c r="F24" s="148">
        <f>16*PJM!B29</f>
        <v>-4.999999980020986E-12</v>
      </c>
      <c r="G24" s="148">
        <f>16*'NYISO A'!C29</f>
        <v>0</v>
      </c>
      <c r="H24" s="148">
        <f>16*'NYISO G'!C29</f>
        <v>0</v>
      </c>
      <c r="I24" s="148">
        <f>16*'NYISO J'!C29</f>
        <v>0</v>
      </c>
      <c r="J24" s="148">
        <f>16*NEPOOL!C29</f>
        <v>0</v>
      </c>
      <c r="K24" s="148">
        <f>16*PJM!C29</f>
        <v>0</v>
      </c>
      <c r="L24" s="147">
        <f>+'NYISO A'!I29</f>
        <v>-1992.87890625</v>
      </c>
      <c r="M24" s="147">
        <f>+'NYISO G'!I29</f>
        <v>0</v>
      </c>
      <c r="N24" s="147">
        <f>+'NYISO J'!I29</f>
        <v>0</v>
      </c>
      <c r="O24" s="147">
        <f>+NEPOOL!I29</f>
        <v>-541.27389892578663</v>
      </c>
      <c r="P24" s="147">
        <f>+PJM!I29</f>
        <v>-2.499986638570113E-12</v>
      </c>
      <c r="Q24" s="147">
        <f>+'NYISO A'!J29</f>
        <v>0</v>
      </c>
      <c r="R24" s="147">
        <f>+'NYISO G'!J29</f>
        <v>0</v>
      </c>
      <c r="S24" s="147">
        <f>+'NYISO J'!J29</f>
        <v>0</v>
      </c>
      <c r="T24" s="147">
        <f>+NEPOOL!J29</f>
        <v>0</v>
      </c>
      <c r="U24" s="147">
        <f>+PJM!J29</f>
        <v>0</v>
      </c>
      <c r="AH24" s="101">
        <v>37377</v>
      </c>
      <c r="AI24" s="98">
        <v>22</v>
      </c>
      <c r="AJ24" s="98">
        <v>4</v>
      </c>
      <c r="AK24" s="98">
        <v>5</v>
      </c>
      <c r="AL24" s="98">
        <v>1</v>
      </c>
    </row>
    <row r="25" spans="1:38" x14ac:dyDescent="0.2">
      <c r="A25" s="111">
        <f>+'NYISO A'!A30</f>
        <v>37153</v>
      </c>
      <c r="B25" s="148">
        <f>16*'NYISO A'!B30</f>
        <v>-3985.7578125</v>
      </c>
      <c r="C25" s="148">
        <f>16*'NYISO G'!B30</f>
        <v>3.9999999840167888E-12</v>
      </c>
      <c r="D25" s="148">
        <f>16*'NYISO J'!B30</f>
        <v>1195.727294921875</v>
      </c>
      <c r="E25" s="148">
        <f>16*NEPOOL!B30</f>
        <v>-3183.964111328125</v>
      </c>
      <c r="F25" s="148">
        <f>16*PJM!B30</f>
        <v>-1.1999999952050366E-11</v>
      </c>
      <c r="G25" s="148">
        <f>16*'NYISO A'!C30</f>
        <v>0</v>
      </c>
      <c r="H25" s="148">
        <f>16*'NYISO G'!C30</f>
        <v>0</v>
      </c>
      <c r="I25" s="148">
        <f>16*'NYISO J'!C30</f>
        <v>0</v>
      </c>
      <c r="J25" s="148">
        <f>16*NEPOOL!C30</f>
        <v>0</v>
      </c>
      <c r="K25" s="148">
        <f>16*PJM!C30</f>
        <v>0</v>
      </c>
      <c r="L25" s="147">
        <f>+'NYISO A'!I30</f>
        <v>-1992.87890625</v>
      </c>
      <c r="M25" s="147">
        <f>+'NYISO G'!I30</f>
        <v>0</v>
      </c>
      <c r="N25" s="147">
        <f>+'NYISO J'!I30</f>
        <v>0</v>
      </c>
      <c r="O25" s="147">
        <f>+NEPOOL!I30</f>
        <v>-541.27389892578663</v>
      </c>
      <c r="P25" s="147">
        <f>+PJM!I30</f>
        <v>-5.9999679325682716E-12</v>
      </c>
      <c r="Q25" s="147">
        <f>+'NYISO A'!J30</f>
        <v>0</v>
      </c>
      <c r="R25" s="147">
        <f>+'NYISO G'!J30</f>
        <v>0</v>
      </c>
      <c r="S25" s="147">
        <f>+'NYISO J'!J30</f>
        <v>0</v>
      </c>
      <c r="T25" s="147">
        <f>+NEPOOL!J30</f>
        <v>0</v>
      </c>
      <c r="U25" s="147">
        <f>+PJM!J30</f>
        <v>0</v>
      </c>
      <c r="AH25" s="101">
        <v>37408</v>
      </c>
      <c r="AI25" s="98">
        <v>20</v>
      </c>
      <c r="AJ25" s="98">
        <v>5</v>
      </c>
      <c r="AK25" s="98">
        <v>5</v>
      </c>
      <c r="AL25" s="98">
        <v>0</v>
      </c>
    </row>
    <row r="26" spans="1:38" x14ac:dyDescent="0.2">
      <c r="A26" s="111">
        <f>+'NYISO A'!A31</f>
        <v>37154</v>
      </c>
      <c r="B26" s="148">
        <f>16*'NYISO A'!B31</f>
        <v>-3985.7578125</v>
      </c>
      <c r="C26" s="148">
        <f>16*'NYISO G'!B31</f>
        <v>3.9999999840167888E-12</v>
      </c>
      <c r="D26" s="148">
        <f>16*'NYISO J'!B31</f>
        <v>1195.727294921875</v>
      </c>
      <c r="E26" s="148">
        <f>16*NEPOOL!B31</f>
        <v>-3183.964111328125</v>
      </c>
      <c r="F26" s="148">
        <f>16*PJM!B31</f>
        <v>-1.1999999952050366E-11</v>
      </c>
      <c r="G26" s="148">
        <f>16*'NYISO A'!C31</f>
        <v>0</v>
      </c>
      <c r="H26" s="148">
        <f>16*'NYISO G'!C31</f>
        <v>0</v>
      </c>
      <c r="I26" s="148">
        <f>16*'NYISO J'!C31</f>
        <v>0</v>
      </c>
      <c r="J26" s="148">
        <f>16*NEPOOL!C31</f>
        <v>0</v>
      </c>
      <c r="K26" s="148">
        <f>16*PJM!C31</f>
        <v>0</v>
      </c>
      <c r="L26" s="147">
        <f>+'NYISO A'!I31</f>
        <v>-1992.87890625</v>
      </c>
      <c r="M26" s="147">
        <f>+'NYISO G'!I31</f>
        <v>0</v>
      </c>
      <c r="N26" s="147">
        <f>+'NYISO J'!I31</f>
        <v>0</v>
      </c>
      <c r="O26" s="147">
        <f>+NEPOOL!I31</f>
        <v>-541.27389892578663</v>
      </c>
      <c r="P26" s="147">
        <f>+PJM!I31</f>
        <v>-5.9999679325682716E-12</v>
      </c>
      <c r="Q26" s="147">
        <f>+'NYISO A'!J31</f>
        <v>0</v>
      </c>
      <c r="R26" s="147">
        <f>+'NYISO G'!J31</f>
        <v>0</v>
      </c>
      <c r="S26" s="147">
        <f>+'NYISO J'!J31</f>
        <v>0</v>
      </c>
      <c r="T26" s="147">
        <f>+NEPOOL!J31</f>
        <v>0</v>
      </c>
      <c r="U26" s="147">
        <f>+PJM!J31</f>
        <v>0</v>
      </c>
      <c r="AH26" s="101">
        <v>37438</v>
      </c>
      <c r="AI26" s="98">
        <v>22</v>
      </c>
      <c r="AJ26" s="98">
        <v>4</v>
      </c>
      <c r="AK26" s="98">
        <v>5</v>
      </c>
      <c r="AL26" s="98">
        <v>1</v>
      </c>
    </row>
    <row r="27" spans="1:38" x14ac:dyDescent="0.2">
      <c r="A27" s="111">
        <f>+'NYISO A'!A32</f>
        <v>37155</v>
      </c>
      <c r="B27" s="148">
        <f>16*'NYISO A'!B32</f>
        <v>-3985.7578125</v>
      </c>
      <c r="C27" s="148">
        <f>16*'NYISO G'!B32</f>
        <v>3.9999999840167888E-12</v>
      </c>
      <c r="D27" s="148">
        <f>16*'NYISO J'!B32</f>
        <v>1195.727294921875</v>
      </c>
      <c r="E27" s="148">
        <f>16*NEPOOL!B32</f>
        <v>-3183.964111328125</v>
      </c>
      <c r="F27" s="148">
        <f>16*PJM!B32</f>
        <v>-1.9999999920083944E-12</v>
      </c>
      <c r="G27" s="148">
        <f>16*'NYISO A'!C32</f>
        <v>0</v>
      </c>
      <c r="H27" s="148">
        <f>16*'NYISO G'!C32</f>
        <v>0</v>
      </c>
      <c r="I27" s="148">
        <f>16*'NYISO J'!C32</f>
        <v>0</v>
      </c>
      <c r="J27" s="148">
        <f>16*NEPOOL!C32</f>
        <v>0</v>
      </c>
      <c r="K27" s="148">
        <f>16*PJM!C32</f>
        <v>0</v>
      </c>
      <c r="L27" s="147">
        <f>+'NYISO A'!I32</f>
        <v>-1992.87890625</v>
      </c>
      <c r="M27" s="147">
        <f>+'NYISO G'!I32</f>
        <v>0</v>
      </c>
      <c r="N27" s="147">
        <f>+'NYISO J'!I32</f>
        <v>0</v>
      </c>
      <c r="O27" s="147">
        <f>+NEPOOL!I32</f>
        <v>-541.27389892578663</v>
      </c>
      <c r="P27" s="147">
        <f>+PJM!I32</f>
        <v>-9.9999465542804533E-13</v>
      </c>
      <c r="Q27" s="147">
        <f>+'NYISO A'!J32</f>
        <v>0</v>
      </c>
      <c r="R27" s="147">
        <f>+'NYISO G'!J32</f>
        <v>0</v>
      </c>
      <c r="S27" s="147">
        <f>+'NYISO J'!J32</f>
        <v>0</v>
      </c>
      <c r="T27" s="147">
        <f>+NEPOOL!J32</f>
        <v>0</v>
      </c>
      <c r="U27" s="147">
        <f>+PJM!J32</f>
        <v>0</v>
      </c>
      <c r="AH27" s="101">
        <v>37469</v>
      </c>
      <c r="AI27" s="98">
        <v>22</v>
      </c>
      <c r="AJ27" s="98">
        <v>5</v>
      </c>
      <c r="AK27" s="98">
        <v>4</v>
      </c>
      <c r="AL27" s="98">
        <v>0</v>
      </c>
    </row>
    <row r="28" spans="1:38" x14ac:dyDescent="0.2">
      <c r="A28" s="111">
        <f>+'NYISO A'!A33</f>
        <v>37156</v>
      </c>
      <c r="B28" s="148">
        <f>16*'NYISO A'!B33</f>
        <v>0</v>
      </c>
      <c r="C28" s="148">
        <f>16*'NYISO G'!B33</f>
        <v>0</v>
      </c>
      <c r="D28" s="148">
        <f>16*'NYISO J'!B33</f>
        <v>0</v>
      </c>
      <c r="E28" s="148">
        <f>16*NEPOOL!B33</f>
        <v>0</v>
      </c>
      <c r="F28" s="148">
        <f>16*PJM!B33</f>
        <v>0</v>
      </c>
      <c r="G28" s="148">
        <f>16*'NYISO A'!C33</f>
        <v>0</v>
      </c>
      <c r="H28" s="148">
        <f>16*'NYISO G'!C33</f>
        <v>0</v>
      </c>
      <c r="I28" s="148">
        <f>16*'NYISO J'!C33</f>
        <v>0</v>
      </c>
      <c r="J28" s="148">
        <f>16*NEPOOL!C33</f>
        <v>0</v>
      </c>
      <c r="K28" s="148">
        <f>16*PJM!C33</f>
        <v>0</v>
      </c>
      <c r="L28" s="147">
        <f>+'NYISO A'!I33</f>
        <v>0</v>
      </c>
      <c r="M28" s="147">
        <f>+'NYISO G'!I33</f>
        <v>0</v>
      </c>
      <c r="N28" s="147">
        <f>+'NYISO J'!I33</f>
        <v>0</v>
      </c>
      <c r="O28" s="147">
        <f>+NEPOOL!I33</f>
        <v>0</v>
      </c>
      <c r="P28" s="147">
        <f>+PJM!I33</f>
        <v>0</v>
      </c>
      <c r="Q28" s="147">
        <f>+'NYISO A'!J33</f>
        <v>0</v>
      </c>
      <c r="R28" s="147">
        <f>+'NYISO G'!J33</f>
        <v>0</v>
      </c>
      <c r="S28" s="147">
        <f>+'NYISO J'!J33</f>
        <v>0</v>
      </c>
      <c r="T28" s="147">
        <f>+NEPOOL!J33</f>
        <v>0</v>
      </c>
      <c r="U28" s="147">
        <f>+PJM!J33</f>
        <v>0</v>
      </c>
      <c r="AH28" s="101">
        <v>37500</v>
      </c>
      <c r="AI28" s="98">
        <v>20</v>
      </c>
      <c r="AJ28" s="98">
        <v>4</v>
      </c>
      <c r="AK28" s="98">
        <v>6</v>
      </c>
      <c r="AL28" s="98">
        <v>1</v>
      </c>
    </row>
    <row r="29" spans="1:38" x14ac:dyDescent="0.2">
      <c r="A29" s="111">
        <f>+'NYISO A'!A34</f>
        <v>37157</v>
      </c>
      <c r="B29" s="148">
        <f>16*'NYISO A'!B34</f>
        <v>0</v>
      </c>
      <c r="C29" s="148">
        <f>16*'NYISO G'!B34</f>
        <v>0</v>
      </c>
      <c r="D29" s="148">
        <f>16*'NYISO J'!B34</f>
        <v>0</v>
      </c>
      <c r="E29" s="148">
        <f>16*NEPOOL!B34</f>
        <v>0</v>
      </c>
      <c r="F29" s="148">
        <f>16*PJM!B34</f>
        <v>0</v>
      </c>
      <c r="G29" s="148">
        <f>16*'NYISO A'!C34</f>
        <v>0</v>
      </c>
      <c r="H29" s="148">
        <f>16*'NYISO G'!C34</f>
        <v>0</v>
      </c>
      <c r="I29" s="148">
        <f>16*'NYISO J'!C34</f>
        <v>0</v>
      </c>
      <c r="J29" s="148">
        <f>16*NEPOOL!C34</f>
        <v>0</v>
      </c>
      <c r="K29" s="148">
        <f>16*PJM!C34</f>
        <v>0</v>
      </c>
      <c r="L29" s="147">
        <f>+'NYISO A'!I34</f>
        <v>0</v>
      </c>
      <c r="M29" s="147">
        <f>+'NYISO G'!I34</f>
        <v>0</v>
      </c>
      <c r="N29" s="147">
        <f>+'NYISO J'!I34</f>
        <v>0</v>
      </c>
      <c r="O29" s="147">
        <f>+NEPOOL!I34</f>
        <v>0</v>
      </c>
      <c r="P29" s="147">
        <f>+PJM!I34</f>
        <v>0</v>
      </c>
      <c r="Q29" s="147">
        <f>+'NYISO A'!J34</f>
        <v>0</v>
      </c>
      <c r="R29" s="147">
        <f>+'NYISO G'!J34</f>
        <v>0</v>
      </c>
      <c r="S29" s="147">
        <f>+'NYISO J'!J34</f>
        <v>0</v>
      </c>
      <c r="T29" s="147">
        <f>+NEPOOL!J34</f>
        <v>0</v>
      </c>
      <c r="U29" s="147">
        <f>+PJM!J34</f>
        <v>0</v>
      </c>
      <c r="AH29" s="101">
        <v>37530</v>
      </c>
      <c r="AI29" s="98">
        <v>23</v>
      </c>
      <c r="AJ29" s="98">
        <v>4</v>
      </c>
      <c r="AK29" s="98">
        <v>4</v>
      </c>
      <c r="AL29" s="98">
        <v>0</v>
      </c>
    </row>
    <row r="30" spans="1:38" x14ac:dyDescent="0.2">
      <c r="A30" s="111">
        <f>+'NYISO A'!A35</f>
        <v>37158</v>
      </c>
      <c r="B30" s="148">
        <f>16*'NYISO A'!B35</f>
        <v>-3985.7578125</v>
      </c>
      <c r="C30" s="148">
        <f>16*'NYISO G'!B35</f>
        <v>3.9999999840167888E-12</v>
      </c>
      <c r="D30" s="148">
        <f>16*'NYISO J'!B35</f>
        <v>1195.727294921875</v>
      </c>
      <c r="E30" s="148">
        <f>16*NEPOOL!B35</f>
        <v>-3183.964111328125</v>
      </c>
      <c r="F30" s="148">
        <f>16*PJM!B35</f>
        <v>-1.9999999920083944E-12</v>
      </c>
      <c r="G30" s="148">
        <f>16*'NYISO A'!C35</f>
        <v>0</v>
      </c>
      <c r="H30" s="148">
        <f>16*'NYISO G'!C35</f>
        <v>0</v>
      </c>
      <c r="I30" s="148">
        <f>16*'NYISO J'!C35</f>
        <v>0</v>
      </c>
      <c r="J30" s="148">
        <f>16*NEPOOL!C35</f>
        <v>0</v>
      </c>
      <c r="K30" s="148">
        <f>16*PJM!C35</f>
        <v>0</v>
      </c>
      <c r="L30" s="147">
        <f>+'NYISO A'!I35</f>
        <v>-1992.87890625</v>
      </c>
      <c r="M30" s="147">
        <f>+'NYISO G'!I35</f>
        <v>0</v>
      </c>
      <c r="N30" s="147">
        <f>+'NYISO J'!I35</f>
        <v>0</v>
      </c>
      <c r="O30" s="147">
        <f>+NEPOOL!I35</f>
        <v>-3725.2380102539119</v>
      </c>
      <c r="P30" s="147">
        <f>+PJM!I35</f>
        <v>-1.9999938884927953E-12</v>
      </c>
      <c r="Q30" s="147">
        <f>+'NYISO A'!J35</f>
        <v>0</v>
      </c>
      <c r="R30" s="147">
        <f>+'NYISO G'!J35</f>
        <v>0</v>
      </c>
      <c r="S30" s="147">
        <f>+'NYISO J'!J35</f>
        <v>0</v>
      </c>
      <c r="T30" s="147">
        <f>+NEPOOL!J35</f>
        <v>0</v>
      </c>
      <c r="U30" s="147">
        <f>+PJM!J35</f>
        <v>0</v>
      </c>
      <c r="AH30" s="101">
        <v>37561</v>
      </c>
      <c r="AI30" s="98">
        <v>20</v>
      </c>
      <c r="AJ30" s="98">
        <v>5</v>
      </c>
      <c r="AK30" s="98">
        <v>5</v>
      </c>
      <c r="AL30" s="98">
        <v>1</v>
      </c>
    </row>
    <row r="31" spans="1:38" x14ac:dyDescent="0.2">
      <c r="A31" s="111">
        <f>+'NYISO A'!A36</f>
        <v>37159</v>
      </c>
      <c r="B31" s="148">
        <f>16*'NYISO A'!B36</f>
        <v>-3985.7578125</v>
      </c>
      <c r="C31" s="148">
        <f>16*'NYISO G'!B36</f>
        <v>3.9999999840167888E-12</v>
      </c>
      <c r="D31" s="148">
        <f>16*'NYISO J'!B36</f>
        <v>1195.727294921875</v>
      </c>
      <c r="E31" s="148">
        <f>16*NEPOOL!B36</f>
        <v>-3183.964111328125</v>
      </c>
      <c r="F31" s="148">
        <f>16*PJM!B36</f>
        <v>-1.9999999920083944E-12</v>
      </c>
      <c r="G31" s="148">
        <f>16*'NYISO A'!C36</f>
        <v>0</v>
      </c>
      <c r="H31" s="148">
        <f>16*'NYISO G'!C36</f>
        <v>0</v>
      </c>
      <c r="I31" s="148">
        <f>16*'NYISO J'!C36</f>
        <v>0</v>
      </c>
      <c r="J31" s="148">
        <f>16*NEPOOL!C36</f>
        <v>0</v>
      </c>
      <c r="K31" s="148">
        <f>16*PJM!C36</f>
        <v>0</v>
      </c>
      <c r="L31" s="147">
        <f>+'NYISO A'!I36</f>
        <v>-1992.87890625</v>
      </c>
      <c r="M31" s="147">
        <f>+'NYISO G'!I36</f>
        <v>0</v>
      </c>
      <c r="N31" s="147">
        <f>+'NYISO J'!I36</f>
        <v>0</v>
      </c>
      <c r="O31" s="147">
        <f>+NEPOOL!I36</f>
        <v>-3725.2380102539119</v>
      </c>
      <c r="P31" s="147">
        <f>+PJM!I36</f>
        <v>-7.9999389328775571E-13</v>
      </c>
      <c r="Q31" s="147">
        <f>+'NYISO A'!J36</f>
        <v>0</v>
      </c>
      <c r="R31" s="147">
        <f>+'NYISO G'!J36</f>
        <v>0</v>
      </c>
      <c r="S31" s="147">
        <f>+'NYISO J'!J36</f>
        <v>0</v>
      </c>
      <c r="T31" s="147">
        <f>+NEPOOL!J36</f>
        <v>0</v>
      </c>
      <c r="U31" s="147">
        <f>+PJM!J36</f>
        <v>0</v>
      </c>
      <c r="AH31" s="101">
        <v>37591</v>
      </c>
      <c r="AI31" s="98">
        <v>21</v>
      </c>
      <c r="AJ31" s="98">
        <v>4</v>
      </c>
      <c r="AK31" s="98">
        <v>6</v>
      </c>
      <c r="AL31" s="98">
        <v>1</v>
      </c>
    </row>
    <row r="32" spans="1:38" x14ac:dyDescent="0.2">
      <c r="A32" s="111">
        <f>+'NYISO A'!A37</f>
        <v>37160</v>
      </c>
      <c r="B32" s="148">
        <f>16*'NYISO A'!B37</f>
        <v>-3985.7578125</v>
      </c>
      <c r="C32" s="148">
        <f>16*'NYISO G'!B37</f>
        <v>3.9999999840167888E-12</v>
      </c>
      <c r="D32" s="148">
        <f>16*'NYISO J'!B37</f>
        <v>1195.727294921875</v>
      </c>
      <c r="E32" s="148">
        <f>16*NEPOOL!B37</f>
        <v>-3183.964111328125</v>
      </c>
      <c r="F32" s="148">
        <f>16*PJM!B37</f>
        <v>-1.9999999920083944E-12</v>
      </c>
      <c r="G32" s="148">
        <f>16*'NYISO A'!C37</f>
        <v>0</v>
      </c>
      <c r="H32" s="148">
        <f>16*'NYISO G'!C37</f>
        <v>0</v>
      </c>
      <c r="I32" s="148">
        <f>16*'NYISO J'!C37</f>
        <v>0</v>
      </c>
      <c r="J32" s="148">
        <f>16*NEPOOL!C37</f>
        <v>0</v>
      </c>
      <c r="K32" s="148">
        <f>16*PJM!C37</f>
        <v>0</v>
      </c>
      <c r="L32" s="147">
        <f>+'NYISO A'!I37</f>
        <v>-1992.87890625</v>
      </c>
      <c r="M32" s="147">
        <f>+'NYISO G'!I37</f>
        <v>0</v>
      </c>
      <c r="N32" s="147">
        <f>+'NYISO J'!I37</f>
        <v>0</v>
      </c>
      <c r="O32" s="147">
        <f>+NEPOOL!I37</f>
        <v>-3725.2380102539119</v>
      </c>
      <c r="P32" s="147">
        <f>+PJM!I37</f>
        <v>-7.9999389328775571E-13</v>
      </c>
      <c r="Q32" s="147">
        <f>+'NYISO A'!J37</f>
        <v>0</v>
      </c>
      <c r="R32" s="147">
        <f>+'NYISO G'!J37</f>
        <v>0</v>
      </c>
      <c r="S32" s="147">
        <f>+'NYISO J'!J37</f>
        <v>0</v>
      </c>
      <c r="T32" s="147">
        <f>+NEPOOL!J37</f>
        <v>0</v>
      </c>
      <c r="U32" s="147">
        <f>+PJM!J37</f>
        <v>0</v>
      </c>
    </row>
    <row r="33" spans="1:21" x14ac:dyDescent="0.2">
      <c r="A33" s="111">
        <f>+'NYISO A'!A38</f>
        <v>37161</v>
      </c>
      <c r="B33" s="148">
        <f>16*'NYISO A'!B38</f>
        <v>-3985.7578125</v>
      </c>
      <c r="C33" s="148">
        <f>16*'NYISO G'!B38</f>
        <v>3.9999999840167888E-12</v>
      </c>
      <c r="D33" s="148">
        <f>16*'NYISO J'!B38</f>
        <v>1195.727294921875</v>
      </c>
      <c r="E33" s="148">
        <f>16*NEPOOL!B38</f>
        <v>-3183.964111328125</v>
      </c>
      <c r="F33" s="148">
        <f>16*PJM!B38</f>
        <v>-1.9999999920083944E-12</v>
      </c>
      <c r="G33" s="148">
        <f>16*'NYISO A'!C38</f>
        <v>0</v>
      </c>
      <c r="H33" s="148">
        <f>16*'NYISO G'!C38</f>
        <v>0</v>
      </c>
      <c r="I33" s="148">
        <f>16*'NYISO J'!C38</f>
        <v>0</v>
      </c>
      <c r="J33" s="148">
        <f>16*NEPOOL!C38</f>
        <v>0</v>
      </c>
      <c r="K33" s="148">
        <f>16*PJM!C38</f>
        <v>0</v>
      </c>
      <c r="L33" s="147">
        <f>+'NYISO A'!I38</f>
        <v>-1992.87890625</v>
      </c>
      <c r="M33" s="147">
        <f>+'NYISO G'!I38</f>
        <v>0</v>
      </c>
      <c r="N33" s="147">
        <f>+'NYISO J'!I38</f>
        <v>0</v>
      </c>
      <c r="O33" s="147">
        <f>+NEPOOL!I38</f>
        <v>-3725.2380102539119</v>
      </c>
      <c r="P33" s="147">
        <f>+PJM!I38</f>
        <v>-7.9999389328775571E-13</v>
      </c>
      <c r="Q33" s="147">
        <f>+'NYISO A'!J38</f>
        <v>0</v>
      </c>
      <c r="R33" s="147">
        <f>+'NYISO G'!J38</f>
        <v>0</v>
      </c>
      <c r="S33" s="147">
        <f>+'NYISO J'!J38</f>
        <v>0</v>
      </c>
      <c r="T33" s="147">
        <f>+NEPOOL!J38</f>
        <v>0</v>
      </c>
      <c r="U33" s="147">
        <f>+PJM!J38</f>
        <v>0</v>
      </c>
    </row>
    <row r="34" spans="1:21" x14ac:dyDescent="0.2">
      <c r="A34" s="111">
        <f>+'NYISO A'!A39</f>
        <v>37162</v>
      </c>
      <c r="B34" s="148">
        <f>16*'NYISO A'!B39</f>
        <v>-3985.7578125</v>
      </c>
      <c r="C34" s="148">
        <f>16*'NYISO G'!B39</f>
        <v>3.9999999840167888E-12</v>
      </c>
      <c r="D34" s="148">
        <f>16*'NYISO J'!B39</f>
        <v>1195.727294921875</v>
      </c>
      <c r="E34" s="148">
        <f>16*NEPOOL!B39</f>
        <v>-3183.964111328125</v>
      </c>
      <c r="F34" s="148">
        <f>16*PJM!B39</f>
        <v>-1.9999999920083944E-12</v>
      </c>
      <c r="G34" s="148">
        <f>16*'NYISO A'!C39</f>
        <v>0</v>
      </c>
      <c r="H34" s="148">
        <f>16*'NYISO G'!C39</f>
        <v>0</v>
      </c>
      <c r="I34" s="148">
        <f>16*'NYISO J'!C39</f>
        <v>0</v>
      </c>
      <c r="J34" s="148">
        <f>16*NEPOOL!C39</f>
        <v>0</v>
      </c>
      <c r="K34" s="148">
        <f>16*PJM!C39</f>
        <v>0</v>
      </c>
      <c r="L34" s="147">
        <f>+'NYISO A'!I39</f>
        <v>-1992.87890625</v>
      </c>
      <c r="M34" s="147">
        <f>+'NYISO G'!I39</f>
        <v>0</v>
      </c>
      <c r="N34" s="147">
        <f>+'NYISO J'!I39</f>
        <v>0</v>
      </c>
      <c r="O34" s="147">
        <f>+NEPOOL!I39</f>
        <v>-3725.2380102539119</v>
      </c>
      <c r="P34" s="147">
        <f>+PJM!I39</f>
        <v>-7.9999389328775571E-13</v>
      </c>
      <c r="Q34" s="147">
        <f>+'NYISO A'!J39</f>
        <v>0</v>
      </c>
      <c r="R34" s="147">
        <f>+'NYISO G'!J39</f>
        <v>0</v>
      </c>
      <c r="S34" s="147">
        <f>+'NYISO J'!J39</f>
        <v>0</v>
      </c>
      <c r="T34" s="147">
        <f>+NEPOOL!J39</f>
        <v>0</v>
      </c>
      <c r="U34" s="147">
        <f>+PJM!J39</f>
        <v>0</v>
      </c>
    </row>
    <row r="35" spans="1:21" x14ac:dyDescent="0.2">
      <c r="A35" s="111">
        <f>+'NYISO A'!A40</f>
        <v>37163</v>
      </c>
      <c r="B35" s="148">
        <f>16*'NYISO A'!B40</f>
        <v>0</v>
      </c>
      <c r="C35" s="148">
        <f>16*'NYISO G'!B40</f>
        <v>0</v>
      </c>
      <c r="D35" s="148">
        <f>16*'NYISO J'!B40</f>
        <v>0</v>
      </c>
      <c r="E35" s="148">
        <f>16*NEPOOL!B40</f>
        <v>0</v>
      </c>
      <c r="F35" s="148">
        <f>16*PJM!B40</f>
        <v>0</v>
      </c>
      <c r="G35" s="148">
        <f>16*'NYISO A'!C40</f>
        <v>0</v>
      </c>
      <c r="H35" s="148">
        <f>16*'NYISO G'!C40</f>
        <v>0</v>
      </c>
      <c r="I35" s="148">
        <f>16*'NYISO J'!C40</f>
        <v>0</v>
      </c>
      <c r="J35" s="148">
        <f>16*NEPOOL!C40</f>
        <v>0</v>
      </c>
      <c r="K35" s="148">
        <f>16*PJM!C40</f>
        <v>0</v>
      </c>
      <c r="L35" s="147">
        <f>+'NYISO A'!I40</f>
        <v>0</v>
      </c>
      <c r="M35" s="147">
        <f>+'NYISO G'!I40</f>
        <v>0</v>
      </c>
      <c r="N35" s="147">
        <f>+'NYISO J'!I40</f>
        <v>0</v>
      </c>
      <c r="O35" s="147">
        <f>+NEPOOL!I40</f>
        <v>0</v>
      </c>
      <c r="P35" s="147">
        <f>+PJM!I40</f>
        <v>0</v>
      </c>
      <c r="Q35" s="147">
        <f>+'NYISO A'!J40</f>
        <v>0</v>
      </c>
      <c r="R35" s="147">
        <f>+'NYISO G'!J40</f>
        <v>0</v>
      </c>
      <c r="S35" s="147">
        <f>+'NYISO J'!J40</f>
        <v>0</v>
      </c>
      <c r="T35" s="147">
        <f>+NEPOOL!J40</f>
        <v>0</v>
      </c>
      <c r="U35" s="147">
        <f>+PJM!J40</f>
        <v>0</v>
      </c>
    </row>
    <row r="36" spans="1:21" x14ac:dyDescent="0.2">
      <c r="A36" s="111">
        <f>+'NYISO A'!A41</f>
        <v>37164</v>
      </c>
      <c r="B36" s="148">
        <f>16*'NYISO A'!B41</f>
        <v>0</v>
      </c>
      <c r="C36" s="148">
        <f>16*'NYISO G'!B41</f>
        <v>0</v>
      </c>
      <c r="D36" s="148">
        <f>16*'NYISO J'!B41</f>
        <v>0</v>
      </c>
      <c r="E36" s="148">
        <f>16*NEPOOL!B41</f>
        <v>0</v>
      </c>
      <c r="F36" s="148">
        <f>16*PJM!B41</f>
        <v>0</v>
      </c>
      <c r="G36" s="148">
        <f>16*'NYISO A'!C41</f>
        <v>0</v>
      </c>
      <c r="H36" s="148">
        <f>16*'NYISO G'!C41</f>
        <v>0</v>
      </c>
      <c r="I36" s="148">
        <f>16*'NYISO J'!C41</f>
        <v>0</v>
      </c>
      <c r="J36" s="148">
        <f>16*NEPOOL!C41</f>
        <v>0</v>
      </c>
      <c r="K36" s="148">
        <f>16*PJM!C41</f>
        <v>0</v>
      </c>
      <c r="L36" s="147">
        <f>+'NYISO A'!I41</f>
        <v>0</v>
      </c>
      <c r="M36" s="147">
        <f>+'NYISO G'!I41</f>
        <v>0</v>
      </c>
      <c r="N36" s="147">
        <f>+'NYISO J'!I41</f>
        <v>0</v>
      </c>
      <c r="O36" s="147">
        <f>+NEPOOL!I41</f>
        <v>0</v>
      </c>
      <c r="P36" s="147">
        <f>+PJM!I41</f>
        <v>0</v>
      </c>
      <c r="Q36" s="147">
        <f>+'NYISO A'!J41</f>
        <v>0</v>
      </c>
      <c r="R36" s="147">
        <f>+'NYISO G'!J41</f>
        <v>0</v>
      </c>
      <c r="S36" s="147">
        <f>+'NYISO J'!J41</f>
        <v>0</v>
      </c>
      <c r="T36" s="147">
        <f>+NEPOOL!J41</f>
        <v>0</v>
      </c>
      <c r="U36" s="147">
        <f>+PJM!J41</f>
        <v>0</v>
      </c>
    </row>
    <row r="37" spans="1:21" x14ac:dyDescent="0.2">
      <c r="A37" s="111">
        <f>+'NYISO A'!A42</f>
        <v>37165</v>
      </c>
      <c r="B37" s="148">
        <f>16*'NYISO A'!B42</f>
        <v>-73105</v>
      </c>
      <c r="C37" s="148">
        <f>16*'NYISO G'!B42</f>
        <v>-18276.25</v>
      </c>
      <c r="D37" s="148">
        <f>16*'NYISO J'!B42</f>
        <v>18276.25</v>
      </c>
      <c r="E37" s="148">
        <f>16*NEPOOL!B42</f>
        <v>0</v>
      </c>
      <c r="F37" s="148">
        <f>16*PJM!B42</f>
        <v>-18253.826171875</v>
      </c>
      <c r="G37" s="148">
        <f>16*'NYISO A'!C42</f>
        <v>0</v>
      </c>
      <c r="H37" s="148">
        <f>16*'NYISO G'!C42</f>
        <v>0</v>
      </c>
      <c r="I37" s="148">
        <f>16*'NYISO J'!C42</f>
        <v>0</v>
      </c>
      <c r="J37" s="148">
        <f>16*NEPOOL!C42</f>
        <v>0</v>
      </c>
      <c r="K37" s="148">
        <f>16*PJM!C42</f>
        <v>0</v>
      </c>
      <c r="L37" s="147">
        <f>+'NYISO A'!I42</f>
        <v>-54828.75</v>
      </c>
      <c r="M37" s="147">
        <f>+'NYISO G'!I42</f>
        <v>-9138.125</v>
      </c>
      <c r="N37" s="147">
        <f>+'NYISO J'!I42</f>
        <v>13707.1875</v>
      </c>
      <c r="O37" s="147">
        <f>+NEPOOL!I42</f>
        <v>0</v>
      </c>
      <c r="P37" s="147">
        <f>+PJM!I42</f>
        <v>-11864.980048436671</v>
      </c>
      <c r="Q37" s="147">
        <f>+'NYISO A'!J42</f>
        <v>0</v>
      </c>
      <c r="R37" s="147">
        <f>+'NYISO G'!J42</f>
        <v>0</v>
      </c>
      <c r="S37" s="147">
        <f>+'NYISO J'!J42</f>
        <v>0</v>
      </c>
      <c r="T37" s="147">
        <f>+NEPOOL!J42</f>
        <v>0</v>
      </c>
      <c r="U37" s="147">
        <f>+PJM!J42</f>
        <v>0</v>
      </c>
    </row>
    <row r="38" spans="1:21" ht="13.5" thickBot="1" x14ac:dyDescent="0.25">
      <c r="A38" s="111">
        <f>+'NYISO A'!A43</f>
        <v>37195</v>
      </c>
      <c r="B38" s="148">
        <f>16*'NYISO A'!B43</f>
        <v>0</v>
      </c>
      <c r="C38" s="148">
        <f>16*'NYISO G'!B43</f>
        <v>0</v>
      </c>
      <c r="D38" s="148">
        <f>16*'NYISO J'!B43</f>
        <v>0</v>
      </c>
      <c r="E38" s="148">
        <f>16*NEPOOL!B43</f>
        <v>0</v>
      </c>
      <c r="F38" s="148">
        <f>16*PJM!B43</f>
        <v>0</v>
      </c>
      <c r="G38" s="148">
        <f>16*'NYISO A'!C43</f>
        <v>0</v>
      </c>
      <c r="H38" s="148">
        <f>16*'NYISO G'!C43</f>
        <v>0</v>
      </c>
      <c r="I38" s="148">
        <f>16*'NYISO J'!C43</f>
        <v>0</v>
      </c>
      <c r="J38" s="148">
        <f>16*NEPOOL!C43</f>
        <v>0</v>
      </c>
      <c r="K38" s="148">
        <f>16*PJM!C43</f>
        <v>0</v>
      </c>
      <c r="L38" s="147">
        <f>+'NYISO A'!I43</f>
        <v>0</v>
      </c>
      <c r="M38" s="147">
        <f>+'NYISO G'!I43</f>
        <v>0</v>
      </c>
      <c r="N38" s="147">
        <f>+'NYISO J'!I43</f>
        <v>0</v>
      </c>
      <c r="O38" s="147">
        <f>+NEPOOL!I43</f>
        <v>0</v>
      </c>
      <c r="P38" s="147">
        <f>+PJM!I43</f>
        <v>0</v>
      </c>
      <c r="Q38" s="147">
        <f>+'NYISO A'!J43</f>
        <v>0</v>
      </c>
      <c r="R38" s="147">
        <f>+'NYISO G'!J43</f>
        <v>0</v>
      </c>
      <c r="S38" s="147">
        <f>+'NYISO J'!J43</f>
        <v>0</v>
      </c>
      <c r="T38" s="147">
        <f>+NEPOOL!J43</f>
        <v>0</v>
      </c>
      <c r="U38" s="147">
        <f>+PJM!J43</f>
        <v>0</v>
      </c>
    </row>
    <row r="39" spans="1:21" x14ac:dyDescent="0.2">
      <c r="A39" s="107">
        <f>+'NYISO A'!A44</f>
        <v>37196</v>
      </c>
      <c r="B39" s="149">
        <f>'NYISO A'!B44*16*'NYISO A'!DR44</f>
        <v>-66560.9140625</v>
      </c>
      <c r="C39" s="149">
        <f>16*'NYISO G'!B44*'NYISO G'!DR44</f>
        <v>-16640.228515625</v>
      </c>
      <c r="D39" s="150">
        <f>16*'NYISO J'!B44*'NYISO J'!DR44</f>
        <v>16640.228515625</v>
      </c>
      <c r="E39" s="149">
        <f>NEPOOL!B44*16*NEPOOL!DR44</f>
        <v>0</v>
      </c>
      <c r="F39" s="149">
        <f>PJM!B44*16*PJM!DR44</f>
        <v>-16620.55078125</v>
      </c>
      <c r="G39" s="150">
        <f>16*'NYISO A'!C44*'NYISO A'!DR44</f>
        <v>0</v>
      </c>
      <c r="H39" s="150">
        <f>16*'NYISO G'!C44*'NYISO G'!DR44</f>
        <v>0</v>
      </c>
      <c r="I39" s="150">
        <f>16*'NYISO J'!C44*'NYISO J'!DR44</f>
        <v>0</v>
      </c>
      <c r="J39" s="150">
        <f>16*NEPOOL!C44*NEPOOL!DR44</f>
        <v>0</v>
      </c>
      <c r="K39" s="150">
        <f>16*PJM!C44*PJM!DR44</f>
        <v>0</v>
      </c>
      <c r="L39" s="151">
        <f>+'NYISO A'!I44</f>
        <v>-49920.685546875007</v>
      </c>
      <c r="M39" s="151">
        <f>+'NYISO G'!I44</f>
        <v>-8320.1142578125</v>
      </c>
      <c r="N39" s="151">
        <f>+'NYISO J'!I44</f>
        <v>12480.171386718752</v>
      </c>
      <c r="O39" s="151">
        <f>+NEPOOL!I44</f>
        <v>0</v>
      </c>
      <c r="P39" s="151">
        <f>+PJM!I44</f>
        <v>-24930.826171875</v>
      </c>
      <c r="Q39" s="151">
        <f>+'NYISO A'!J44</f>
        <v>0</v>
      </c>
      <c r="R39" s="151">
        <f>+'NYISO G'!J44</f>
        <v>0</v>
      </c>
      <c r="S39" s="151">
        <f>+'NYISO J'!J44</f>
        <v>0</v>
      </c>
      <c r="T39" s="151">
        <f>+NEPOOL!J44</f>
        <v>0</v>
      </c>
      <c r="U39" s="151">
        <f>+PJM!J44</f>
        <v>0</v>
      </c>
    </row>
    <row r="40" spans="1:21" x14ac:dyDescent="0.2">
      <c r="A40" s="108">
        <f t="shared" ref="A40:A53" si="1">+EOMONTH(A39,0)+1</f>
        <v>37226</v>
      </c>
      <c r="B40" s="148">
        <f>'NYISO A'!B45*16*'NYISO A'!DR45</f>
        <v>-63206.4140625</v>
      </c>
      <c r="C40" s="148">
        <f>16*'NYISO G'!B45*'NYISO G'!DR45</f>
        <v>-15801.603515625</v>
      </c>
      <c r="D40" s="148">
        <f>16*'NYISO J'!B45*'NYISO J'!DR45</f>
        <v>15801.603515625</v>
      </c>
      <c r="E40" s="148">
        <f>NEPOOL!B45*16*NEPOOL!DR45</f>
        <v>0</v>
      </c>
      <c r="F40" s="148">
        <f>PJM!B45*16*PJM!DR45</f>
        <v>-15783.7373046875</v>
      </c>
      <c r="G40" s="148">
        <f>16*'NYISO A'!C45*'NYISO A'!DR45</f>
        <v>-64000</v>
      </c>
      <c r="H40" s="148">
        <f>16*'NYISO G'!C45*'NYISO G'!DR45</f>
        <v>-16000</v>
      </c>
      <c r="I40" s="148">
        <f>16*'NYISO J'!C45*'NYISO J'!DR45</f>
        <v>0</v>
      </c>
      <c r="J40" s="148">
        <f>16*NEPOOL!C45*NEPOOL!DR45</f>
        <v>0</v>
      </c>
      <c r="K40" s="148">
        <f>16*PJM!C45*PJM!DR45</f>
        <v>0</v>
      </c>
      <c r="L40" s="147">
        <f>+'NYISO A'!I45</f>
        <v>-47404.810546875</v>
      </c>
      <c r="M40" s="147">
        <f>+'NYISO G'!I45</f>
        <v>-7900.8017578125</v>
      </c>
      <c r="N40" s="147">
        <f>+'NYISO J'!I45</f>
        <v>11851.20263671875</v>
      </c>
      <c r="O40" s="147">
        <f>+NEPOOL!I45</f>
        <v>0</v>
      </c>
      <c r="P40" s="147">
        <f>+PJM!I45</f>
        <v>27621.540283203125</v>
      </c>
      <c r="Q40" s="147">
        <f>+'NYISO A'!J45</f>
        <v>8799.9999999999545</v>
      </c>
      <c r="R40" s="147">
        <f>+'NYISO G'!J45</f>
        <v>-9600.0000000000218</v>
      </c>
      <c r="S40" s="147">
        <f>+'NYISO J'!J45</f>
        <v>0</v>
      </c>
      <c r="T40" s="147">
        <f>+NEPOOL!J45</f>
        <v>0</v>
      </c>
      <c r="U40" s="147">
        <f>+PJM!J45</f>
        <v>0</v>
      </c>
    </row>
    <row r="41" spans="1:21" x14ac:dyDescent="0.2">
      <c r="A41" s="108">
        <f t="shared" si="1"/>
        <v>37257</v>
      </c>
      <c r="B41" s="148">
        <f>'NYISO A'!B46*16*'NYISO A'!DR46</f>
        <v>51998.2109375</v>
      </c>
      <c r="C41" s="148">
        <f>16*'NYISO G'!B46*'NYISO G'!DR46</f>
        <v>-3.9999999840167888E-11</v>
      </c>
      <c r="D41" s="148">
        <f>16*'NYISO J'!B46*'NYISO J'!DR46</f>
        <v>0</v>
      </c>
      <c r="E41" s="148">
        <f>NEPOOL!B46*16*NEPOOL!DR46</f>
        <v>0</v>
      </c>
      <c r="F41" s="148">
        <f>PJM!B46*16*PJM!DR46</f>
        <v>-51934.80078125</v>
      </c>
      <c r="G41" s="148">
        <f>16*'NYISO A'!C46*'NYISO A'!DR46</f>
        <v>-17600</v>
      </c>
      <c r="H41" s="148">
        <f>16*'NYISO G'!C46*'NYISO G'!DR46</f>
        <v>0</v>
      </c>
      <c r="I41" s="148">
        <f>16*'NYISO J'!C46*'NYISO J'!DR46</f>
        <v>0</v>
      </c>
      <c r="J41" s="148">
        <f>16*NEPOOL!C46*NEPOOL!DR46</f>
        <v>0</v>
      </c>
      <c r="K41" s="148">
        <f>16*PJM!C46*PJM!DR46</f>
        <v>17600</v>
      </c>
      <c r="L41" s="147">
        <f>+'NYISO A'!I46</f>
        <v>0</v>
      </c>
      <c r="M41" s="147">
        <f>+'NYISO G'!I46</f>
        <v>1.7999999928075552E-10</v>
      </c>
      <c r="N41" s="147">
        <f>+'NYISO J'!I46</f>
        <v>0</v>
      </c>
      <c r="O41" s="147">
        <f>+NEPOOL!I46</f>
        <v>0</v>
      </c>
      <c r="P41" s="147">
        <f>+PJM!I46</f>
        <v>-25967.400390625</v>
      </c>
      <c r="Q41" s="147">
        <f>+'NYISO A'!J46</f>
        <v>-7039.9999999999745</v>
      </c>
      <c r="R41" s="147">
        <f>+'NYISO G'!J46</f>
        <v>0</v>
      </c>
      <c r="S41" s="147">
        <f>+'NYISO J'!J46</f>
        <v>0</v>
      </c>
      <c r="T41" s="147">
        <f>+NEPOOL!J46</f>
        <v>0</v>
      </c>
      <c r="U41" s="147">
        <f>+PJM!J46</f>
        <v>22000</v>
      </c>
    </row>
    <row r="42" spans="1:21" x14ac:dyDescent="0.2">
      <c r="A42" s="108">
        <f t="shared" si="1"/>
        <v>37288</v>
      </c>
      <c r="B42" s="148">
        <f>'NYISO A'!B47*16*'NYISO A'!DR47</f>
        <v>47146.87890625</v>
      </c>
      <c r="C42" s="148">
        <f>16*'NYISO G'!B47*'NYISO G'!DR47</f>
        <v>3.9999999840167888E-11</v>
      </c>
      <c r="D42" s="148">
        <f>16*'NYISO J'!B47*'NYISO J'!DR47</f>
        <v>0</v>
      </c>
      <c r="E42" s="148">
        <f>NEPOOL!B47*16*NEPOOL!DR47</f>
        <v>0</v>
      </c>
      <c r="F42" s="148">
        <f>PJM!B47*16*PJM!DR47</f>
        <v>-47088.9375</v>
      </c>
      <c r="G42" s="148">
        <f>16*'NYISO A'!C47*'NYISO A'!DR47</f>
        <v>-16000</v>
      </c>
      <c r="H42" s="148">
        <f>16*'NYISO G'!C47*'NYISO G'!DR47</f>
        <v>0</v>
      </c>
      <c r="I42" s="148">
        <f>16*'NYISO J'!C47*'NYISO J'!DR47</f>
        <v>0</v>
      </c>
      <c r="J42" s="148">
        <f>16*NEPOOL!C47*NEPOOL!DR47</f>
        <v>0</v>
      </c>
      <c r="K42" s="148">
        <f>16*PJM!C47*PJM!DR47</f>
        <v>16000</v>
      </c>
      <c r="L42" s="147">
        <f>+'NYISO A'!I47</f>
        <v>0</v>
      </c>
      <c r="M42" s="147">
        <f>+'NYISO G'!I47</f>
        <v>9.999999960041972E-12</v>
      </c>
      <c r="N42" s="147">
        <f>+'NYISO J'!I47</f>
        <v>0</v>
      </c>
      <c r="O42" s="147">
        <f>+NEPOOL!I47</f>
        <v>0</v>
      </c>
      <c r="P42" s="147">
        <f>+PJM!I47</f>
        <v>-23544.46875</v>
      </c>
      <c r="Q42" s="147">
        <f>+'NYISO A'!J47</f>
        <v>-6399.9999999999773</v>
      </c>
      <c r="R42" s="147">
        <f>+'NYISO G'!J47</f>
        <v>0</v>
      </c>
      <c r="S42" s="147">
        <f>+'NYISO J'!J47</f>
        <v>0</v>
      </c>
      <c r="T42" s="147">
        <f>+NEPOOL!J47</f>
        <v>0</v>
      </c>
      <c r="U42" s="147">
        <f>+PJM!J47</f>
        <v>20000</v>
      </c>
    </row>
    <row r="43" spans="1:21" x14ac:dyDescent="0.2">
      <c r="A43" s="108">
        <f t="shared" si="1"/>
        <v>37316</v>
      </c>
      <c r="B43" s="148">
        <f>'NYISO A'!B48*16*'NYISO A'!DR48</f>
        <v>16456.11328125</v>
      </c>
      <c r="C43" s="148">
        <f>16*'NYISO G'!B48*'NYISO G'!DR48</f>
        <v>1.9999999920083944E-11</v>
      </c>
      <c r="D43" s="148">
        <f>16*'NYISO J'!B48*'NYISO J'!DR48</f>
        <v>0</v>
      </c>
      <c r="E43" s="148">
        <f>NEPOOL!B48*16*NEPOOL!DR48</f>
        <v>0</v>
      </c>
      <c r="F43" s="148">
        <f>PJM!B48*16*PJM!DR48</f>
        <v>0</v>
      </c>
      <c r="G43" s="148">
        <f>16*'NYISO A'!C48*'NYISO A'!DR48</f>
        <v>16800</v>
      </c>
      <c r="H43" s="148">
        <f>16*'NYISO G'!C48*'NYISO G'!DR48</f>
        <v>0</v>
      </c>
      <c r="I43" s="148">
        <f>16*'NYISO J'!C48*'NYISO J'!DR48</f>
        <v>0</v>
      </c>
      <c r="J43" s="148">
        <f>16*NEPOOL!C48*NEPOOL!DR48</f>
        <v>0</v>
      </c>
      <c r="K43" s="148">
        <f>16*PJM!C48*PJM!DR48</f>
        <v>0</v>
      </c>
      <c r="L43" s="147">
        <f>+'NYISO A'!I48</f>
        <v>4114.0283203125</v>
      </c>
      <c r="M43" s="147">
        <f>+'NYISO G'!I48</f>
        <v>1.1499999954048268E-10</v>
      </c>
      <c r="N43" s="147">
        <f>+'NYISO J'!I48</f>
        <v>0</v>
      </c>
      <c r="O43" s="147">
        <f>+NEPOOL!I48</f>
        <v>0</v>
      </c>
      <c r="P43" s="147">
        <f>+PJM!I48</f>
        <v>0</v>
      </c>
      <c r="Q43" s="147">
        <f>+'NYISO A'!J48</f>
        <v>18480.000000000025</v>
      </c>
      <c r="R43" s="147">
        <f>+'NYISO G'!J48</f>
        <v>0</v>
      </c>
      <c r="S43" s="147">
        <f>+'NYISO J'!J48</f>
        <v>0</v>
      </c>
      <c r="T43" s="147">
        <f>+NEPOOL!J48</f>
        <v>0</v>
      </c>
      <c r="U43" s="147">
        <f>+PJM!J48</f>
        <v>0</v>
      </c>
    </row>
    <row r="44" spans="1:21" x14ac:dyDescent="0.2">
      <c r="A44" s="108">
        <f t="shared" si="1"/>
        <v>37347</v>
      </c>
      <c r="B44" s="148">
        <f>'NYISO A'!B49*16*'NYISO A'!DR49</f>
        <v>17186.7109375</v>
      </c>
      <c r="C44" s="148">
        <f>16*'NYISO G'!B49*'NYISO G'!DR49</f>
        <v>3.9999999840167888E-11</v>
      </c>
      <c r="D44" s="148">
        <f>16*'NYISO J'!B49*'NYISO J'!DR49</f>
        <v>0</v>
      </c>
      <c r="E44" s="148">
        <f>NEPOOL!B49*16*NEPOOL!DR49</f>
        <v>0</v>
      </c>
      <c r="F44" s="148">
        <f>PJM!B49*16*PJM!DR49</f>
        <v>0</v>
      </c>
      <c r="G44" s="148">
        <f>16*'NYISO A'!C49*'NYISO A'!DR49</f>
        <v>17600</v>
      </c>
      <c r="H44" s="148">
        <f>16*'NYISO G'!C49*'NYISO G'!DR49</f>
        <v>0</v>
      </c>
      <c r="I44" s="148">
        <f>16*'NYISO J'!C49*'NYISO J'!DR49</f>
        <v>0</v>
      </c>
      <c r="J44" s="148">
        <f>16*NEPOOL!C49*NEPOOL!DR49</f>
        <v>0</v>
      </c>
      <c r="K44" s="148">
        <f>16*PJM!C49*PJM!DR49</f>
        <v>0</v>
      </c>
      <c r="L44" s="147">
        <f>+'NYISO A'!I49</f>
        <v>4296.677734375</v>
      </c>
      <c r="M44" s="147">
        <f>+'NYISO G'!I49</f>
        <v>2.8199999887318361E-9</v>
      </c>
      <c r="N44" s="147">
        <f>+'NYISO J'!I49</f>
        <v>0</v>
      </c>
      <c r="O44" s="147">
        <f>+NEPOOL!I49</f>
        <v>0</v>
      </c>
      <c r="P44" s="147">
        <f>+PJM!I49</f>
        <v>0</v>
      </c>
      <c r="Q44" s="147">
        <f>+'NYISO A'!J49</f>
        <v>19360.000000000025</v>
      </c>
      <c r="R44" s="147">
        <f>+'NYISO G'!J49</f>
        <v>0</v>
      </c>
      <c r="S44" s="147">
        <f>+'NYISO J'!J49</f>
        <v>0</v>
      </c>
      <c r="T44" s="147">
        <f>+NEPOOL!J49</f>
        <v>0</v>
      </c>
      <c r="U44" s="147">
        <f>+PJM!J49</f>
        <v>0</v>
      </c>
    </row>
    <row r="45" spans="1:21" x14ac:dyDescent="0.2">
      <c r="A45" s="108">
        <f t="shared" si="1"/>
        <v>37377</v>
      </c>
      <c r="B45" s="148">
        <f>'NYISO A'!B50*16*'NYISO A'!DR50</f>
        <v>-2.0000000267028639E-10</v>
      </c>
      <c r="C45" s="148">
        <f>16*'NYISO G'!B50*'NYISO G'!DR50</f>
        <v>17135.123046875</v>
      </c>
      <c r="D45" s="148">
        <f>16*'NYISO J'!B50*'NYISO J'!DR50</f>
        <v>0</v>
      </c>
      <c r="E45" s="148">
        <f>NEPOOL!B50*16*NEPOOL!DR50</f>
        <v>0</v>
      </c>
      <c r="F45" s="148">
        <f>PJM!B50*16*PJM!DR50</f>
        <v>-34226.25390625</v>
      </c>
      <c r="G45" s="148">
        <f>16*'NYISO A'!C50*'NYISO A'!DR50</f>
        <v>0</v>
      </c>
      <c r="H45" s="148">
        <f>16*'NYISO G'!C50*'NYISO G'!DR50</f>
        <v>0</v>
      </c>
      <c r="I45" s="148">
        <f>16*'NYISO J'!C50*'NYISO J'!DR50</f>
        <v>0</v>
      </c>
      <c r="J45" s="148">
        <f>16*NEPOOL!C50*NEPOOL!DR50</f>
        <v>0</v>
      </c>
      <c r="K45" s="148">
        <f>16*PJM!C50*PJM!DR50</f>
        <v>0</v>
      </c>
      <c r="L45" s="147">
        <f>+'NYISO A'!I50</f>
        <v>-1.5000000200271479E-10</v>
      </c>
      <c r="M45" s="147">
        <f>+'NYISO G'!I50</f>
        <v>0</v>
      </c>
      <c r="N45" s="147">
        <f>+'NYISO J'!I50</f>
        <v>0</v>
      </c>
      <c r="O45" s="147">
        <f>+NEPOOL!I50</f>
        <v>0</v>
      </c>
      <c r="P45" s="147">
        <f>+PJM!I50</f>
        <v>-17113.126953125</v>
      </c>
      <c r="Q45" s="147">
        <f>+'NYISO A'!J50</f>
        <v>0</v>
      </c>
      <c r="R45" s="147">
        <f>+'NYISO G'!J50</f>
        <v>0</v>
      </c>
      <c r="S45" s="147">
        <f>+'NYISO J'!J50</f>
        <v>0</v>
      </c>
      <c r="T45" s="147">
        <f>+NEPOOL!J50</f>
        <v>0</v>
      </c>
      <c r="U45" s="147">
        <f>+PJM!J50</f>
        <v>0</v>
      </c>
    </row>
    <row r="46" spans="1:21" x14ac:dyDescent="0.2">
      <c r="A46" s="108">
        <f t="shared" si="1"/>
        <v>37408</v>
      </c>
      <c r="B46" s="148">
        <f>'NYISO A'!B51*16*'NYISO A'!DR51</f>
        <v>-46587.87890625</v>
      </c>
      <c r="C46" s="148">
        <f>16*'NYISO G'!B51*'NYISO G'!DR51</f>
        <v>31058.5859375</v>
      </c>
      <c r="D46" s="148">
        <f>16*'NYISO J'!B51*'NYISO J'!DR51</f>
        <v>0</v>
      </c>
      <c r="E46" s="148">
        <f>NEPOOL!B51*16*NEPOOL!DR51</f>
        <v>0</v>
      </c>
      <c r="F46" s="148">
        <f>PJM!B51*16*PJM!DR51</f>
        <v>-15510.1259765625</v>
      </c>
      <c r="G46" s="148">
        <f>16*'NYISO A'!C51*'NYISO A'!DR51</f>
        <v>0</v>
      </c>
      <c r="H46" s="148">
        <f>16*'NYISO G'!C51*'NYISO G'!DR51</f>
        <v>0</v>
      </c>
      <c r="I46" s="148">
        <f>16*'NYISO J'!C51*'NYISO J'!DR51</f>
        <v>0</v>
      </c>
      <c r="J46" s="148">
        <f>16*NEPOOL!C51*NEPOOL!DR51</f>
        <v>0</v>
      </c>
      <c r="K46" s="148">
        <f>16*PJM!C51*PJM!DR51</f>
        <v>0</v>
      </c>
      <c r="L46" s="147">
        <f>+'NYISO A'!I51</f>
        <v>-34940.9091796875</v>
      </c>
      <c r="M46" s="147">
        <f>+'NYISO G'!I51</f>
        <v>-15529.29296875</v>
      </c>
      <c r="N46" s="147">
        <f>+'NYISO J'!I51</f>
        <v>0</v>
      </c>
      <c r="O46" s="147">
        <f>+NEPOOL!I51</f>
        <v>0</v>
      </c>
      <c r="P46" s="147">
        <f>+PJM!I51</f>
        <v>0</v>
      </c>
      <c r="Q46" s="147">
        <f>+'NYISO A'!J51</f>
        <v>0</v>
      </c>
      <c r="R46" s="147">
        <f>+'NYISO G'!J51</f>
        <v>0</v>
      </c>
      <c r="S46" s="147">
        <f>+'NYISO J'!J51</f>
        <v>0</v>
      </c>
      <c r="T46" s="147">
        <f>+NEPOOL!J51</f>
        <v>0</v>
      </c>
      <c r="U46" s="147">
        <f>+PJM!J51</f>
        <v>0</v>
      </c>
    </row>
    <row r="47" spans="1:21" x14ac:dyDescent="0.2">
      <c r="A47" s="108">
        <f t="shared" si="1"/>
        <v>37438</v>
      </c>
      <c r="B47" s="148">
        <f>'NYISO A'!B52*16*'NYISO A'!DR52</f>
        <v>88000</v>
      </c>
      <c r="C47" s="148">
        <f>16*'NYISO G'!B52*'NYISO G'!DR52</f>
        <v>-17029.357421875</v>
      </c>
      <c r="D47" s="148">
        <f>16*'NYISO J'!B52*'NYISO J'!DR52</f>
        <v>0</v>
      </c>
      <c r="E47" s="148">
        <f>NEPOOL!B52*16*NEPOOL!DR52</f>
        <v>0</v>
      </c>
      <c r="F47" s="148">
        <f>PJM!B52*16*PJM!DR52</f>
        <v>-85031.4453125</v>
      </c>
      <c r="G47" s="148">
        <f>16*'NYISO A'!C52*'NYISO A'!DR52</f>
        <v>0</v>
      </c>
      <c r="H47" s="148">
        <f>16*'NYISO G'!C52*'NYISO G'!DR52</f>
        <v>0</v>
      </c>
      <c r="I47" s="148">
        <f>16*'NYISO J'!C52*'NYISO J'!DR52</f>
        <v>0</v>
      </c>
      <c r="J47" s="148">
        <f>16*NEPOOL!C52*NEPOOL!DR52</f>
        <v>0</v>
      </c>
      <c r="K47" s="148">
        <f>16*PJM!C52*PJM!DR52</f>
        <v>0</v>
      </c>
      <c r="L47" s="147">
        <f>+'NYISO A'!I52</f>
        <v>66000</v>
      </c>
      <c r="M47" s="147">
        <f>+'NYISO G'!I52</f>
        <v>0</v>
      </c>
      <c r="N47" s="147">
        <f>+'NYISO J'!I52</f>
        <v>0</v>
      </c>
      <c r="O47" s="147">
        <f>+NEPOOL!I52</f>
        <v>0</v>
      </c>
      <c r="P47" s="147">
        <f>+PJM!I52</f>
        <v>-63773.583984375</v>
      </c>
      <c r="Q47" s="147">
        <f>+'NYISO A'!J52</f>
        <v>0</v>
      </c>
      <c r="R47" s="147">
        <f>+'NYISO G'!J52</f>
        <v>0</v>
      </c>
      <c r="S47" s="147">
        <f>+'NYISO J'!J52</f>
        <v>0</v>
      </c>
      <c r="T47" s="147">
        <f>+NEPOOL!J52</f>
        <v>0</v>
      </c>
      <c r="U47" s="147">
        <f>+PJM!J52</f>
        <v>0</v>
      </c>
    </row>
    <row r="48" spans="1:21" x14ac:dyDescent="0.2">
      <c r="A48" s="108">
        <f t="shared" si="1"/>
        <v>37469</v>
      </c>
      <c r="B48" s="148">
        <f>'NYISO A'!B53*16*'NYISO A'!DR53</f>
        <v>88000</v>
      </c>
      <c r="C48" s="148">
        <f>16*'NYISO G'!B53*'NYISO G'!DR53</f>
        <v>-16970.353515625</v>
      </c>
      <c r="D48" s="148">
        <f>16*'NYISO J'!B53*'NYISO J'!DR53</f>
        <v>0</v>
      </c>
      <c r="E48" s="148">
        <f>NEPOOL!B53*16*NEPOOL!DR53</f>
        <v>0</v>
      </c>
      <c r="F48" s="148">
        <f>PJM!B53*16*PJM!DR53</f>
        <v>-84751.3046875</v>
      </c>
      <c r="G48" s="148">
        <f>16*'NYISO A'!C53*'NYISO A'!DR53</f>
        <v>0</v>
      </c>
      <c r="H48" s="148">
        <f>16*'NYISO G'!C53*'NYISO G'!DR53</f>
        <v>0</v>
      </c>
      <c r="I48" s="148">
        <f>16*'NYISO J'!C53*'NYISO J'!DR53</f>
        <v>0</v>
      </c>
      <c r="J48" s="148">
        <f>16*NEPOOL!C53*NEPOOL!DR53</f>
        <v>0</v>
      </c>
      <c r="K48" s="148">
        <f>16*PJM!C53*PJM!DR53</f>
        <v>0</v>
      </c>
      <c r="L48" s="147">
        <f>+'NYISO A'!I53</f>
        <v>66000</v>
      </c>
      <c r="M48" s="147">
        <f>+'NYISO G'!I53</f>
        <v>0</v>
      </c>
      <c r="N48" s="147">
        <f>+'NYISO J'!I53</f>
        <v>0</v>
      </c>
      <c r="O48" s="147">
        <f>+NEPOOL!I53</f>
        <v>0</v>
      </c>
      <c r="P48" s="147">
        <f>+PJM!I53</f>
        <v>-63563.478515625</v>
      </c>
      <c r="Q48" s="147">
        <f>+'NYISO A'!J53</f>
        <v>0</v>
      </c>
      <c r="R48" s="147">
        <f>+'NYISO G'!J53</f>
        <v>0</v>
      </c>
      <c r="S48" s="147">
        <f>+'NYISO J'!J53</f>
        <v>0</v>
      </c>
      <c r="T48" s="147">
        <f>+NEPOOL!J53</f>
        <v>0</v>
      </c>
      <c r="U48" s="147">
        <f>+PJM!J53</f>
        <v>0</v>
      </c>
    </row>
    <row r="49" spans="1:21" x14ac:dyDescent="0.2">
      <c r="A49" s="108">
        <f t="shared" si="1"/>
        <v>37500</v>
      </c>
      <c r="B49" s="148">
        <f>'NYISO A'!B54*16*'NYISO A'!DR54</f>
        <v>15380.6826171875</v>
      </c>
      <c r="C49" s="148">
        <f>16*'NYISO G'!B54*'NYISO G'!DR54</f>
        <v>1.9999999920083944E-11</v>
      </c>
      <c r="D49" s="148">
        <f>16*'NYISO J'!B54*'NYISO J'!DR54</f>
        <v>0</v>
      </c>
      <c r="E49" s="148">
        <f>NEPOOL!B54*16*NEPOOL!DR54</f>
        <v>0</v>
      </c>
      <c r="F49" s="148">
        <f>PJM!B54*16*PJM!DR54</f>
        <v>0</v>
      </c>
      <c r="G49" s="148">
        <f>16*'NYISO A'!C54*'NYISO A'!DR54</f>
        <v>0</v>
      </c>
      <c r="H49" s="148">
        <f>16*'NYISO G'!C54*'NYISO G'!DR54</f>
        <v>0</v>
      </c>
      <c r="I49" s="148">
        <f>16*'NYISO J'!C54*'NYISO J'!DR54</f>
        <v>0</v>
      </c>
      <c r="J49" s="148">
        <f>16*NEPOOL!C54*NEPOOL!DR54</f>
        <v>0</v>
      </c>
      <c r="K49" s="148">
        <f>16*PJM!C54*PJM!DR54</f>
        <v>0</v>
      </c>
      <c r="L49" s="147">
        <f>+'NYISO A'!I54</f>
        <v>11535.511962890623</v>
      </c>
      <c r="M49" s="147">
        <f>+'NYISO G'!I54</f>
        <v>6.0499999758253931E-10</v>
      </c>
      <c r="N49" s="147">
        <f>+'NYISO J'!I54</f>
        <v>0</v>
      </c>
      <c r="O49" s="147">
        <f>+NEPOOL!I54</f>
        <v>0</v>
      </c>
      <c r="P49" s="147">
        <f>+PJM!I54</f>
        <v>0</v>
      </c>
      <c r="Q49" s="147">
        <f>+'NYISO A'!J54</f>
        <v>0</v>
      </c>
      <c r="R49" s="147">
        <f>+'NYISO G'!J54</f>
        <v>0</v>
      </c>
      <c r="S49" s="147">
        <f>+'NYISO J'!J54</f>
        <v>0</v>
      </c>
      <c r="T49" s="147">
        <f>+NEPOOL!J54</f>
        <v>0</v>
      </c>
      <c r="U49" s="147">
        <f>+PJM!J54</f>
        <v>0</v>
      </c>
    </row>
    <row r="50" spans="1:21" x14ac:dyDescent="0.2">
      <c r="A50" s="108">
        <f t="shared" si="1"/>
        <v>37530</v>
      </c>
      <c r="B50" s="148">
        <f>'NYISO A'!B55*16*'NYISO A'!DR55</f>
        <v>52878.0546875</v>
      </c>
      <c r="C50" s="148">
        <f>16*'NYISO G'!B55*'NYISO G'!DR55</f>
        <v>-17626.017578125</v>
      </c>
      <c r="D50" s="148">
        <f>16*'NYISO J'!B55*'NYISO J'!DR55</f>
        <v>0</v>
      </c>
      <c r="E50" s="148">
        <f>NEPOOL!B55*16*NEPOOL!DR55</f>
        <v>0</v>
      </c>
      <c r="F50" s="148">
        <f>PJM!B55*16*PJM!DR55</f>
        <v>0</v>
      </c>
      <c r="G50" s="148">
        <f>16*'NYISO A'!C55*'NYISO A'!DR55</f>
        <v>-73600</v>
      </c>
      <c r="H50" s="148">
        <f>16*'NYISO G'!C55*'NYISO G'!DR55</f>
        <v>0</v>
      </c>
      <c r="I50" s="148">
        <f>16*'NYISO J'!C55*'NYISO J'!DR55</f>
        <v>0</v>
      </c>
      <c r="J50" s="148">
        <f>16*NEPOOL!C55*NEPOOL!DR55</f>
        <v>0</v>
      </c>
      <c r="K50" s="148">
        <f>16*PJM!C55*PJM!DR55</f>
        <v>0</v>
      </c>
      <c r="L50" s="147">
        <f>+'NYISO A'!I55</f>
        <v>58165.981184512384</v>
      </c>
      <c r="M50" s="147">
        <f>+'NYISO G'!I55</f>
        <v>-26439.0263671875</v>
      </c>
      <c r="N50" s="147">
        <f>+'NYISO J'!I55</f>
        <v>0</v>
      </c>
      <c r="O50" s="147">
        <f>+NEPOOL!I55</f>
        <v>0</v>
      </c>
      <c r="P50" s="147">
        <f>+PJM!I55</f>
        <v>0</v>
      </c>
      <c r="Q50" s="147">
        <f>+'NYISO A'!J55</f>
        <v>-22080.000000000051</v>
      </c>
      <c r="R50" s="147">
        <f>+'NYISO G'!J55</f>
        <v>0</v>
      </c>
      <c r="S50" s="147">
        <f>+'NYISO J'!J55</f>
        <v>0</v>
      </c>
      <c r="T50" s="147">
        <f>+NEPOOL!J55</f>
        <v>0</v>
      </c>
      <c r="U50" s="147">
        <f>+PJM!J55</f>
        <v>0</v>
      </c>
    </row>
    <row r="51" spans="1:21" x14ac:dyDescent="0.2">
      <c r="A51" s="108">
        <f t="shared" si="1"/>
        <v>37561</v>
      </c>
      <c r="B51" s="148">
        <f>'NYISO A'!B56*16*'NYISO A'!DR56</f>
        <v>45827.55078125</v>
      </c>
      <c r="C51" s="148">
        <f>16*'NYISO G'!B56*'NYISO G'!DR56</f>
        <v>-15275.8505859375</v>
      </c>
      <c r="D51" s="148">
        <f>16*'NYISO J'!B56*'NYISO J'!DR56</f>
        <v>0</v>
      </c>
      <c r="E51" s="148">
        <f>NEPOOL!B56*16*NEPOOL!DR56</f>
        <v>0</v>
      </c>
      <c r="F51" s="148">
        <f>PJM!B56*16*PJM!DR56</f>
        <v>0</v>
      </c>
      <c r="G51" s="148">
        <f>16*'NYISO A'!C56*'NYISO A'!DR56</f>
        <v>-64000</v>
      </c>
      <c r="H51" s="148">
        <f>16*'NYISO G'!C56*'NYISO G'!DR56</f>
        <v>0</v>
      </c>
      <c r="I51" s="148">
        <f>16*'NYISO J'!C56*'NYISO J'!DR56</f>
        <v>0</v>
      </c>
      <c r="J51" s="148">
        <f>16*NEPOOL!C56*NEPOOL!DR56</f>
        <v>0</v>
      </c>
      <c r="K51" s="148">
        <f>16*PJM!C56*PJM!DR56</f>
        <v>0</v>
      </c>
      <c r="L51" s="147">
        <f>+'NYISO A'!I56</f>
        <v>50410.410750314593</v>
      </c>
      <c r="M51" s="147">
        <f>+'NYISO G'!I56</f>
        <v>-22913.775878906254</v>
      </c>
      <c r="N51" s="147">
        <f>+'NYISO J'!I56</f>
        <v>0</v>
      </c>
      <c r="O51" s="147">
        <f>+NEPOOL!I56</f>
        <v>0</v>
      </c>
      <c r="P51" s="147">
        <f>+PJM!I56</f>
        <v>0</v>
      </c>
      <c r="Q51" s="147">
        <f>+'NYISO A'!J56</f>
        <v>-19200.000000000044</v>
      </c>
      <c r="R51" s="147">
        <f>+'NYISO G'!J56</f>
        <v>0</v>
      </c>
      <c r="S51" s="147">
        <f>+'NYISO J'!J56</f>
        <v>0</v>
      </c>
      <c r="T51" s="147">
        <f>+NEPOOL!J56</f>
        <v>0</v>
      </c>
      <c r="U51" s="147">
        <f>+PJM!J56</f>
        <v>0</v>
      </c>
    </row>
    <row r="52" spans="1:21" x14ac:dyDescent="0.2">
      <c r="A52" s="108">
        <f t="shared" si="1"/>
        <v>37591</v>
      </c>
      <c r="B52" s="148">
        <f>'NYISO A'!B57*16*'NYISO A'!DR57</f>
        <v>47712</v>
      </c>
      <c r="C52" s="148">
        <f>16*'NYISO G'!B57*'NYISO G'!DR57</f>
        <v>-16128</v>
      </c>
      <c r="D52" s="148">
        <f>16*'NYISO J'!B61*'NYISO J'!DR61</f>
        <v>0</v>
      </c>
      <c r="E52" s="148">
        <f>NEPOOL!B60*16*NEPOOL!DR60</f>
        <v>0</v>
      </c>
      <c r="F52" s="148">
        <f>PJM!B57*16*PJM!DR57</f>
        <v>0</v>
      </c>
      <c r="G52" s="148">
        <f>16*'NYISO A'!C57*'NYISO A'!DR57</f>
        <v>-67200</v>
      </c>
      <c r="H52" s="148">
        <f>16*'NYISO G'!C57*'NYISO G'!DR57</f>
        <v>0</v>
      </c>
      <c r="I52" s="148">
        <f>16*'NYISO J'!C61*'NYISO J'!DR61</f>
        <v>0</v>
      </c>
      <c r="J52" s="148">
        <f>16*NEPOOL!C57*NEPOOL!DR57</f>
        <v>0</v>
      </c>
      <c r="K52" s="148">
        <f>16*PJM!C57*PJM!DR57</f>
        <v>0</v>
      </c>
      <c r="L52" s="147">
        <f>+'NYISO A'!I57</f>
        <v>52483.309204101563</v>
      </c>
      <c r="M52" s="147">
        <f>+'NYISO G'!I57</f>
        <v>-24192</v>
      </c>
      <c r="N52" s="147">
        <f>+'NYISO J'!I61</f>
        <v>0</v>
      </c>
      <c r="O52" s="147">
        <f>+NEPOOL!I60</f>
        <v>0</v>
      </c>
      <c r="P52" s="147">
        <f>+PJM!I57</f>
        <v>0</v>
      </c>
      <c r="Q52" s="147">
        <f>+'NYISO A'!J57</f>
        <v>-20160.000000000047</v>
      </c>
      <c r="R52" s="147">
        <f>+'NYISO G'!J57</f>
        <v>0</v>
      </c>
      <c r="S52" s="147">
        <f>+'NYISO J'!J61</f>
        <v>0</v>
      </c>
      <c r="T52" s="147">
        <f>+NEPOOL!J60</f>
        <v>0</v>
      </c>
      <c r="U52" s="147">
        <f>+PJM!J57</f>
        <v>0</v>
      </c>
    </row>
    <row r="53" spans="1:21" ht="13.5" thickBot="1" x14ac:dyDescent="0.25">
      <c r="A53" s="109">
        <f t="shared" si="1"/>
        <v>37622</v>
      </c>
      <c r="B53" s="152">
        <f>'NYISO A'!B58*16*'NYISO A'!DR58</f>
        <v>47712</v>
      </c>
      <c r="C53" s="152">
        <f>16*'NYISO G'!B58*'NYISO G'!DR58</f>
        <v>0</v>
      </c>
      <c r="D53" s="152">
        <f>16*'NYISO J'!B62*'NYISO J'!DR62</f>
        <v>0</v>
      </c>
      <c r="E53" s="152">
        <f>NEPOOL!B61*16*NEPOOL!DR61</f>
        <v>0</v>
      </c>
      <c r="F53" s="152">
        <f>PJM!B58*16*PJM!DR58</f>
        <v>0</v>
      </c>
      <c r="G53" s="152">
        <f>16*'NYISO A'!C58*'NYISO A'!DR58</f>
        <v>0</v>
      </c>
      <c r="H53" s="152">
        <f>16*'NYISO G'!C58*'NYISO G'!DR58</f>
        <v>0</v>
      </c>
      <c r="I53" s="152">
        <f>16*'NYISO J'!C62*'NYISO J'!DR62</f>
        <v>0</v>
      </c>
      <c r="J53" s="152">
        <f>16*NEPOOL!C58*NEPOOL!DR58</f>
        <v>0</v>
      </c>
      <c r="K53" s="152">
        <f>16*PJM!C58*PJM!DR58</f>
        <v>0</v>
      </c>
      <c r="L53" s="153">
        <f>+'NYISO A'!I58</f>
        <v>-23856</v>
      </c>
      <c r="M53" s="153">
        <f>+'NYISO G'!I58</f>
        <v>0</v>
      </c>
      <c r="N53" s="153">
        <f>+'NYISO J'!I62</f>
        <v>0</v>
      </c>
      <c r="O53" s="153">
        <f>+NEPOOL!I61</f>
        <v>0</v>
      </c>
      <c r="P53" s="153">
        <f>+PJM!I58</f>
        <v>0</v>
      </c>
      <c r="Q53" s="153">
        <f>+'NYISO A'!J58</f>
        <v>0</v>
      </c>
      <c r="R53" s="153">
        <f>+'NYISO G'!J58</f>
        <v>0</v>
      </c>
      <c r="S53" s="153">
        <f>+'NYISO J'!J62</f>
        <v>0</v>
      </c>
      <c r="T53" s="153">
        <f>+NEPOOL!J61</f>
        <v>0</v>
      </c>
      <c r="U53" s="153">
        <f>+PJM!J58</f>
        <v>0</v>
      </c>
    </row>
    <row r="54" spans="1:21" x14ac:dyDescent="0.2">
      <c r="M54"/>
      <c r="N54"/>
      <c r="O54"/>
      <c r="P54"/>
      <c r="Q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2.5703125" style="167" customWidth="1"/>
    <col min="2" max="2" width="12.28515625" style="167" bestFit="1" customWidth="1"/>
    <col min="3" max="3" width="10" style="167" customWidth="1"/>
    <col min="4" max="5" width="12.140625" style="167" customWidth="1"/>
    <col min="6" max="6" width="9.140625" style="167"/>
    <col min="7" max="7" width="10" style="167" customWidth="1"/>
    <col min="8" max="8" width="11.85546875" style="167" customWidth="1"/>
    <col min="9" max="9" width="14.28515625" style="167" customWidth="1"/>
    <col min="10" max="10" width="17.85546875" style="167" customWidth="1"/>
    <col min="11" max="11" width="18.5703125" style="167" customWidth="1"/>
    <col min="12" max="12" width="9.28515625" style="167" customWidth="1"/>
    <col min="13" max="13" width="13.42578125" style="167" customWidth="1"/>
    <col min="14" max="14" width="9.140625" style="167"/>
    <col min="15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U1" s="173" t="s">
        <v>0</v>
      </c>
      <c r="AH1" s="167"/>
      <c r="AI1" s="167"/>
      <c r="AJ1" s="167"/>
      <c r="AK1" s="167"/>
    </row>
    <row r="2" spans="1:118" ht="25.5" x14ac:dyDescent="0.35">
      <c r="A2" s="401" t="s">
        <v>47</v>
      </c>
      <c r="N2" s="169"/>
      <c r="AH2" s="167"/>
      <c r="AI2" s="167"/>
      <c r="AJ2" s="167"/>
      <c r="AK2" s="167"/>
    </row>
    <row r="3" spans="1:118" ht="16.5" thickBot="1" x14ac:dyDescent="0.3">
      <c r="L3" s="184"/>
      <c r="M3" s="184"/>
      <c r="N3" s="169"/>
      <c r="AH3" s="167"/>
      <c r="AI3" s="167"/>
      <c r="AJ3" s="167"/>
      <c r="AK3" s="167"/>
      <c r="AY3" s="167">
        <v>5</v>
      </c>
      <c r="AZ3" s="167">
        <v>46</v>
      </c>
    </row>
    <row r="4" spans="1:118" ht="16.5" thickBot="1" x14ac:dyDescent="0.3">
      <c r="I4" s="1" t="s">
        <v>1</v>
      </c>
      <c r="J4" s="2" t="s">
        <v>2</v>
      </c>
      <c r="K4" s="2"/>
      <c r="M4" s="167">
        <v>58</v>
      </c>
      <c r="N4" s="306"/>
      <c r="P4" s="167">
        <f>67+58</f>
        <v>125</v>
      </c>
      <c r="S4" s="172"/>
      <c r="T4" s="172"/>
      <c r="AH4" s="167"/>
      <c r="AI4" s="167"/>
      <c r="AJ4" s="167"/>
      <c r="AK4" s="167"/>
      <c r="AY4" s="167">
        <v>1</v>
      </c>
      <c r="AZ4" s="167">
        <v>49</v>
      </c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P5" s="167">
        <f>+P4/2</f>
        <v>62.5</v>
      </c>
      <c r="S5" s="172"/>
      <c r="T5" s="172"/>
      <c r="U5" s="174"/>
      <c r="AH5" s="167"/>
      <c r="AI5" s="167"/>
      <c r="AJ5" s="167"/>
      <c r="AK5" s="167"/>
      <c r="AZ5" s="167">
        <f>+AZ3*AY3+AZ4*AY4</f>
        <v>279</v>
      </c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37534.271085217457</v>
      </c>
      <c r="J6" s="9">
        <f>SUM(J12:J56)</f>
        <v>-8080.0000000000364</v>
      </c>
      <c r="K6" s="10">
        <f>SUM(K12:K60)</f>
        <v>37921.580289318939</v>
      </c>
      <c r="M6" s="307"/>
      <c r="S6" s="172"/>
      <c r="T6" s="172"/>
      <c r="U6" s="174"/>
      <c r="AH6" s="167"/>
      <c r="AI6" s="167"/>
      <c r="AJ6" s="167"/>
      <c r="AK6" s="167"/>
      <c r="AZ6" s="167">
        <f>+AZ5/6</f>
        <v>46.5</v>
      </c>
    </row>
    <row r="7" spans="1:118" ht="13.5" customHeight="1" x14ac:dyDescent="0.2">
      <c r="N7" s="389">
        <f>+AVERAGE(N15:N16,N18:N19,N22:N26,N29:N30,N29:N33,N36:N40,N43,N43)</f>
        <v>35.065217391304351</v>
      </c>
      <c r="O7" s="389">
        <f>+AVERAGE(O15:O16,O18:O19,O22:O26,O29:O30,O29:O33,O36:O40,O43,O43)</f>
        <v>35.065217391304351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/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52</v>
      </c>
      <c r="C11" s="5" t="s">
        <v>24</v>
      </c>
      <c r="D11" s="5" t="s">
        <v>92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/>
      <c r="AF11" s="6"/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[3]NYZoneA!$D3</f>
        <v>37135</v>
      </c>
      <c r="B12" s="114">
        <f>+([4]NYZoneA!$L3+[4]NYZoneD!$L3)/16</f>
        <v>0</v>
      </c>
      <c r="C12" s="22">
        <f t="shared" ref="C12:C56" si="0">CY12</f>
        <v>0</v>
      </c>
      <c r="D12" s="21">
        <f>($AN$69+IF(MONTH(A12)=MONTH(EOMONTH(TradeDate,1)),$AN$70,0))*VLOOKUP(A12,$DK$12:$DN$43,4)</f>
        <v>0</v>
      </c>
      <c r="E12" s="23">
        <f>SUM(B12:D12)</f>
        <v>0</v>
      </c>
      <c r="F12" s="24">
        <f>+[4]NYZoneA!$C3</f>
        <v>34</v>
      </c>
      <c r="G12" s="24">
        <f>IF($Q$9,Q12,P12)</f>
        <v>-3.7199999999999989</v>
      </c>
      <c r="H12" s="25">
        <f>F12+G12</f>
        <v>30.28</v>
      </c>
      <c r="I12" s="26">
        <f t="shared" ref="I12:I42" si="1">B12*G12*DD12</f>
        <v>0</v>
      </c>
      <c r="J12" s="27">
        <f>DH12+DI12</f>
        <v>0</v>
      </c>
      <c r="K12" s="27">
        <f>I12+J12</f>
        <v>0</v>
      </c>
      <c r="L12" s="172"/>
      <c r="M12" s="28">
        <f t="shared" ref="M12:M44" si="2">A12</f>
        <v>37135</v>
      </c>
      <c r="N12" s="268">
        <v>30.28</v>
      </c>
      <c r="O12" s="268">
        <v>30.28</v>
      </c>
      <c r="P12" s="29">
        <f>AVERAGE(N12:O12)-F12</f>
        <v>-3.7199999999999989</v>
      </c>
      <c r="Q12" s="213"/>
      <c r="R12" s="214">
        <f>H12</f>
        <v>30.28</v>
      </c>
      <c r="S12" s="172"/>
      <c r="T12" s="172"/>
      <c r="U12" s="175"/>
      <c r="V12" s="30">
        <f>A12</f>
        <v>37135</v>
      </c>
      <c r="W12" s="372"/>
      <c r="X12" s="373"/>
      <c r="Y12" s="372"/>
      <c r="Z12" s="221"/>
      <c r="AA12" s="177"/>
      <c r="AB12" s="178"/>
      <c r="AC12" s="372"/>
      <c r="AD12" s="221"/>
      <c r="AE12" s="372"/>
      <c r="AF12" s="221"/>
      <c r="AG12" s="372"/>
      <c r="AH12" s="221"/>
      <c r="AI12" s="379"/>
      <c r="AJ12" s="391"/>
      <c r="AK12" s="372"/>
      <c r="AL12" s="221"/>
      <c r="AM12" s="372"/>
      <c r="AN12" s="221"/>
      <c r="AO12" s="372"/>
      <c r="AP12" s="221"/>
      <c r="AQ12" s="372"/>
      <c r="AR12" s="221"/>
      <c r="AS12" s="372"/>
      <c r="AT12" s="221"/>
      <c r="AU12" s="372"/>
      <c r="AV12" s="221"/>
      <c r="AW12" s="372"/>
      <c r="AX12" s="221"/>
      <c r="AY12" s="372"/>
      <c r="AZ12" s="221"/>
      <c r="BA12" s="372"/>
      <c r="BB12" s="221"/>
      <c r="BC12" s="372"/>
      <c r="BD12" s="221"/>
      <c r="BE12" s="372"/>
      <c r="BF12" s="221"/>
      <c r="BG12" s="372"/>
      <c r="BH12" s="221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35" si="3">IF(AND(CY12=0,DC12=0),0,(DF12+DG12)/DC12)</f>
        <v>0</v>
      </c>
      <c r="DA12" s="188">
        <f t="shared" ref="DA12:DA44" si="4">DC12*DD12</f>
        <v>0</v>
      </c>
      <c r="DB12" s="189">
        <f t="shared" ref="DB12:DB44" si="5">V12</f>
        <v>37135</v>
      </c>
      <c r="DC12" s="188">
        <f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56" si="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J12" s="167">
        <v>0</v>
      </c>
      <c r="DK12" s="189">
        <v>37135</v>
      </c>
      <c r="DL12" s="167">
        <v>0</v>
      </c>
      <c r="DM12" s="167">
        <f>[4]NYZoneA!$L3</f>
        <v>0</v>
      </c>
      <c r="DN12" s="167">
        <f t="shared" ref="DN12:DN42" si="7">IF(AND(WEEKDAY(DK12)&gt;1,WEEKDAY(DK12)&lt;7),1,0)</f>
        <v>0</v>
      </c>
    </row>
    <row r="13" spans="1:118" ht="21" customHeight="1" x14ac:dyDescent="0.3">
      <c r="A13" s="80">
        <f>[3]NYZoneA!$D4</f>
        <v>37136</v>
      </c>
      <c r="B13" s="114">
        <f>+([4]NYZoneA!$L4+[4]NYZoneD!$L4)/16</f>
        <v>0</v>
      </c>
      <c r="C13" s="36">
        <f t="shared" si="0"/>
        <v>0</v>
      </c>
      <c r="D13" s="36">
        <f t="shared" ref="D13:D60" si="8">(IF(MONTH(A13)=MONTH(EOMONTH(TradeDate,1)),$AN$70,0)*VLOOKUP(A13,$DK$12:$DN$43,4))</f>
        <v>0</v>
      </c>
      <c r="E13" s="23">
        <f t="shared" ref="E13:E42" si="9">SUM(B13:D13)</f>
        <v>0</v>
      </c>
      <c r="F13" s="24">
        <f>+[4]NYZoneA!$C4</f>
        <v>34</v>
      </c>
      <c r="G13" s="38">
        <f t="shared" ref="G13:G56" si="10">IF($Q$9,Q13,P13)</f>
        <v>0</v>
      </c>
      <c r="H13" s="39">
        <f t="shared" ref="H13:H56" si="11">F13+G13</f>
        <v>34</v>
      </c>
      <c r="I13" s="36">
        <f t="shared" si="1"/>
        <v>0</v>
      </c>
      <c r="J13" s="27">
        <f>DH13+DI13</f>
        <v>0</v>
      </c>
      <c r="K13" s="40">
        <f t="shared" ref="K13:K56" si="12">I13+J13</f>
        <v>0</v>
      </c>
      <c r="L13" s="389"/>
      <c r="M13" s="28">
        <f t="shared" si="2"/>
        <v>37136</v>
      </c>
      <c r="N13" s="268">
        <v>34</v>
      </c>
      <c r="O13" s="268">
        <v>34</v>
      </c>
      <c r="P13" s="29">
        <f t="shared" ref="P13:P56" si="13">AVERAGE(N13:O13)-F13</f>
        <v>0</v>
      </c>
      <c r="Q13" s="213"/>
      <c r="R13" s="215">
        <f t="shared" ref="R13:R44" si="14">H13</f>
        <v>34</v>
      </c>
      <c r="S13" s="172"/>
      <c r="T13" s="172"/>
      <c r="U13" s="175"/>
      <c r="V13" s="30">
        <f t="shared" ref="V13:V56" si="15">A13</f>
        <v>37136</v>
      </c>
      <c r="W13" s="372"/>
      <c r="X13" s="373"/>
      <c r="Y13" s="372"/>
      <c r="Z13" s="221"/>
      <c r="AA13" s="177"/>
      <c r="AB13" s="210"/>
      <c r="AC13" s="372"/>
      <c r="AD13" s="221"/>
      <c r="AE13" s="372"/>
      <c r="AF13" s="221"/>
      <c r="AG13" s="177"/>
      <c r="AH13" s="178"/>
      <c r="AI13" s="177"/>
      <c r="AJ13" s="178"/>
      <c r="AK13" s="177"/>
      <c r="AL13" s="178"/>
      <c r="AM13" s="177"/>
      <c r="AN13" s="221"/>
      <c r="AO13" s="177"/>
      <c r="AP13" s="178"/>
      <c r="AQ13" s="223"/>
      <c r="AR13" s="178"/>
      <c r="AS13" s="223"/>
      <c r="AT13" s="178"/>
      <c r="AU13" s="94"/>
      <c r="AV13" s="95"/>
      <c r="AW13" s="88"/>
      <c r="AX13" s="32"/>
      <c r="AY13" s="31"/>
      <c r="AZ13" s="32"/>
      <c r="BA13" s="31"/>
      <c r="BB13" s="32"/>
      <c r="BC13" s="88"/>
      <c r="BD13" s="32"/>
      <c r="BE13" s="31"/>
      <c r="BF13" s="32"/>
      <c r="BG13" s="88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ref="CY13:CY35" si="16">W13+Y13+AA13+AC13+AE13+AG13+AI13+AK13+AM13+AO13+AQ13+AS13+AU13+AW13+AY13+BA13+BC13+BE13+BG13+BI13+BK13+BM13+BO13+BQ13+BS13+BU13+BW13+BY13+CA13+CC13+CE13+CG13+CI13+CK13+CM13+CO13+CQ13+CS13+CU13+CW13</f>
        <v>0</v>
      </c>
      <c r="CZ13" s="34">
        <f t="shared" si="3"/>
        <v>0</v>
      </c>
      <c r="DA13" s="188">
        <f t="shared" si="4"/>
        <v>0</v>
      </c>
      <c r="DB13" s="189">
        <f t="shared" si="5"/>
        <v>37136</v>
      </c>
      <c r="DC13" s="188">
        <f t="shared" ref="DC13:DC45" si="17">ABS(W13)+ABS(Y13)+ABS(AA13)+ABS(AC13)+ABS(AE13)+ABS(AG13)+ABS(AI13)+ABS(AK13)+ABS(AM13)+ABS(AO13)+ABS(AQ13)+ABS(AS13)+ABS(AU13)+ABS(AW13)+ABS(AY13)+ABS(BA13)+ABS(BC13)+ABS(BE13)+ABS(BG13)+ABS(BI13)+ABS(BK13)+ABS(BM13)+ABS(BO13)+ABS(BQ13)+ABS(BS13)+ABS(BU13)+ABS(BW13)+ABS(BY13)+ABS(CA13)+ABS(CC13)+ABS(CE13)+ABS(CG13)+ABS(CI13)+ABS(CK13)+ABS(CM13)+ABS(CO13)+ABS(CQ13)+ABS(CS13)+ABS(CU13)+ABS(CW13)</f>
        <v>0</v>
      </c>
      <c r="DD13" s="190">
        <v>16</v>
      </c>
      <c r="DE13" s="188">
        <v>1</v>
      </c>
      <c r="DF13" s="170">
        <f t="shared" ref="DF13:DF45" si="18">(ABS(W13)*X13+ABS(Y13)*Z13+ABS(AA13)*AB13+ABS(AC13)*AD13+ABS(AE13)*AF13+ABS(AG13)*AH13+ABS(AI13)*AJ13+ABS(AK13)*AL13+ABS(AM13)*AN13+ABS(AO13)*AP13+ABS(AQ13)*AR13+ABS(AS13)*AT13+ABS(AU13)*AV13+ABS(AW13)*AX13+ABS(AY13)*AZ13+ABS(BA13)*BB13+ABS(BC13)*BD13+ABS(BE13)*BF13+ABS(BG13)*BH13+ABS(BI13)*BJ13)</f>
        <v>0</v>
      </c>
      <c r="DG13" s="170">
        <f t="shared" ref="DG13:DG44" si="19">ABS(BK13)*BL13+ABS(BM13)*BN13+ABS(BO13)*BP13+ABS(BQ13)*BR13+ABS(BS13)*BT13+ABS(BU13)*BV13+ABS(BW13)*BX13+ABS(BY13)*BZ13+ABS(CA13)*CB13+ABS(CC13)*CD13+ABS(CE13)*CF13+ABS(CG13)*CH13+ABS(CI13)*CJ13+ABS(CK13)*CL13+ABS(CM13)*CN13+ABS(CO13)*CP13+ABS(CQ13)*CR13+ABS(CS13)*CT13+ABS(CU13)*CV13+ABS(CW13)*CX13</f>
        <v>0</v>
      </c>
      <c r="DH13" s="170">
        <f t="shared" ref="DH13:DH43" si="20">((H13-X13)*W13+(H13-Z13)*Y13+(H13-AB13)*AA13+(H13-AD13)*AC13+(H13-AF13)*AE13+(H13-AH13)*AG13+(H13-AJ13)*AI13+(H13-AL13)*AK13+(H13-AN13)*AM13+(H13-AP13)*AO13+(H13-AR13)*AQ13+(H13-AT13)*AS13+(H13-AV13)*AU13+(H13-AX13)*AW13+(H13-AZ13)*AY13+(H13-BB13)*BA13+(H13-BD13)*BC13+(H13-BF13)*BE13+(H13-BH13)*BG13+(H13-BJ13)*BI13)*DD13*DE13</f>
        <v>0</v>
      </c>
      <c r="DI13" s="170">
        <f t="shared" si="6"/>
        <v>0</v>
      </c>
      <c r="DJ13" s="167">
        <v>0</v>
      </c>
      <c r="DK13" s="189">
        <v>37136</v>
      </c>
      <c r="DL13" s="167">
        <v>0</v>
      </c>
      <c r="DM13" s="167">
        <f>[4]NYZoneA!$L4</f>
        <v>0</v>
      </c>
      <c r="DN13" s="167">
        <f t="shared" si="7"/>
        <v>0</v>
      </c>
    </row>
    <row r="14" spans="1:118" ht="18.75" x14ac:dyDescent="0.3">
      <c r="A14" s="80">
        <f>[3]NYZoneA!$D5</f>
        <v>37137</v>
      </c>
      <c r="B14" s="114">
        <f>+([4]NYZoneA!$L5+[4]NYZoneD!$L5)/16</f>
        <v>0</v>
      </c>
      <c r="C14" s="36">
        <f t="shared" si="0"/>
        <v>0</v>
      </c>
      <c r="D14" s="21">
        <f t="shared" si="8"/>
        <v>0</v>
      </c>
      <c r="E14" s="23">
        <f t="shared" si="9"/>
        <v>0</v>
      </c>
      <c r="F14" s="24">
        <f>+[4]NYZoneA!$C5</f>
        <v>34</v>
      </c>
      <c r="G14" s="24">
        <f t="shared" si="10"/>
        <v>0</v>
      </c>
      <c r="H14" s="25">
        <f t="shared" si="11"/>
        <v>34</v>
      </c>
      <c r="I14" s="26">
        <f t="shared" si="1"/>
        <v>0</v>
      </c>
      <c r="J14" s="27">
        <f t="shared" ref="J14:J56" si="21">DH14+DI14</f>
        <v>0</v>
      </c>
      <c r="K14" s="27">
        <f t="shared" si="12"/>
        <v>0</v>
      </c>
      <c r="L14" s="172"/>
      <c r="M14" s="28">
        <f t="shared" si="2"/>
        <v>37137</v>
      </c>
      <c r="N14" s="268">
        <v>34</v>
      </c>
      <c r="O14" s="268">
        <v>34</v>
      </c>
      <c r="P14" s="29">
        <f t="shared" si="13"/>
        <v>0</v>
      </c>
      <c r="Q14" s="213"/>
      <c r="R14" s="215">
        <f t="shared" si="14"/>
        <v>34</v>
      </c>
      <c r="S14" s="172"/>
      <c r="T14" s="172"/>
      <c r="U14" s="175"/>
      <c r="V14" s="30">
        <f t="shared" si="15"/>
        <v>37137</v>
      </c>
      <c r="W14" s="372"/>
      <c r="X14" s="373"/>
      <c r="Y14" s="372"/>
      <c r="Z14" s="221"/>
      <c r="AA14" s="177"/>
      <c r="AB14" s="178"/>
      <c r="AC14" s="372"/>
      <c r="AD14" s="221"/>
      <c r="AE14" s="372"/>
      <c r="AF14" s="221"/>
      <c r="AG14" s="177"/>
      <c r="AH14" s="178"/>
      <c r="AI14" s="177"/>
      <c r="AJ14" s="178"/>
      <c r="AK14" s="177"/>
      <c r="AL14" s="178"/>
      <c r="AM14" s="177"/>
      <c r="AN14" s="219"/>
      <c r="AO14" s="177"/>
      <c r="AP14" s="178"/>
      <c r="AQ14" s="223"/>
      <c r="AR14" s="178"/>
      <c r="AS14" s="223"/>
      <c r="AT14" s="178"/>
      <c r="AU14" s="94"/>
      <c r="AV14" s="95"/>
      <c r="AW14" s="88"/>
      <c r="AX14" s="32"/>
      <c r="AY14" s="31"/>
      <c r="AZ14" s="32"/>
      <c r="BA14" s="31"/>
      <c r="BB14" s="32"/>
      <c r="BC14" s="88"/>
      <c r="BD14" s="32"/>
      <c r="BE14" s="31"/>
      <c r="BF14" s="32"/>
      <c r="BG14" s="88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3"/>
        <v>0</v>
      </c>
      <c r="DA14" s="188">
        <f t="shared" si="4"/>
        <v>0</v>
      </c>
      <c r="DB14" s="189">
        <f t="shared" si="5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9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6"/>
        <v>0</v>
      </c>
      <c r="DJ14" s="167">
        <v>0</v>
      </c>
      <c r="DK14" s="189">
        <v>37137</v>
      </c>
      <c r="DL14" s="167">
        <v>0</v>
      </c>
      <c r="DM14" s="167">
        <f>[4]NYZoneA!$L5</f>
        <v>0</v>
      </c>
      <c r="DN14" s="167">
        <f t="shared" si="7"/>
        <v>1</v>
      </c>
    </row>
    <row r="15" spans="1:118" ht="18.75" x14ac:dyDescent="0.3">
      <c r="A15" s="80">
        <f>[3]NYZoneA!$D6</f>
        <v>37138</v>
      </c>
      <c r="B15" s="114">
        <v>-50</v>
      </c>
      <c r="C15" s="36">
        <f t="shared" si="0"/>
        <v>0</v>
      </c>
      <c r="D15" s="36">
        <f t="shared" si="8"/>
        <v>0</v>
      </c>
      <c r="E15" s="23">
        <f t="shared" si="9"/>
        <v>-50</v>
      </c>
      <c r="F15" s="24">
        <f>+[4]NYZoneA!$C6</f>
        <v>38.5</v>
      </c>
      <c r="G15" s="38">
        <f t="shared" si="10"/>
        <v>0</v>
      </c>
      <c r="H15" s="39">
        <f t="shared" si="11"/>
        <v>38.5</v>
      </c>
      <c r="I15" s="36">
        <f t="shared" si="1"/>
        <v>0</v>
      </c>
      <c r="J15" s="27">
        <f t="shared" si="21"/>
        <v>0</v>
      </c>
      <c r="K15" s="40">
        <f t="shared" si="12"/>
        <v>0</v>
      </c>
      <c r="L15" s="389">
        <f>+AVERAGE(N15:O16,N18:O19)</f>
        <v>38.625</v>
      </c>
      <c r="M15" s="28">
        <f>A15</f>
        <v>37138</v>
      </c>
      <c r="N15" s="268">
        <v>38.5</v>
      </c>
      <c r="O15" s="268">
        <v>38.5</v>
      </c>
      <c r="P15" s="29">
        <f t="shared" si="13"/>
        <v>0</v>
      </c>
      <c r="Q15" s="213"/>
      <c r="R15" s="215">
        <f t="shared" si="14"/>
        <v>38.5</v>
      </c>
      <c r="S15" s="172"/>
      <c r="T15" s="172"/>
      <c r="U15" s="175"/>
      <c r="V15" s="30">
        <f t="shared" si="15"/>
        <v>37138</v>
      </c>
      <c r="W15" s="177"/>
      <c r="X15" s="221"/>
      <c r="Y15" s="372"/>
      <c r="Z15" s="373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88"/>
      <c r="AX15" s="32"/>
      <c r="AY15" s="31"/>
      <c r="AZ15" s="32"/>
      <c r="BA15" s="31"/>
      <c r="BB15" s="32"/>
      <c r="BC15" s="88"/>
      <c r="BD15" s="32"/>
      <c r="BE15" s="31"/>
      <c r="BF15" s="32"/>
      <c r="BG15" s="88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3"/>
        <v>0</v>
      </c>
      <c r="DA15" s="188">
        <f t="shared" si="4"/>
        <v>0</v>
      </c>
      <c r="DB15" s="189">
        <f t="shared" si="5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9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6"/>
        <v>0</v>
      </c>
      <c r="DJ15" s="167">
        <v>0</v>
      </c>
      <c r="DK15" s="189">
        <v>37138</v>
      </c>
      <c r="DL15" s="167">
        <v>-50</v>
      </c>
      <c r="DM15" s="167">
        <f>[4]NYZoneA!$L6</f>
        <v>-3188.606201171875</v>
      </c>
      <c r="DN15" s="167">
        <f t="shared" si="7"/>
        <v>1</v>
      </c>
    </row>
    <row r="16" spans="1:118" ht="21" customHeight="1" x14ac:dyDescent="0.3">
      <c r="A16" s="80">
        <f>[3]NYZoneA!$D7</f>
        <v>37139</v>
      </c>
      <c r="B16" s="114">
        <v>-50</v>
      </c>
      <c r="C16" s="36">
        <f t="shared" si="0"/>
        <v>0</v>
      </c>
      <c r="D16" s="21">
        <f t="shared" si="8"/>
        <v>0</v>
      </c>
      <c r="E16" s="23">
        <f t="shared" si="9"/>
        <v>-50</v>
      </c>
      <c r="F16" s="24">
        <f>+[4]NYZoneA!$C7</f>
        <v>38.5</v>
      </c>
      <c r="G16" s="24">
        <f t="shared" si="10"/>
        <v>2.5</v>
      </c>
      <c r="H16" s="25">
        <f t="shared" si="11"/>
        <v>41</v>
      </c>
      <c r="I16" s="26">
        <f t="shared" si="1"/>
        <v>-2000</v>
      </c>
      <c r="J16" s="27">
        <f t="shared" si="21"/>
        <v>0</v>
      </c>
      <c r="K16" s="27">
        <f t="shared" si="12"/>
        <v>-2000</v>
      </c>
      <c r="L16" s="390">
        <f>+AVERAGE(N15:O19,N22:O26,N29:O33,N36:O37)</f>
        <v>35.676470588235297</v>
      </c>
      <c r="M16" s="28">
        <f t="shared" si="2"/>
        <v>37139</v>
      </c>
      <c r="N16" s="268">
        <v>41</v>
      </c>
      <c r="O16" s="268">
        <v>41</v>
      </c>
      <c r="P16" s="29">
        <f t="shared" si="13"/>
        <v>2.5</v>
      </c>
      <c r="Q16" s="213"/>
      <c r="R16" s="215">
        <f t="shared" si="14"/>
        <v>41</v>
      </c>
      <c r="S16" s="172"/>
      <c r="T16" s="172"/>
      <c r="U16" s="175"/>
      <c r="V16" s="30">
        <f t="shared" si="15"/>
        <v>37139</v>
      </c>
      <c r="W16" s="177"/>
      <c r="X16" s="221"/>
      <c r="Y16" s="372"/>
      <c r="Z16" s="373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88"/>
      <c r="BD16" s="32"/>
      <c r="BE16" s="31"/>
      <c r="BF16" s="32"/>
      <c r="BG16" s="88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6"/>
        <v>0</v>
      </c>
      <c r="CZ16" s="34">
        <f t="shared" si="3"/>
        <v>0</v>
      </c>
      <c r="DA16" s="188">
        <f t="shared" si="4"/>
        <v>0</v>
      </c>
      <c r="DB16" s="189">
        <f t="shared" si="5"/>
        <v>37139</v>
      </c>
      <c r="DC16" s="188">
        <f t="shared" si="17"/>
        <v>0</v>
      </c>
      <c r="DD16" s="190">
        <v>16</v>
      </c>
      <c r="DE16" s="188">
        <v>1</v>
      </c>
      <c r="DF16" s="170">
        <f t="shared" si="18"/>
        <v>0</v>
      </c>
      <c r="DG16" s="170">
        <f t="shared" si="19"/>
        <v>0</v>
      </c>
      <c r="DH16" s="170">
        <f t="shared" si="20"/>
        <v>0</v>
      </c>
      <c r="DI16" s="170">
        <f t="shared" si="6"/>
        <v>0</v>
      </c>
      <c r="DJ16" s="167">
        <v>0</v>
      </c>
      <c r="DK16" s="189">
        <v>37139</v>
      </c>
      <c r="DL16" s="167">
        <v>-100</v>
      </c>
      <c r="DM16" s="167">
        <f>[4]NYZoneA!$L7</f>
        <v>-3188.606201171875</v>
      </c>
      <c r="DN16" s="167">
        <f t="shared" si="7"/>
        <v>1</v>
      </c>
    </row>
    <row r="17" spans="1:118" ht="18.75" x14ac:dyDescent="0.3">
      <c r="A17" s="80">
        <f>[3]NYZoneA!$D8</f>
        <v>37140</v>
      </c>
      <c r="B17" s="114">
        <v>-50</v>
      </c>
      <c r="C17" s="36">
        <f t="shared" si="0"/>
        <v>0</v>
      </c>
      <c r="D17" s="36">
        <f t="shared" si="8"/>
        <v>0</v>
      </c>
      <c r="E17" s="23">
        <f t="shared" si="9"/>
        <v>-50</v>
      </c>
      <c r="F17" s="24">
        <f>+[4]NYZoneA!$C8</f>
        <v>38.5</v>
      </c>
      <c r="G17" s="38">
        <f t="shared" si="10"/>
        <v>2.5</v>
      </c>
      <c r="H17" s="39">
        <f t="shared" si="11"/>
        <v>41</v>
      </c>
      <c r="I17" s="36">
        <f t="shared" si="1"/>
        <v>-2000</v>
      </c>
      <c r="J17" s="27">
        <f t="shared" si="21"/>
        <v>0</v>
      </c>
      <c r="K17" s="40">
        <f t="shared" si="12"/>
        <v>-2000</v>
      </c>
      <c r="L17" s="390"/>
      <c r="M17" s="28">
        <f t="shared" si="2"/>
        <v>37140</v>
      </c>
      <c r="N17" s="268">
        <v>41</v>
      </c>
      <c r="O17" s="268">
        <v>41</v>
      </c>
      <c r="P17" s="29">
        <f t="shared" si="13"/>
        <v>2.5</v>
      </c>
      <c r="Q17" s="213"/>
      <c r="R17" s="215">
        <f t="shared" si="14"/>
        <v>41</v>
      </c>
      <c r="S17" s="172"/>
      <c r="T17" s="172"/>
      <c r="U17" s="175"/>
      <c r="V17" s="30">
        <f t="shared" si="15"/>
        <v>37140</v>
      </c>
      <c r="W17" s="177"/>
      <c r="X17" s="221"/>
      <c r="Y17" s="372"/>
      <c r="Z17" s="373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88"/>
      <c r="BD17" s="32"/>
      <c r="BE17" s="31"/>
      <c r="BF17" s="32"/>
      <c r="BG17" s="88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6"/>
        <v>0</v>
      </c>
      <c r="CZ17" s="34">
        <f t="shared" si="3"/>
        <v>0</v>
      </c>
      <c r="DA17" s="188">
        <f t="shared" si="4"/>
        <v>0</v>
      </c>
      <c r="DB17" s="189">
        <f t="shared" si="5"/>
        <v>37140</v>
      </c>
      <c r="DC17" s="188">
        <f t="shared" si="17"/>
        <v>0</v>
      </c>
      <c r="DD17" s="190">
        <v>16</v>
      </c>
      <c r="DE17" s="188">
        <v>1</v>
      </c>
      <c r="DF17" s="170">
        <f t="shared" si="18"/>
        <v>0</v>
      </c>
      <c r="DG17" s="170">
        <f t="shared" si="19"/>
        <v>0</v>
      </c>
      <c r="DH17" s="170">
        <f t="shared" si="20"/>
        <v>0</v>
      </c>
      <c r="DI17" s="170">
        <f t="shared" si="6"/>
        <v>0</v>
      </c>
      <c r="DJ17" s="167">
        <v>0</v>
      </c>
      <c r="DK17" s="189">
        <v>37140</v>
      </c>
      <c r="DL17" s="167">
        <v>-100</v>
      </c>
      <c r="DM17" s="167">
        <f>[4]NYZoneA!$L8</f>
        <v>-3188.606201171875</v>
      </c>
      <c r="DN17" s="167">
        <f t="shared" si="7"/>
        <v>1</v>
      </c>
    </row>
    <row r="18" spans="1:118" ht="18.75" x14ac:dyDescent="0.3">
      <c r="A18" s="80">
        <f>[3]NYZoneA!$D9</f>
        <v>37141</v>
      </c>
      <c r="B18" s="114">
        <v>-50</v>
      </c>
      <c r="C18" s="36">
        <f t="shared" si="0"/>
        <v>0</v>
      </c>
      <c r="D18" s="21">
        <f t="shared" si="8"/>
        <v>0</v>
      </c>
      <c r="E18" s="23">
        <f t="shared" si="9"/>
        <v>-50</v>
      </c>
      <c r="F18" s="24">
        <f>+[4]NYZoneA!$C9</f>
        <v>38.5</v>
      </c>
      <c r="G18" s="24">
        <f t="shared" si="10"/>
        <v>2.5</v>
      </c>
      <c r="H18" s="25">
        <f t="shared" si="11"/>
        <v>41</v>
      </c>
      <c r="I18" s="26">
        <f t="shared" si="1"/>
        <v>-2000</v>
      </c>
      <c r="J18" s="27">
        <f t="shared" si="21"/>
        <v>0</v>
      </c>
      <c r="K18" s="27">
        <f t="shared" si="12"/>
        <v>-2000</v>
      </c>
      <c r="L18" s="389"/>
      <c r="M18" s="28">
        <f t="shared" si="2"/>
        <v>37141</v>
      </c>
      <c r="N18" s="268">
        <v>41</v>
      </c>
      <c r="O18" s="268">
        <v>41</v>
      </c>
      <c r="P18" s="29">
        <f>AVERAGE(N18:O18)-F18</f>
        <v>2.5</v>
      </c>
      <c r="Q18" s="213"/>
      <c r="R18" s="215">
        <f t="shared" si="14"/>
        <v>41</v>
      </c>
      <c r="S18" s="172"/>
      <c r="T18" s="172"/>
      <c r="U18" s="175"/>
      <c r="V18" s="30">
        <f t="shared" si="15"/>
        <v>37141</v>
      </c>
      <c r="W18" s="177"/>
      <c r="X18" s="221"/>
      <c r="Y18" s="372"/>
      <c r="Z18" s="373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88"/>
      <c r="BD18" s="32"/>
      <c r="BE18" s="31"/>
      <c r="BF18" s="32"/>
      <c r="BG18" s="88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6"/>
        <v>0</v>
      </c>
      <c r="CZ18" s="34">
        <f t="shared" si="3"/>
        <v>0</v>
      </c>
      <c r="DA18" s="188">
        <f t="shared" si="4"/>
        <v>0</v>
      </c>
      <c r="DB18" s="189">
        <f t="shared" si="5"/>
        <v>37141</v>
      </c>
      <c r="DC18" s="188">
        <f t="shared" si="17"/>
        <v>0</v>
      </c>
      <c r="DD18" s="190">
        <v>16</v>
      </c>
      <c r="DE18" s="188">
        <v>1</v>
      </c>
      <c r="DF18" s="170">
        <f t="shared" si="18"/>
        <v>0</v>
      </c>
      <c r="DG18" s="170">
        <f t="shared" si="19"/>
        <v>0</v>
      </c>
      <c r="DH18" s="170">
        <f t="shared" si="20"/>
        <v>0</v>
      </c>
      <c r="DI18" s="170">
        <f t="shared" si="6"/>
        <v>0</v>
      </c>
      <c r="DJ18" s="167">
        <v>0</v>
      </c>
      <c r="DK18" s="189">
        <v>37141</v>
      </c>
      <c r="DL18" s="167">
        <v>-100</v>
      </c>
      <c r="DM18" s="167">
        <f>[4]NYZoneA!$L9</f>
        <v>-3188.606201171875</v>
      </c>
      <c r="DN18" s="167">
        <f t="shared" si="7"/>
        <v>1</v>
      </c>
    </row>
    <row r="19" spans="1:118" ht="18.75" x14ac:dyDescent="0.3">
      <c r="A19" s="80">
        <f>[3]NYZoneA!$D10</f>
        <v>37142</v>
      </c>
      <c r="B19" s="114">
        <f>+([4]NYZoneA!$L10+[4]NYZoneD!$L10)/16</f>
        <v>0</v>
      </c>
      <c r="C19" s="36">
        <f t="shared" si="0"/>
        <v>0</v>
      </c>
      <c r="D19" s="36">
        <f t="shared" si="8"/>
        <v>0</v>
      </c>
      <c r="E19" s="23">
        <f t="shared" si="9"/>
        <v>0</v>
      </c>
      <c r="F19" s="24">
        <f>+[4]NYZoneA!$C10</f>
        <v>34</v>
      </c>
      <c r="G19" s="38">
        <f t="shared" si="10"/>
        <v>0</v>
      </c>
      <c r="H19" s="39">
        <f t="shared" si="11"/>
        <v>34</v>
      </c>
      <c r="I19" s="36">
        <f t="shared" si="1"/>
        <v>0</v>
      </c>
      <c r="J19" s="27">
        <f t="shared" si="21"/>
        <v>0</v>
      </c>
      <c r="K19" s="40">
        <f t="shared" si="12"/>
        <v>0</v>
      </c>
      <c r="L19" s="389"/>
      <c r="M19" s="28">
        <f t="shared" si="2"/>
        <v>37142</v>
      </c>
      <c r="N19" s="268">
        <v>34</v>
      </c>
      <c r="O19" s="268">
        <v>34</v>
      </c>
      <c r="P19" s="29">
        <f>AVERAGE(N19:O19)-F19</f>
        <v>0</v>
      </c>
      <c r="Q19" s="213"/>
      <c r="R19" s="215">
        <f t="shared" si="14"/>
        <v>34</v>
      </c>
      <c r="S19" s="172"/>
      <c r="T19" s="172"/>
      <c r="U19" s="175"/>
      <c r="V19" s="30">
        <f t="shared" si="15"/>
        <v>37142</v>
      </c>
      <c r="W19" s="177"/>
      <c r="X19" s="221"/>
      <c r="Y19" s="372"/>
      <c r="Z19" s="373"/>
      <c r="AA19" s="177"/>
      <c r="AB19" s="178"/>
      <c r="AC19" s="177"/>
      <c r="AD19" s="178"/>
      <c r="AE19" s="177"/>
      <c r="AF19" s="178"/>
      <c r="AG19" s="177"/>
      <c r="AH19" s="178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178"/>
      <c r="AU19" s="94"/>
      <c r="AV19" s="95"/>
      <c r="AW19" s="88"/>
      <c r="AX19" s="32"/>
      <c r="AY19" s="31"/>
      <c r="AZ19" s="32"/>
      <c r="BA19" s="31"/>
      <c r="BB19" s="32"/>
      <c r="BC19" s="88"/>
      <c r="BD19" s="32"/>
      <c r="BE19" s="31"/>
      <c r="BF19" s="32"/>
      <c r="BG19" s="88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6"/>
        <v>0</v>
      </c>
      <c r="CZ19" s="34">
        <f t="shared" si="3"/>
        <v>0</v>
      </c>
      <c r="DA19" s="188">
        <f t="shared" si="4"/>
        <v>0</v>
      </c>
      <c r="DB19" s="189">
        <f t="shared" si="5"/>
        <v>37142</v>
      </c>
      <c r="DC19" s="188">
        <f t="shared" si="17"/>
        <v>0</v>
      </c>
      <c r="DD19" s="190">
        <v>16</v>
      </c>
      <c r="DE19" s="188">
        <v>1</v>
      </c>
      <c r="DF19" s="170">
        <f t="shared" si="18"/>
        <v>0</v>
      </c>
      <c r="DG19" s="170">
        <f t="shared" si="19"/>
        <v>0</v>
      </c>
      <c r="DH19" s="170">
        <f t="shared" si="20"/>
        <v>0</v>
      </c>
      <c r="DI19" s="170">
        <f t="shared" si="6"/>
        <v>0</v>
      </c>
      <c r="DJ19" s="167">
        <v>0</v>
      </c>
      <c r="DK19" s="189">
        <v>37142</v>
      </c>
      <c r="DL19" s="167">
        <v>0</v>
      </c>
      <c r="DM19" s="167">
        <f>[4]NYZoneA!$L10</f>
        <v>0</v>
      </c>
      <c r="DN19" s="167">
        <f t="shared" si="7"/>
        <v>0</v>
      </c>
    </row>
    <row r="20" spans="1:118" ht="18.75" x14ac:dyDescent="0.3">
      <c r="A20" s="80">
        <f>[3]NYZoneA!$D11</f>
        <v>37143</v>
      </c>
      <c r="B20" s="114">
        <f>+([4]NYZoneA!$L11+[4]NYZoneD!$L11)/16</f>
        <v>0</v>
      </c>
      <c r="C20" s="36">
        <f t="shared" si="0"/>
        <v>0</v>
      </c>
      <c r="D20" s="21">
        <f t="shared" si="8"/>
        <v>0</v>
      </c>
      <c r="E20" s="23">
        <f t="shared" si="9"/>
        <v>0</v>
      </c>
      <c r="F20" s="24">
        <f>+[4]NYZoneA!$C11</f>
        <v>34</v>
      </c>
      <c r="G20" s="24">
        <f t="shared" si="10"/>
        <v>0</v>
      </c>
      <c r="H20" s="25">
        <f t="shared" si="11"/>
        <v>34</v>
      </c>
      <c r="I20" s="26">
        <f t="shared" si="1"/>
        <v>0</v>
      </c>
      <c r="J20" s="27">
        <f t="shared" si="21"/>
        <v>0</v>
      </c>
      <c r="K20" s="27">
        <f t="shared" si="12"/>
        <v>0</v>
      </c>
      <c r="L20" s="389"/>
      <c r="M20" s="28">
        <f t="shared" si="2"/>
        <v>37143</v>
      </c>
      <c r="N20" s="268">
        <v>34</v>
      </c>
      <c r="O20" s="268">
        <v>34</v>
      </c>
      <c r="P20" s="29">
        <f>AVERAGE(N20:O20)-F20</f>
        <v>0</v>
      </c>
      <c r="Q20" s="213"/>
      <c r="R20" s="215">
        <f t="shared" si="14"/>
        <v>34</v>
      </c>
      <c r="S20" s="172"/>
      <c r="T20" s="172"/>
      <c r="U20" s="175"/>
      <c r="V20" s="30">
        <f t="shared" si="15"/>
        <v>37143</v>
      </c>
      <c r="W20" s="177"/>
      <c r="X20" s="221"/>
      <c r="Y20" s="372"/>
      <c r="Z20" s="373"/>
      <c r="AA20" s="177"/>
      <c r="AB20" s="178"/>
      <c r="AC20" s="177"/>
      <c r="AD20" s="178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178"/>
      <c r="AU20" s="94"/>
      <c r="AV20" s="95"/>
      <c r="AW20" s="88"/>
      <c r="AX20" s="32"/>
      <c r="AY20" s="31"/>
      <c r="AZ20" s="32"/>
      <c r="BA20" s="31"/>
      <c r="BB20" s="32"/>
      <c r="BC20" s="88"/>
      <c r="BD20" s="32"/>
      <c r="BE20" s="31"/>
      <c r="BF20" s="32"/>
      <c r="BG20" s="88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6"/>
        <v>0</v>
      </c>
      <c r="CZ20" s="34">
        <f t="shared" si="3"/>
        <v>0</v>
      </c>
      <c r="DA20" s="188">
        <f t="shared" si="4"/>
        <v>0</v>
      </c>
      <c r="DB20" s="189">
        <f t="shared" si="5"/>
        <v>37143</v>
      </c>
      <c r="DC20" s="188">
        <f t="shared" si="17"/>
        <v>0</v>
      </c>
      <c r="DD20" s="190">
        <v>16</v>
      </c>
      <c r="DE20" s="188">
        <v>1</v>
      </c>
      <c r="DF20" s="170">
        <f t="shared" si="18"/>
        <v>0</v>
      </c>
      <c r="DG20" s="170">
        <f t="shared" si="19"/>
        <v>0</v>
      </c>
      <c r="DH20" s="170">
        <f t="shared" si="20"/>
        <v>0</v>
      </c>
      <c r="DI20" s="170">
        <f t="shared" si="6"/>
        <v>0</v>
      </c>
      <c r="DJ20" s="167">
        <v>0</v>
      </c>
      <c r="DK20" s="189">
        <v>37143</v>
      </c>
      <c r="DL20" s="167">
        <v>0</v>
      </c>
      <c r="DM20" s="167">
        <f>[4]NYZoneA!$L11</f>
        <v>0</v>
      </c>
      <c r="DN20" s="167">
        <f t="shared" si="7"/>
        <v>0</v>
      </c>
    </row>
    <row r="21" spans="1:118" ht="18.75" x14ac:dyDescent="0.3">
      <c r="A21" s="80">
        <f>[3]NYZoneA!$D12</f>
        <v>37144</v>
      </c>
      <c r="B21" s="114">
        <f>+([4]NYZoneA!$L12+[4]NYZoneD!$L12)/16</f>
        <v>-249.10986328125</v>
      </c>
      <c r="C21" s="36">
        <f t="shared" si="0"/>
        <v>0</v>
      </c>
      <c r="D21" s="36">
        <f t="shared" si="8"/>
        <v>0</v>
      </c>
      <c r="E21" s="23">
        <f t="shared" si="9"/>
        <v>-249.10986328125</v>
      </c>
      <c r="F21" s="24">
        <f>+[4]NYZoneA!$C12</f>
        <v>34</v>
      </c>
      <c r="G21" s="38">
        <f t="shared" si="10"/>
        <v>0.5</v>
      </c>
      <c r="H21" s="39">
        <f t="shared" si="11"/>
        <v>34.5</v>
      </c>
      <c r="I21" s="36">
        <f t="shared" si="1"/>
        <v>-1992.87890625</v>
      </c>
      <c r="J21" s="27">
        <f t="shared" si="21"/>
        <v>0</v>
      </c>
      <c r="K21" s="40">
        <f t="shared" si="12"/>
        <v>-1992.87890625</v>
      </c>
      <c r="L21" s="389"/>
      <c r="M21" s="28">
        <f t="shared" si="2"/>
        <v>37144</v>
      </c>
      <c r="N21" s="268">
        <v>34.5</v>
      </c>
      <c r="O21" s="268">
        <v>34.5</v>
      </c>
      <c r="P21" s="29">
        <f>AVERAGE(N21:O21)-F21</f>
        <v>0.5</v>
      </c>
      <c r="Q21" s="213"/>
      <c r="R21" s="215">
        <f t="shared" si="14"/>
        <v>34.5</v>
      </c>
      <c r="S21" s="172"/>
      <c r="T21" s="172"/>
      <c r="U21" s="175"/>
      <c r="V21" s="30">
        <f t="shared" si="15"/>
        <v>37144</v>
      </c>
      <c r="W21" s="177"/>
      <c r="X21" s="221"/>
      <c r="Y21" s="372"/>
      <c r="Z21" s="373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178"/>
      <c r="AU21" s="94"/>
      <c r="AV21" s="95"/>
      <c r="AW21" s="88"/>
      <c r="AX21" s="32"/>
      <c r="AY21" s="31"/>
      <c r="AZ21" s="32"/>
      <c r="BA21" s="31"/>
      <c r="BB21" s="32"/>
      <c r="BC21" s="88"/>
      <c r="BD21" s="32"/>
      <c r="BE21" s="31"/>
      <c r="BF21" s="32"/>
      <c r="BG21" s="88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6"/>
        <v>0</v>
      </c>
      <c r="CZ21" s="34">
        <f t="shared" si="3"/>
        <v>0</v>
      </c>
      <c r="DA21" s="188">
        <f t="shared" si="4"/>
        <v>0</v>
      </c>
      <c r="DB21" s="189">
        <f t="shared" si="5"/>
        <v>37144</v>
      </c>
      <c r="DC21" s="188">
        <f t="shared" si="17"/>
        <v>0</v>
      </c>
      <c r="DD21" s="190">
        <v>16</v>
      </c>
      <c r="DE21" s="188">
        <v>1</v>
      </c>
      <c r="DF21" s="170">
        <f t="shared" si="18"/>
        <v>0</v>
      </c>
      <c r="DG21" s="170">
        <f t="shared" si="19"/>
        <v>0</v>
      </c>
      <c r="DH21" s="170">
        <f t="shared" si="20"/>
        <v>0</v>
      </c>
      <c r="DI21" s="170">
        <f t="shared" si="6"/>
        <v>0</v>
      </c>
      <c r="DJ21" s="167">
        <v>0</v>
      </c>
      <c r="DK21" s="189">
        <v>37144</v>
      </c>
      <c r="DL21" s="167">
        <v>-249.10986328125</v>
      </c>
      <c r="DM21" s="167">
        <f>[4]NYZoneA!$L12</f>
        <v>-3985.7578125</v>
      </c>
      <c r="DN21" s="167">
        <f t="shared" si="7"/>
        <v>1</v>
      </c>
    </row>
    <row r="22" spans="1:118" ht="18.75" x14ac:dyDescent="0.3">
      <c r="A22" s="80">
        <f>[3]NYZoneA!$D13</f>
        <v>37145</v>
      </c>
      <c r="B22" s="114">
        <f>+([4]NYZoneA!$L13+[4]NYZoneD!$L13)/16</f>
        <v>-249.10986328125</v>
      </c>
      <c r="C22" s="36">
        <f t="shared" si="0"/>
        <v>0</v>
      </c>
      <c r="D22" s="21">
        <f t="shared" si="8"/>
        <v>0</v>
      </c>
      <c r="E22" s="23">
        <f t="shared" si="9"/>
        <v>-249.10986328125</v>
      </c>
      <c r="F22" s="24">
        <f>+[4]NYZoneA!$C13</f>
        <v>34</v>
      </c>
      <c r="G22" s="24">
        <f t="shared" si="10"/>
        <v>0.5</v>
      </c>
      <c r="H22" s="25">
        <f t="shared" si="11"/>
        <v>34.5</v>
      </c>
      <c r="I22" s="26">
        <f t="shared" si="1"/>
        <v>-1992.87890625</v>
      </c>
      <c r="J22" s="27">
        <f t="shared" si="21"/>
        <v>0</v>
      </c>
      <c r="K22" s="27">
        <f t="shared" si="12"/>
        <v>-1992.87890625</v>
      </c>
      <c r="L22" s="390"/>
      <c r="M22" s="28">
        <f t="shared" si="2"/>
        <v>37145</v>
      </c>
      <c r="N22" s="268">
        <v>34.5</v>
      </c>
      <c r="O22" s="268">
        <v>34.5</v>
      </c>
      <c r="P22" s="29">
        <f>AVERAGE(N22:O22)-F22</f>
        <v>0.5</v>
      </c>
      <c r="Q22" s="213"/>
      <c r="R22" s="215">
        <f t="shared" si="14"/>
        <v>34.5</v>
      </c>
      <c r="S22" s="172"/>
      <c r="T22" s="172"/>
      <c r="U22" s="175"/>
      <c r="V22" s="30">
        <f t="shared" si="15"/>
        <v>37145</v>
      </c>
      <c r="W22" s="177"/>
      <c r="X22" s="221"/>
      <c r="Y22" s="372"/>
      <c r="Z22" s="221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88"/>
      <c r="AX22" s="32"/>
      <c r="AY22" s="31"/>
      <c r="AZ22" s="32"/>
      <c r="BA22" s="31"/>
      <c r="BB22" s="32"/>
      <c r="BC22" s="88"/>
      <c r="BD22" s="32"/>
      <c r="BE22" s="31"/>
      <c r="BF22" s="32"/>
      <c r="BG22" s="88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6"/>
        <v>0</v>
      </c>
      <c r="CZ22" s="34">
        <f t="shared" si="3"/>
        <v>0</v>
      </c>
      <c r="DA22" s="188">
        <f t="shared" si="4"/>
        <v>0</v>
      </c>
      <c r="DB22" s="189">
        <f t="shared" si="5"/>
        <v>37145</v>
      </c>
      <c r="DC22" s="188">
        <f t="shared" si="17"/>
        <v>0</v>
      </c>
      <c r="DD22" s="190">
        <v>16</v>
      </c>
      <c r="DE22" s="188">
        <v>1</v>
      </c>
      <c r="DF22" s="170">
        <f t="shared" si="18"/>
        <v>0</v>
      </c>
      <c r="DG22" s="170">
        <f t="shared" si="19"/>
        <v>0</v>
      </c>
      <c r="DH22" s="170">
        <f t="shared" si="20"/>
        <v>0</v>
      </c>
      <c r="DI22" s="170">
        <f t="shared" si="6"/>
        <v>0</v>
      </c>
      <c r="DJ22" s="167">
        <v>0</v>
      </c>
      <c r="DK22" s="189">
        <v>37145</v>
      </c>
      <c r="DL22" s="167">
        <v>-249.10986328125</v>
      </c>
      <c r="DM22" s="167">
        <f>[4]NYZoneA!$L13</f>
        <v>-3985.7578125</v>
      </c>
      <c r="DN22" s="167">
        <f t="shared" si="7"/>
        <v>1</v>
      </c>
    </row>
    <row r="23" spans="1:118" ht="18.75" x14ac:dyDescent="0.3">
      <c r="A23" s="80">
        <f>[3]NYZoneA!$D14</f>
        <v>37146</v>
      </c>
      <c r="B23" s="114">
        <f>+([4]NYZoneA!$L14+[4]NYZoneD!$L14)/16</f>
        <v>-249.10986328125</v>
      </c>
      <c r="C23" s="36">
        <f t="shared" si="0"/>
        <v>0</v>
      </c>
      <c r="D23" s="36">
        <f t="shared" si="8"/>
        <v>0</v>
      </c>
      <c r="E23" s="23">
        <f t="shared" si="9"/>
        <v>-249.10986328125</v>
      </c>
      <c r="F23" s="24">
        <f>+[4]NYZoneA!$C14</f>
        <v>34</v>
      </c>
      <c r="G23" s="38">
        <f t="shared" si="10"/>
        <v>0.5</v>
      </c>
      <c r="H23" s="39">
        <f t="shared" si="11"/>
        <v>34.5</v>
      </c>
      <c r="I23" s="36">
        <f t="shared" si="1"/>
        <v>-1992.87890625</v>
      </c>
      <c r="J23" s="27">
        <f t="shared" si="21"/>
        <v>0</v>
      </c>
      <c r="K23" s="40">
        <f t="shared" si="12"/>
        <v>-1992.87890625</v>
      </c>
      <c r="L23" s="390"/>
      <c r="M23" s="28">
        <f t="shared" si="2"/>
        <v>37146</v>
      </c>
      <c r="N23" s="268">
        <v>34.5</v>
      </c>
      <c r="O23" s="268">
        <v>34.5</v>
      </c>
      <c r="P23" s="29">
        <f t="shared" si="13"/>
        <v>0.5</v>
      </c>
      <c r="Q23" s="213"/>
      <c r="R23" s="215">
        <f t="shared" si="14"/>
        <v>34.5</v>
      </c>
      <c r="S23" s="172"/>
      <c r="T23" s="172"/>
      <c r="U23" s="175"/>
      <c r="V23" s="30">
        <f t="shared" si="15"/>
        <v>37146</v>
      </c>
      <c r="W23" s="177"/>
      <c r="X23" s="221"/>
      <c r="Y23" s="372"/>
      <c r="Z23" s="373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88"/>
      <c r="AX23" s="32"/>
      <c r="AY23" s="31"/>
      <c r="AZ23" s="32"/>
      <c r="BA23" s="31"/>
      <c r="BB23" s="32"/>
      <c r="BC23" s="88"/>
      <c r="BD23" s="32"/>
      <c r="BE23" s="31"/>
      <c r="BF23" s="32"/>
      <c r="BG23" s="88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6"/>
        <v>0</v>
      </c>
      <c r="CZ23" s="34">
        <f t="shared" si="3"/>
        <v>0</v>
      </c>
      <c r="DA23" s="188">
        <f t="shared" si="4"/>
        <v>0</v>
      </c>
      <c r="DB23" s="189">
        <f t="shared" si="5"/>
        <v>37146</v>
      </c>
      <c r="DC23" s="188">
        <f t="shared" si="17"/>
        <v>0</v>
      </c>
      <c r="DD23" s="190">
        <v>16</v>
      </c>
      <c r="DE23" s="188">
        <v>1</v>
      </c>
      <c r="DF23" s="170">
        <f t="shared" si="18"/>
        <v>0</v>
      </c>
      <c r="DG23" s="170">
        <f t="shared" si="19"/>
        <v>0</v>
      </c>
      <c r="DH23" s="170">
        <f t="shared" si="20"/>
        <v>0</v>
      </c>
      <c r="DI23" s="170">
        <f t="shared" si="6"/>
        <v>0</v>
      </c>
      <c r="DJ23" s="167">
        <v>0</v>
      </c>
      <c r="DK23" s="189">
        <v>37146</v>
      </c>
      <c r="DL23" s="167">
        <v>-249.10986328125</v>
      </c>
      <c r="DM23" s="167">
        <f>[4]NYZoneA!$L14</f>
        <v>-3985.7578125</v>
      </c>
      <c r="DN23" s="167">
        <f t="shared" si="7"/>
        <v>1</v>
      </c>
    </row>
    <row r="24" spans="1:118" ht="18.75" x14ac:dyDescent="0.3">
      <c r="A24" s="80">
        <f>[3]NYZoneA!$D15</f>
        <v>37147</v>
      </c>
      <c r="B24" s="114">
        <f>+([4]NYZoneA!$L15+[4]NYZoneD!$L15)/16</f>
        <v>-249.10986328125</v>
      </c>
      <c r="C24" s="36">
        <f t="shared" si="0"/>
        <v>0</v>
      </c>
      <c r="D24" s="21">
        <f t="shared" si="8"/>
        <v>0</v>
      </c>
      <c r="E24" s="23">
        <f t="shared" si="9"/>
        <v>-249.10986328125</v>
      </c>
      <c r="F24" s="24">
        <f>+[4]NYZoneA!$C15</f>
        <v>34</v>
      </c>
      <c r="G24" s="24">
        <f t="shared" si="10"/>
        <v>0.5</v>
      </c>
      <c r="H24" s="25">
        <f t="shared" si="11"/>
        <v>34.5</v>
      </c>
      <c r="I24" s="26">
        <f t="shared" si="1"/>
        <v>-1992.87890625</v>
      </c>
      <c r="J24" s="27">
        <f t="shared" si="21"/>
        <v>0</v>
      </c>
      <c r="K24" s="27">
        <f t="shared" si="12"/>
        <v>-1992.87890625</v>
      </c>
      <c r="L24" s="390"/>
      <c r="M24" s="28">
        <f t="shared" si="2"/>
        <v>37147</v>
      </c>
      <c r="N24" s="268">
        <v>34.5</v>
      </c>
      <c r="O24" s="268">
        <v>34.5</v>
      </c>
      <c r="P24" s="29">
        <f t="shared" si="13"/>
        <v>0.5</v>
      </c>
      <c r="Q24" s="213"/>
      <c r="R24" s="215">
        <f t="shared" si="14"/>
        <v>34.5</v>
      </c>
      <c r="S24" s="172"/>
      <c r="T24" s="172"/>
      <c r="U24" s="175"/>
      <c r="V24" s="30">
        <f t="shared" si="15"/>
        <v>37147</v>
      </c>
      <c r="W24" s="177"/>
      <c r="X24" s="221"/>
      <c r="Y24" s="372"/>
      <c r="Z24" s="373"/>
      <c r="AA24" s="177"/>
      <c r="AB24" s="178"/>
      <c r="AC24" s="177"/>
      <c r="AD24" s="221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178"/>
      <c r="AU24" s="94"/>
      <c r="AV24" s="95"/>
      <c r="AW24" s="88"/>
      <c r="AX24" s="32"/>
      <c r="AY24" s="31"/>
      <c r="AZ24" s="32"/>
      <c r="BA24" s="31"/>
      <c r="BB24" s="32"/>
      <c r="BC24" s="88"/>
      <c r="BD24" s="32"/>
      <c r="BE24" s="31"/>
      <c r="BF24" s="32"/>
      <c r="BG24" s="88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6"/>
        <v>0</v>
      </c>
      <c r="CZ24" s="34">
        <f t="shared" si="3"/>
        <v>0</v>
      </c>
      <c r="DA24" s="188">
        <f t="shared" si="4"/>
        <v>0</v>
      </c>
      <c r="DB24" s="189">
        <f t="shared" si="5"/>
        <v>37147</v>
      </c>
      <c r="DC24" s="188">
        <f t="shared" si="17"/>
        <v>0</v>
      </c>
      <c r="DD24" s="190">
        <v>16</v>
      </c>
      <c r="DE24" s="188">
        <v>1</v>
      </c>
      <c r="DF24" s="170">
        <f t="shared" si="18"/>
        <v>0</v>
      </c>
      <c r="DG24" s="170">
        <f t="shared" si="19"/>
        <v>0</v>
      </c>
      <c r="DH24" s="170">
        <f t="shared" si="20"/>
        <v>0</v>
      </c>
      <c r="DI24" s="170">
        <f t="shared" si="6"/>
        <v>0</v>
      </c>
      <c r="DJ24" s="167">
        <v>0</v>
      </c>
      <c r="DK24" s="189">
        <v>37147</v>
      </c>
      <c r="DL24" s="167">
        <v>-249.10986328125</v>
      </c>
      <c r="DM24" s="167">
        <f>[4]NYZoneA!$L15</f>
        <v>-3985.7578125</v>
      </c>
      <c r="DN24" s="167">
        <f t="shared" si="7"/>
        <v>1</v>
      </c>
    </row>
    <row r="25" spans="1:118" ht="18.75" x14ac:dyDescent="0.3">
      <c r="A25" s="80">
        <f>[3]NYZoneA!$D16</f>
        <v>37148</v>
      </c>
      <c r="B25" s="114">
        <f>+([4]NYZoneA!$L16+[4]NYZoneD!$L16)/16</f>
        <v>-249.10986328125</v>
      </c>
      <c r="C25" s="36">
        <f t="shared" si="0"/>
        <v>0</v>
      </c>
      <c r="D25" s="36">
        <f t="shared" si="8"/>
        <v>0</v>
      </c>
      <c r="E25" s="23">
        <f t="shared" si="9"/>
        <v>-249.10986328125</v>
      </c>
      <c r="F25" s="24">
        <f>+[4]NYZoneA!$C16</f>
        <v>34</v>
      </c>
      <c r="G25" s="38">
        <f t="shared" si="10"/>
        <v>0.5</v>
      </c>
      <c r="H25" s="39">
        <f t="shared" si="11"/>
        <v>34.5</v>
      </c>
      <c r="I25" s="36">
        <f t="shared" si="1"/>
        <v>-1992.87890625</v>
      </c>
      <c r="J25" s="27">
        <f t="shared" si="21"/>
        <v>0</v>
      </c>
      <c r="K25" s="40">
        <f t="shared" si="12"/>
        <v>-1992.87890625</v>
      </c>
      <c r="L25" s="390"/>
      <c r="M25" s="28">
        <f t="shared" si="2"/>
        <v>37148</v>
      </c>
      <c r="N25" s="268">
        <v>34.5</v>
      </c>
      <c r="O25" s="268">
        <v>34.5</v>
      </c>
      <c r="P25" s="29">
        <f t="shared" si="13"/>
        <v>0.5</v>
      </c>
      <c r="Q25" s="213"/>
      <c r="R25" s="215">
        <f t="shared" si="14"/>
        <v>34.5</v>
      </c>
      <c r="S25" s="172"/>
      <c r="T25" s="172"/>
      <c r="U25" s="175"/>
      <c r="V25" s="30">
        <f t="shared" si="15"/>
        <v>37148</v>
      </c>
      <c r="W25" s="177"/>
      <c r="X25" s="221"/>
      <c r="Y25" s="372"/>
      <c r="Z25" s="373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178"/>
      <c r="AU25" s="94"/>
      <c r="AV25" s="95"/>
      <c r="AW25" s="88"/>
      <c r="AX25" s="32"/>
      <c r="AY25" s="31"/>
      <c r="AZ25" s="32"/>
      <c r="BA25" s="31"/>
      <c r="BB25" s="32"/>
      <c r="BC25" s="88"/>
      <c r="BD25" s="32"/>
      <c r="BE25" s="31"/>
      <c r="BF25" s="32"/>
      <c r="BG25" s="88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6"/>
        <v>0</v>
      </c>
      <c r="CZ25" s="34">
        <f t="shared" si="3"/>
        <v>0</v>
      </c>
      <c r="DA25" s="188">
        <f t="shared" si="4"/>
        <v>0</v>
      </c>
      <c r="DB25" s="189">
        <f t="shared" si="5"/>
        <v>37148</v>
      </c>
      <c r="DC25" s="188">
        <f t="shared" si="17"/>
        <v>0</v>
      </c>
      <c r="DD25" s="190">
        <v>16</v>
      </c>
      <c r="DE25" s="188">
        <v>1</v>
      </c>
      <c r="DF25" s="170">
        <f t="shared" si="18"/>
        <v>0</v>
      </c>
      <c r="DG25" s="170">
        <f t="shared" si="19"/>
        <v>0</v>
      </c>
      <c r="DH25" s="170">
        <f t="shared" si="20"/>
        <v>0</v>
      </c>
      <c r="DI25" s="170">
        <f t="shared" si="6"/>
        <v>0</v>
      </c>
      <c r="DJ25" s="167">
        <v>0</v>
      </c>
      <c r="DK25" s="189">
        <v>37148</v>
      </c>
      <c r="DL25" s="167">
        <v>-249.10986328125</v>
      </c>
      <c r="DM25" s="167">
        <f>[4]NYZoneA!$L16</f>
        <v>-3985.7578125</v>
      </c>
      <c r="DN25" s="167">
        <f t="shared" si="7"/>
        <v>1</v>
      </c>
    </row>
    <row r="26" spans="1:118" ht="18.75" x14ac:dyDescent="0.3">
      <c r="A26" s="80">
        <f>[3]NYZoneA!$D17</f>
        <v>37149</v>
      </c>
      <c r="B26" s="114">
        <f>+([4]NYZoneA!$L17+[4]NYZoneD!$L17)/16</f>
        <v>0</v>
      </c>
      <c r="C26" s="36">
        <f t="shared" si="0"/>
        <v>0</v>
      </c>
      <c r="D26" s="21">
        <f t="shared" si="8"/>
        <v>0</v>
      </c>
      <c r="E26" s="23">
        <f t="shared" si="9"/>
        <v>0</v>
      </c>
      <c r="F26" s="24">
        <f>+[4]NYZoneA!$C17</f>
        <v>33</v>
      </c>
      <c r="G26" s="24">
        <f t="shared" si="10"/>
        <v>0</v>
      </c>
      <c r="H26" s="25">
        <f t="shared" si="11"/>
        <v>33</v>
      </c>
      <c r="I26" s="26">
        <f t="shared" si="1"/>
        <v>0</v>
      </c>
      <c r="J26" s="27">
        <f t="shared" si="21"/>
        <v>0</v>
      </c>
      <c r="K26" s="27">
        <f t="shared" si="12"/>
        <v>0</v>
      </c>
      <c r="L26" s="390"/>
      <c r="M26" s="28">
        <f t="shared" si="2"/>
        <v>37149</v>
      </c>
      <c r="N26" s="268">
        <v>33</v>
      </c>
      <c r="O26" s="268">
        <v>33</v>
      </c>
      <c r="P26" s="29">
        <f t="shared" si="13"/>
        <v>0</v>
      </c>
      <c r="Q26" s="213"/>
      <c r="R26" s="215">
        <f t="shared" si="14"/>
        <v>33</v>
      </c>
      <c r="S26" s="172"/>
      <c r="T26" s="172"/>
      <c r="U26" s="175"/>
      <c r="V26" s="30">
        <f t="shared" si="15"/>
        <v>37149</v>
      </c>
      <c r="W26" s="177"/>
      <c r="X26" s="221"/>
      <c r="Y26" s="372"/>
      <c r="Z26" s="373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1"/>
      <c r="AU26" s="94"/>
      <c r="AV26" s="95"/>
      <c r="AW26" s="88"/>
      <c r="AX26" s="32"/>
      <c r="AY26" s="31"/>
      <c r="AZ26" s="32"/>
      <c r="BA26" s="31"/>
      <c r="BB26" s="32"/>
      <c r="BC26" s="88"/>
      <c r="BD26" s="32"/>
      <c r="BE26" s="31"/>
      <c r="BF26" s="32"/>
      <c r="BG26" s="88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6"/>
        <v>0</v>
      </c>
      <c r="CZ26" s="34">
        <f t="shared" si="3"/>
        <v>0</v>
      </c>
      <c r="DA26" s="188">
        <f t="shared" si="4"/>
        <v>0</v>
      </c>
      <c r="DB26" s="189">
        <f t="shared" si="5"/>
        <v>37149</v>
      </c>
      <c r="DC26" s="188">
        <f t="shared" si="17"/>
        <v>0</v>
      </c>
      <c r="DD26" s="190">
        <v>16</v>
      </c>
      <c r="DE26" s="188">
        <v>1</v>
      </c>
      <c r="DF26" s="170">
        <f t="shared" si="18"/>
        <v>0</v>
      </c>
      <c r="DG26" s="170">
        <f t="shared" si="19"/>
        <v>0</v>
      </c>
      <c r="DH26" s="170">
        <f t="shared" si="20"/>
        <v>0</v>
      </c>
      <c r="DI26" s="170">
        <f t="shared" si="6"/>
        <v>0</v>
      </c>
      <c r="DJ26" s="167">
        <v>0</v>
      </c>
      <c r="DK26" s="189">
        <v>37149</v>
      </c>
      <c r="DL26" s="167">
        <v>0</v>
      </c>
      <c r="DM26" s="167">
        <f>[4]NYZoneA!$L17</f>
        <v>0</v>
      </c>
      <c r="DN26" s="167">
        <f t="shared" si="7"/>
        <v>0</v>
      </c>
    </row>
    <row r="27" spans="1:118" ht="18.75" x14ac:dyDescent="0.3">
      <c r="A27" s="80">
        <f>[3]NYZoneA!$D18</f>
        <v>37150</v>
      </c>
      <c r="B27" s="114">
        <f>+([4]NYZoneA!$L18+[4]NYZoneD!$L18)/16</f>
        <v>0</v>
      </c>
      <c r="C27" s="36">
        <f t="shared" si="0"/>
        <v>0</v>
      </c>
      <c r="D27" s="36">
        <f t="shared" si="8"/>
        <v>0</v>
      </c>
      <c r="E27" s="23">
        <f t="shared" si="9"/>
        <v>0</v>
      </c>
      <c r="F27" s="24">
        <f>+[4]NYZoneA!$C18</f>
        <v>33</v>
      </c>
      <c r="G27" s="38">
        <f t="shared" si="10"/>
        <v>0</v>
      </c>
      <c r="H27" s="39">
        <f t="shared" si="11"/>
        <v>33</v>
      </c>
      <c r="I27" s="36">
        <f t="shared" si="1"/>
        <v>0</v>
      </c>
      <c r="J27" s="27">
        <f t="shared" si="21"/>
        <v>0</v>
      </c>
      <c r="K27" s="40">
        <f t="shared" si="12"/>
        <v>0</v>
      </c>
      <c r="L27" s="390"/>
      <c r="M27" s="28">
        <f t="shared" si="2"/>
        <v>37150</v>
      </c>
      <c r="N27" s="268">
        <v>33</v>
      </c>
      <c r="O27" s="268">
        <v>33</v>
      </c>
      <c r="P27" s="29">
        <f t="shared" si="13"/>
        <v>0</v>
      </c>
      <c r="Q27" s="213"/>
      <c r="R27" s="215">
        <f t="shared" si="14"/>
        <v>33</v>
      </c>
      <c r="S27" s="172"/>
      <c r="T27" s="172"/>
      <c r="U27" s="175"/>
      <c r="V27" s="30">
        <f t="shared" si="15"/>
        <v>37150</v>
      </c>
      <c r="W27" s="177"/>
      <c r="X27" s="221"/>
      <c r="Y27" s="372"/>
      <c r="Z27" s="373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372"/>
      <c r="AT27" s="373"/>
      <c r="AU27" s="94"/>
      <c r="AV27" s="95"/>
      <c r="AW27" s="88"/>
      <c r="AX27" s="32"/>
      <c r="AY27" s="31"/>
      <c r="AZ27" s="32"/>
      <c r="BA27" s="31"/>
      <c r="BB27" s="32"/>
      <c r="BC27" s="88"/>
      <c r="BD27" s="32"/>
      <c r="BE27" s="31"/>
      <c r="BF27" s="32"/>
      <c r="BG27" s="88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6"/>
        <v>0</v>
      </c>
      <c r="CZ27" s="34">
        <f t="shared" si="3"/>
        <v>0</v>
      </c>
      <c r="DA27" s="188">
        <f t="shared" si="4"/>
        <v>0</v>
      </c>
      <c r="DB27" s="189">
        <f t="shared" si="5"/>
        <v>37150</v>
      </c>
      <c r="DC27" s="188">
        <f t="shared" si="17"/>
        <v>0</v>
      </c>
      <c r="DD27" s="190">
        <v>16</v>
      </c>
      <c r="DE27" s="188">
        <v>1</v>
      </c>
      <c r="DF27" s="170">
        <f t="shared" si="18"/>
        <v>0</v>
      </c>
      <c r="DG27" s="170">
        <f t="shared" si="19"/>
        <v>0</v>
      </c>
      <c r="DH27" s="170">
        <f t="shared" si="20"/>
        <v>0</v>
      </c>
      <c r="DI27" s="170">
        <f t="shared" si="6"/>
        <v>0</v>
      </c>
      <c r="DJ27" s="167">
        <v>0</v>
      </c>
      <c r="DK27" s="189">
        <v>37150</v>
      </c>
      <c r="DL27" s="167">
        <v>0</v>
      </c>
      <c r="DM27" s="167">
        <f>[4]NYZoneA!$L18</f>
        <v>0</v>
      </c>
      <c r="DN27" s="167">
        <f t="shared" si="7"/>
        <v>0</v>
      </c>
    </row>
    <row r="28" spans="1:118" ht="18.75" x14ac:dyDescent="0.3">
      <c r="A28" s="80">
        <f>[3]NYZoneA!$D19</f>
        <v>37151</v>
      </c>
      <c r="B28" s="114">
        <f>+([4]NYZoneA!$L19+[4]NYZoneD!$L19)/16</f>
        <v>-249.10986328125</v>
      </c>
      <c r="C28" s="36">
        <f t="shared" si="0"/>
        <v>0</v>
      </c>
      <c r="D28" s="21">
        <f t="shared" si="8"/>
        <v>0</v>
      </c>
      <c r="E28" s="23">
        <f t="shared" si="9"/>
        <v>-249.10986328125</v>
      </c>
      <c r="F28" s="24">
        <f>+[4]NYZoneA!$C19</f>
        <v>34</v>
      </c>
      <c r="G28" s="24">
        <f t="shared" si="10"/>
        <v>0.5</v>
      </c>
      <c r="H28" s="25">
        <f t="shared" si="11"/>
        <v>34.5</v>
      </c>
      <c r="I28" s="26">
        <f t="shared" si="1"/>
        <v>-1992.87890625</v>
      </c>
      <c r="J28" s="27">
        <f t="shared" si="21"/>
        <v>0</v>
      </c>
      <c r="K28" s="27">
        <f t="shared" si="12"/>
        <v>-1992.87890625</v>
      </c>
      <c r="L28" s="172"/>
      <c r="M28" s="28">
        <f t="shared" si="2"/>
        <v>37151</v>
      </c>
      <c r="N28" s="268">
        <v>34.5</v>
      </c>
      <c r="O28" s="268">
        <v>34.5</v>
      </c>
      <c r="P28" s="29">
        <f t="shared" si="13"/>
        <v>0.5</v>
      </c>
      <c r="Q28" s="213"/>
      <c r="R28" s="215">
        <f t="shared" si="14"/>
        <v>34.5</v>
      </c>
      <c r="S28" s="172"/>
      <c r="T28" s="172"/>
      <c r="U28" s="175"/>
      <c r="V28" s="30">
        <f t="shared" si="15"/>
        <v>37151</v>
      </c>
      <c r="W28" s="177"/>
      <c r="X28" s="221"/>
      <c r="Y28" s="372"/>
      <c r="Z28" s="373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178"/>
      <c r="AU28" s="94"/>
      <c r="AV28" s="95"/>
      <c r="AW28" s="88"/>
      <c r="AX28" s="32"/>
      <c r="AY28" s="31"/>
      <c r="AZ28" s="32"/>
      <c r="BA28" s="31"/>
      <c r="BB28" s="32"/>
      <c r="BC28" s="88"/>
      <c r="BD28" s="32"/>
      <c r="BE28" s="31"/>
      <c r="BF28" s="32"/>
      <c r="BG28" s="88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6"/>
        <v>0</v>
      </c>
      <c r="CZ28" s="34">
        <f t="shared" si="3"/>
        <v>0</v>
      </c>
      <c r="DA28" s="188">
        <f t="shared" si="4"/>
        <v>0</v>
      </c>
      <c r="DB28" s="189">
        <f t="shared" si="5"/>
        <v>37151</v>
      </c>
      <c r="DC28" s="188">
        <f t="shared" si="17"/>
        <v>0</v>
      </c>
      <c r="DD28" s="190">
        <v>16</v>
      </c>
      <c r="DE28" s="188">
        <v>1</v>
      </c>
      <c r="DF28" s="170">
        <f t="shared" si="18"/>
        <v>0</v>
      </c>
      <c r="DG28" s="170">
        <f t="shared" si="19"/>
        <v>0</v>
      </c>
      <c r="DH28" s="170">
        <f t="shared" si="20"/>
        <v>0</v>
      </c>
      <c r="DI28" s="170">
        <f t="shared" si="6"/>
        <v>0</v>
      </c>
      <c r="DJ28" s="167">
        <v>0</v>
      </c>
      <c r="DK28" s="189">
        <v>37151</v>
      </c>
      <c r="DL28" s="167">
        <v>-249.10986328125</v>
      </c>
      <c r="DM28" s="167">
        <f>[4]NYZoneA!$L19</f>
        <v>-3985.7578125</v>
      </c>
      <c r="DN28" s="167">
        <f t="shared" si="7"/>
        <v>1</v>
      </c>
    </row>
    <row r="29" spans="1:118" ht="18.75" x14ac:dyDescent="0.3">
      <c r="A29" s="80">
        <f>[3]NYZoneA!$D20</f>
        <v>37152</v>
      </c>
      <c r="B29" s="114">
        <f>+([4]NYZoneA!$L20+[4]NYZoneD!$L20)/16</f>
        <v>-249.10986328125</v>
      </c>
      <c r="C29" s="36">
        <f t="shared" si="0"/>
        <v>0</v>
      </c>
      <c r="D29" s="36">
        <f t="shared" si="8"/>
        <v>0</v>
      </c>
      <c r="E29" s="23">
        <f t="shared" si="9"/>
        <v>-249.10986328125</v>
      </c>
      <c r="F29" s="24">
        <f>+[4]NYZoneA!$C20</f>
        <v>34</v>
      </c>
      <c r="G29" s="38">
        <f t="shared" si="10"/>
        <v>0.5</v>
      </c>
      <c r="H29" s="39">
        <f t="shared" si="11"/>
        <v>34.5</v>
      </c>
      <c r="I29" s="36">
        <f t="shared" si="1"/>
        <v>-1992.87890625</v>
      </c>
      <c r="J29" s="27">
        <f t="shared" si="21"/>
        <v>0</v>
      </c>
      <c r="K29" s="40">
        <f t="shared" si="12"/>
        <v>-1992.87890625</v>
      </c>
      <c r="L29" s="172"/>
      <c r="M29" s="28">
        <f t="shared" si="2"/>
        <v>37152</v>
      </c>
      <c r="N29" s="268">
        <v>34.5</v>
      </c>
      <c r="O29" s="268">
        <v>34.5</v>
      </c>
      <c r="P29" s="29">
        <f t="shared" si="13"/>
        <v>0.5</v>
      </c>
      <c r="Q29" s="213"/>
      <c r="R29" s="215">
        <f t="shared" si="14"/>
        <v>34.5</v>
      </c>
      <c r="S29" s="172"/>
      <c r="T29" s="172"/>
      <c r="U29" s="175"/>
      <c r="V29" s="30">
        <f t="shared" si="15"/>
        <v>37152</v>
      </c>
      <c r="W29" s="177"/>
      <c r="X29" s="221"/>
      <c r="Y29" s="177"/>
      <c r="Z29" s="221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88"/>
      <c r="AX29" s="32"/>
      <c r="AY29" s="31"/>
      <c r="AZ29" s="32"/>
      <c r="BA29" s="31"/>
      <c r="BB29" s="32"/>
      <c r="BC29" s="88"/>
      <c r="BD29" s="32"/>
      <c r="BE29" s="31"/>
      <c r="BF29" s="32"/>
      <c r="BG29" s="88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6"/>
        <v>0</v>
      </c>
      <c r="CZ29" s="34">
        <f t="shared" si="3"/>
        <v>0</v>
      </c>
      <c r="DA29" s="188">
        <f t="shared" si="4"/>
        <v>0</v>
      </c>
      <c r="DB29" s="189">
        <f t="shared" si="5"/>
        <v>37152</v>
      </c>
      <c r="DC29" s="188">
        <f t="shared" si="17"/>
        <v>0</v>
      </c>
      <c r="DD29" s="190">
        <v>16</v>
      </c>
      <c r="DE29" s="188">
        <v>1</v>
      </c>
      <c r="DF29" s="170">
        <f t="shared" si="18"/>
        <v>0</v>
      </c>
      <c r="DG29" s="170">
        <f t="shared" si="19"/>
        <v>0</v>
      </c>
      <c r="DH29" s="170">
        <f t="shared" si="20"/>
        <v>0</v>
      </c>
      <c r="DI29" s="170">
        <f t="shared" si="6"/>
        <v>0</v>
      </c>
      <c r="DJ29" s="167">
        <v>0</v>
      </c>
      <c r="DK29" s="189">
        <v>37152</v>
      </c>
      <c r="DL29" s="167">
        <v>-249.10986328125</v>
      </c>
      <c r="DM29" s="167">
        <f>[4]NYZoneA!$L20</f>
        <v>-3985.7578125</v>
      </c>
      <c r="DN29" s="167">
        <f t="shared" si="7"/>
        <v>1</v>
      </c>
    </row>
    <row r="30" spans="1:118" ht="18.75" x14ac:dyDescent="0.3">
      <c r="A30" s="80">
        <f>[3]NYZoneA!$D21</f>
        <v>37153</v>
      </c>
      <c r="B30" s="114">
        <f>+([4]NYZoneA!$L21+[4]NYZoneD!$L21)/16</f>
        <v>-249.10986328125</v>
      </c>
      <c r="C30" s="36">
        <f t="shared" si="0"/>
        <v>0</v>
      </c>
      <c r="D30" s="21">
        <f t="shared" si="8"/>
        <v>0</v>
      </c>
      <c r="E30" s="23">
        <f t="shared" si="9"/>
        <v>-249.10986328125</v>
      </c>
      <c r="F30" s="24">
        <f>+[4]NYZoneA!$C21</f>
        <v>34</v>
      </c>
      <c r="G30" s="24">
        <f t="shared" si="10"/>
        <v>0.5</v>
      </c>
      <c r="H30" s="25">
        <f t="shared" si="11"/>
        <v>34.5</v>
      </c>
      <c r="I30" s="26">
        <f t="shared" si="1"/>
        <v>-1992.87890625</v>
      </c>
      <c r="J30" s="27">
        <f t="shared" si="21"/>
        <v>0</v>
      </c>
      <c r="K30" s="27">
        <f t="shared" si="12"/>
        <v>-1992.87890625</v>
      </c>
      <c r="L30" s="388"/>
      <c r="M30" s="28">
        <f t="shared" si="2"/>
        <v>37153</v>
      </c>
      <c r="N30" s="268">
        <v>34.5</v>
      </c>
      <c r="O30" s="268">
        <v>34.5</v>
      </c>
      <c r="P30" s="29">
        <f t="shared" si="13"/>
        <v>0.5</v>
      </c>
      <c r="Q30" s="213"/>
      <c r="R30" s="215">
        <f t="shared" si="14"/>
        <v>34.5</v>
      </c>
      <c r="S30" s="172"/>
      <c r="T30" s="172"/>
      <c r="U30" s="175"/>
      <c r="V30" s="30">
        <f t="shared" si="15"/>
        <v>37153</v>
      </c>
      <c r="W30" s="177"/>
      <c r="X30" s="221"/>
      <c r="Y30" s="372"/>
      <c r="Z30" s="373"/>
      <c r="AA30" s="177"/>
      <c r="AB30" s="178"/>
      <c r="AC30" s="177"/>
      <c r="AD30" s="221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94"/>
      <c r="AX30" s="95"/>
      <c r="AY30" s="31"/>
      <c r="AZ30" s="32"/>
      <c r="BA30" s="31"/>
      <c r="BB30" s="32"/>
      <c r="BC30" s="88"/>
      <c r="BD30" s="32"/>
      <c r="BE30" s="31"/>
      <c r="BF30" s="32"/>
      <c r="BG30" s="88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6"/>
        <v>0</v>
      </c>
      <c r="CZ30" s="34">
        <f t="shared" si="3"/>
        <v>0</v>
      </c>
      <c r="DA30" s="188">
        <f t="shared" si="4"/>
        <v>0</v>
      </c>
      <c r="DB30" s="189">
        <f t="shared" si="5"/>
        <v>37153</v>
      </c>
      <c r="DC30" s="188">
        <f t="shared" si="17"/>
        <v>0</v>
      </c>
      <c r="DD30" s="190">
        <v>16</v>
      </c>
      <c r="DE30" s="188">
        <v>1</v>
      </c>
      <c r="DF30" s="170">
        <f t="shared" si="18"/>
        <v>0</v>
      </c>
      <c r="DG30" s="170">
        <f t="shared" si="19"/>
        <v>0</v>
      </c>
      <c r="DH30" s="170">
        <f t="shared" si="20"/>
        <v>0</v>
      </c>
      <c r="DI30" s="170">
        <f t="shared" si="6"/>
        <v>0</v>
      </c>
      <c r="DJ30" s="167">
        <v>0</v>
      </c>
      <c r="DK30" s="189">
        <v>37153</v>
      </c>
      <c r="DL30" s="167">
        <v>-249.10986328125</v>
      </c>
      <c r="DM30" s="167">
        <f>[4]NYZoneA!$L21</f>
        <v>-3985.7578125</v>
      </c>
      <c r="DN30" s="167">
        <f t="shared" si="7"/>
        <v>1</v>
      </c>
    </row>
    <row r="31" spans="1:118" ht="18.75" x14ac:dyDescent="0.3">
      <c r="A31" s="80">
        <f>[3]NYZoneA!$D22</f>
        <v>37154</v>
      </c>
      <c r="B31" s="114">
        <f>+([4]NYZoneA!$L22+[4]NYZoneD!$L22)/16</f>
        <v>-249.10986328125</v>
      </c>
      <c r="C31" s="36">
        <f t="shared" si="0"/>
        <v>0</v>
      </c>
      <c r="D31" s="36">
        <f t="shared" si="8"/>
        <v>0</v>
      </c>
      <c r="E31" s="23">
        <f t="shared" si="9"/>
        <v>-249.10986328125</v>
      </c>
      <c r="F31" s="24">
        <f>+[4]NYZoneA!$C22</f>
        <v>34</v>
      </c>
      <c r="G31" s="38">
        <f t="shared" si="10"/>
        <v>0.5</v>
      </c>
      <c r="H31" s="39">
        <f t="shared" si="11"/>
        <v>34.5</v>
      </c>
      <c r="I31" s="36">
        <f t="shared" si="1"/>
        <v>-1992.87890625</v>
      </c>
      <c r="J31" s="27">
        <f t="shared" si="21"/>
        <v>0</v>
      </c>
      <c r="K31" s="40">
        <f t="shared" si="12"/>
        <v>-1992.87890625</v>
      </c>
      <c r="L31" s="388"/>
      <c r="M31" s="28">
        <f t="shared" si="2"/>
        <v>37154</v>
      </c>
      <c r="N31" s="268">
        <v>34.5</v>
      </c>
      <c r="O31" s="268">
        <v>34.5</v>
      </c>
      <c r="P31" s="29">
        <f t="shared" si="13"/>
        <v>0.5</v>
      </c>
      <c r="Q31" s="213"/>
      <c r="R31" s="215">
        <f t="shared" si="14"/>
        <v>34.5</v>
      </c>
      <c r="S31" s="172"/>
      <c r="T31" s="172"/>
      <c r="U31" s="175"/>
      <c r="V31" s="30">
        <f t="shared" si="15"/>
        <v>37154</v>
      </c>
      <c r="W31" s="177"/>
      <c r="X31" s="221"/>
      <c r="Y31" s="372"/>
      <c r="Z31" s="373"/>
      <c r="AA31" s="177"/>
      <c r="AB31" s="178"/>
      <c r="AC31" s="177"/>
      <c r="AD31" s="221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178"/>
      <c r="AU31" s="94"/>
      <c r="AV31" s="95"/>
      <c r="AW31" s="94"/>
      <c r="AX31" s="95"/>
      <c r="AY31" s="31"/>
      <c r="AZ31" s="32"/>
      <c r="BA31" s="31"/>
      <c r="BB31" s="32"/>
      <c r="BC31" s="88"/>
      <c r="BD31" s="32"/>
      <c r="BE31" s="31"/>
      <c r="BF31" s="32"/>
      <c r="BG31" s="88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6"/>
        <v>0</v>
      </c>
      <c r="CZ31" s="34">
        <f t="shared" si="3"/>
        <v>0</v>
      </c>
      <c r="DA31" s="188">
        <f t="shared" si="4"/>
        <v>0</v>
      </c>
      <c r="DB31" s="189">
        <f t="shared" si="5"/>
        <v>37154</v>
      </c>
      <c r="DC31" s="188">
        <f t="shared" si="17"/>
        <v>0</v>
      </c>
      <c r="DD31" s="190">
        <v>16</v>
      </c>
      <c r="DE31" s="188">
        <v>1</v>
      </c>
      <c r="DF31" s="170">
        <f t="shared" si="18"/>
        <v>0</v>
      </c>
      <c r="DG31" s="170">
        <f t="shared" si="19"/>
        <v>0</v>
      </c>
      <c r="DH31" s="170">
        <f t="shared" si="20"/>
        <v>0</v>
      </c>
      <c r="DI31" s="170">
        <f t="shared" si="6"/>
        <v>0</v>
      </c>
      <c r="DJ31" s="167">
        <v>0</v>
      </c>
      <c r="DK31" s="189">
        <v>37154</v>
      </c>
      <c r="DL31" s="167">
        <v>-249.10986328125</v>
      </c>
      <c r="DM31" s="167">
        <f>[4]NYZoneA!$L22</f>
        <v>-3985.7578125</v>
      </c>
      <c r="DN31" s="167">
        <f t="shared" si="7"/>
        <v>1</v>
      </c>
    </row>
    <row r="32" spans="1:118" ht="18.75" x14ac:dyDescent="0.3">
      <c r="A32" s="80">
        <f>[3]NYZoneA!$D23</f>
        <v>37155</v>
      </c>
      <c r="B32" s="114">
        <f>+([4]NYZoneA!$L23+[4]NYZoneD!$L23)/16</f>
        <v>-249.10986328125</v>
      </c>
      <c r="C32" s="22">
        <f t="shared" si="0"/>
        <v>0</v>
      </c>
      <c r="D32" s="21">
        <f t="shared" si="8"/>
        <v>0</v>
      </c>
      <c r="E32" s="23">
        <f t="shared" si="9"/>
        <v>-249.10986328125</v>
      </c>
      <c r="F32" s="24">
        <f>+[4]NYZoneA!$C23</f>
        <v>34</v>
      </c>
      <c r="G32" s="24">
        <f t="shared" si="10"/>
        <v>0.5</v>
      </c>
      <c r="H32" s="25">
        <f t="shared" si="11"/>
        <v>34.5</v>
      </c>
      <c r="I32" s="26">
        <f t="shared" si="1"/>
        <v>-1992.87890625</v>
      </c>
      <c r="J32" s="27">
        <f t="shared" si="21"/>
        <v>0</v>
      </c>
      <c r="K32" s="27">
        <f t="shared" si="12"/>
        <v>-1992.87890625</v>
      </c>
      <c r="L32" s="388"/>
      <c r="M32" s="28">
        <f t="shared" si="2"/>
        <v>37155</v>
      </c>
      <c r="N32" s="268">
        <v>34.5</v>
      </c>
      <c r="O32" s="268">
        <v>34.5</v>
      </c>
      <c r="P32" s="29">
        <f t="shared" si="13"/>
        <v>0.5</v>
      </c>
      <c r="Q32" s="213"/>
      <c r="R32" s="215">
        <f t="shared" si="14"/>
        <v>34.5</v>
      </c>
      <c r="S32" s="172"/>
      <c r="T32" s="172"/>
      <c r="U32" s="175"/>
      <c r="V32" s="30">
        <f t="shared" si="15"/>
        <v>37155</v>
      </c>
      <c r="W32" s="177"/>
      <c r="X32" s="221"/>
      <c r="Y32" s="372"/>
      <c r="Z32" s="373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178"/>
      <c r="AU32" s="94"/>
      <c r="AV32" s="95"/>
      <c r="AW32" s="94"/>
      <c r="AX32" s="95"/>
      <c r="AY32" s="31"/>
      <c r="AZ32" s="32"/>
      <c r="BA32" s="31"/>
      <c r="BB32" s="32"/>
      <c r="BC32" s="88"/>
      <c r="BD32" s="32"/>
      <c r="BE32" s="31"/>
      <c r="BF32" s="32"/>
      <c r="BG32" s="88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6"/>
        <v>0</v>
      </c>
      <c r="CZ32" s="34">
        <f t="shared" si="3"/>
        <v>0</v>
      </c>
      <c r="DA32" s="188">
        <f t="shared" si="4"/>
        <v>0</v>
      </c>
      <c r="DB32" s="189">
        <f t="shared" si="5"/>
        <v>37155</v>
      </c>
      <c r="DC32" s="188">
        <f t="shared" si="17"/>
        <v>0</v>
      </c>
      <c r="DD32" s="190">
        <v>16</v>
      </c>
      <c r="DE32" s="188">
        <v>1</v>
      </c>
      <c r="DF32" s="170">
        <f t="shared" si="18"/>
        <v>0</v>
      </c>
      <c r="DG32" s="170">
        <f t="shared" si="19"/>
        <v>0</v>
      </c>
      <c r="DH32" s="170">
        <f t="shared" si="20"/>
        <v>0</v>
      </c>
      <c r="DI32" s="170">
        <f t="shared" si="6"/>
        <v>0</v>
      </c>
      <c r="DJ32" s="167">
        <v>0</v>
      </c>
      <c r="DK32" s="189">
        <v>37155</v>
      </c>
      <c r="DL32" s="167">
        <v>-249.10986328125</v>
      </c>
      <c r="DM32" s="167">
        <f>[4]NYZoneA!$L23</f>
        <v>-3985.7578125</v>
      </c>
      <c r="DN32" s="167">
        <f t="shared" si="7"/>
        <v>1</v>
      </c>
    </row>
    <row r="33" spans="1:124" ht="18.75" x14ac:dyDescent="0.3">
      <c r="A33" s="80">
        <f>[3]NYZoneA!$D24</f>
        <v>37156</v>
      </c>
      <c r="B33" s="114">
        <f>+([4]NYZoneA!$L24+[4]NYZoneD!$L24)/16</f>
        <v>0</v>
      </c>
      <c r="C33" s="35">
        <f t="shared" si="0"/>
        <v>0</v>
      </c>
      <c r="D33" s="36">
        <f t="shared" si="8"/>
        <v>0</v>
      </c>
      <c r="E33" s="23">
        <f t="shared" si="9"/>
        <v>0</v>
      </c>
      <c r="F33" s="24">
        <f>+[4]NYZoneA!$C24</f>
        <v>33</v>
      </c>
      <c r="G33" s="38">
        <f t="shared" si="10"/>
        <v>0</v>
      </c>
      <c r="H33" s="39">
        <f t="shared" si="11"/>
        <v>33</v>
      </c>
      <c r="I33" s="36">
        <f t="shared" si="1"/>
        <v>0</v>
      </c>
      <c r="J33" s="27">
        <f t="shared" si="21"/>
        <v>0</v>
      </c>
      <c r="K33" s="40">
        <f t="shared" si="12"/>
        <v>0</v>
      </c>
      <c r="L33" s="388"/>
      <c r="M33" s="28">
        <f t="shared" si="2"/>
        <v>37156</v>
      </c>
      <c r="N33" s="268">
        <v>33</v>
      </c>
      <c r="O33" s="268">
        <v>33</v>
      </c>
      <c r="P33" s="29">
        <f t="shared" si="13"/>
        <v>0</v>
      </c>
      <c r="Q33" s="213"/>
      <c r="R33" s="215">
        <f t="shared" si="14"/>
        <v>33</v>
      </c>
      <c r="S33" s="172"/>
      <c r="T33" s="172"/>
      <c r="U33" s="175"/>
      <c r="V33" s="30">
        <f t="shared" si="15"/>
        <v>37156</v>
      </c>
      <c r="W33" s="177"/>
      <c r="X33" s="221"/>
      <c r="Y33" s="372"/>
      <c r="Z33" s="373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372"/>
      <c r="AT33" s="373"/>
      <c r="AU33" s="94"/>
      <c r="AV33" s="95"/>
      <c r="AW33" s="94"/>
      <c r="AX33" s="95"/>
      <c r="AY33" s="31"/>
      <c r="AZ33" s="32"/>
      <c r="BA33" s="31"/>
      <c r="BB33" s="32"/>
      <c r="BC33" s="88"/>
      <c r="BD33" s="32"/>
      <c r="BE33" s="31"/>
      <c r="BF33" s="32"/>
      <c r="BG33" s="88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6"/>
        <v>0</v>
      </c>
      <c r="CZ33" s="34">
        <f t="shared" si="3"/>
        <v>0</v>
      </c>
      <c r="DA33" s="188">
        <f t="shared" si="4"/>
        <v>0</v>
      </c>
      <c r="DB33" s="189">
        <f t="shared" si="5"/>
        <v>37156</v>
      </c>
      <c r="DC33" s="188">
        <f t="shared" si="17"/>
        <v>0</v>
      </c>
      <c r="DD33" s="190">
        <v>16</v>
      </c>
      <c r="DE33" s="188">
        <v>1</v>
      </c>
      <c r="DF33" s="170">
        <f t="shared" si="18"/>
        <v>0</v>
      </c>
      <c r="DG33" s="170">
        <f t="shared" si="19"/>
        <v>0</v>
      </c>
      <c r="DH33" s="170">
        <f t="shared" si="20"/>
        <v>0</v>
      </c>
      <c r="DI33" s="170">
        <f t="shared" si="6"/>
        <v>0</v>
      </c>
      <c r="DJ33" s="167">
        <v>0</v>
      </c>
      <c r="DK33" s="189">
        <v>37156</v>
      </c>
      <c r="DL33" s="167">
        <v>0</v>
      </c>
      <c r="DM33" s="167">
        <f>[4]NYZoneA!$L24</f>
        <v>0</v>
      </c>
      <c r="DN33" s="167">
        <f t="shared" si="7"/>
        <v>0</v>
      </c>
    </row>
    <row r="34" spans="1:124" ht="18.75" x14ac:dyDescent="0.3">
      <c r="A34" s="80">
        <f>[3]NYZoneA!$D25</f>
        <v>37157</v>
      </c>
      <c r="B34" s="114">
        <f>+([4]NYZoneA!$L25+[4]NYZoneD!$L25)/16</f>
        <v>0</v>
      </c>
      <c r="C34" s="22">
        <f t="shared" si="0"/>
        <v>0</v>
      </c>
      <c r="D34" s="21">
        <f t="shared" si="8"/>
        <v>0</v>
      </c>
      <c r="E34" s="23">
        <f t="shared" si="9"/>
        <v>0</v>
      </c>
      <c r="F34" s="24">
        <f>+[4]NYZoneA!$C25</f>
        <v>33</v>
      </c>
      <c r="G34" s="24">
        <f t="shared" si="10"/>
        <v>0</v>
      </c>
      <c r="H34" s="25">
        <f t="shared" si="11"/>
        <v>33</v>
      </c>
      <c r="I34" s="26">
        <f t="shared" si="1"/>
        <v>0</v>
      </c>
      <c r="J34" s="27">
        <f t="shared" si="21"/>
        <v>0</v>
      </c>
      <c r="K34" s="27">
        <f t="shared" si="12"/>
        <v>0</v>
      </c>
      <c r="L34" s="172"/>
      <c r="M34" s="28">
        <f t="shared" si="2"/>
        <v>37157</v>
      </c>
      <c r="N34" s="268">
        <v>33</v>
      </c>
      <c r="O34" s="268">
        <v>33</v>
      </c>
      <c r="P34" s="29">
        <f t="shared" si="13"/>
        <v>0</v>
      </c>
      <c r="Q34" s="213"/>
      <c r="R34" s="215">
        <f t="shared" si="14"/>
        <v>33</v>
      </c>
      <c r="S34" s="172"/>
      <c r="T34" s="172"/>
      <c r="U34" s="175"/>
      <c r="V34" s="30">
        <f t="shared" si="15"/>
        <v>37157</v>
      </c>
      <c r="W34" s="177"/>
      <c r="X34" s="221"/>
      <c r="Y34" s="372"/>
      <c r="Z34" s="373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372"/>
      <c r="AT34" s="373"/>
      <c r="AU34" s="94"/>
      <c r="AV34" s="95"/>
      <c r="AW34" s="94"/>
      <c r="AX34" s="95"/>
      <c r="AY34" s="31"/>
      <c r="AZ34" s="32"/>
      <c r="BA34" s="31"/>
      <c r="BB34" s="32"/>
      <c r="BC34" s="88"/>
      <c r="BD34" s="32"/>
      <c r="BE34" s="31"/>
      <c r="BF34" s="32"/>
      <c r="BG34" s="88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6"/>
        <v>0</v>
      </c>
      <c r="CZ34" s="34">
        <f t="shared" si="3"/>
        <v>0</v>
      </c>
      <c r="DA34" s="188">
        <f t="shared" si="4"/>
        <v>0</v>
      </c>
      <c r="DB34" s="189">
        <f t="shared" si="5"/>
        <v>37157</v>
      </c>
      <c r="DC34" s="188">
        <f t="shared" si="17"/>
        <v>0</v>
      </c>
      <c r="DD34" s="190">
        <v>16</v>
      </c>
      <c r="DE34" s="188">
        <v>1</v>
      </c>
      <c r="DF34" s="170">
        <f t="shared" si="18"/>
        <v>0</v>
      </c>
      <c r="DG34" s="170">
        <f t="shared" si="19"/>
        <v>0</v>
      </c>
      <c r="DH34" s="170">
        <f t="shared" si="20"/>
        <v>0</v>
      </c>
      <c r="DI34" s="170">
        <f t="shared" si="6"/>
        <v>0</v>
      </c>
      <c r="DJ34" s="167">
        <v>0</v>
      </c>
      <c r="DK34" s="189">
        <v>37157</v>
      </c>
      <c r="DL34" s="167">
        <v>0</v>
      </c>
      <c r="DM34" s="167">
        <f>[4]NYZoneA!$L25</f>
        <v>0</v>
      </c>
      <c r="DN34" s="167">
        <f t="shared" si="7"/>
        <v>0</v>
      </c>
    </row>
    <row r="35" spans="1:124" ht="18.75" x14ac:dyDescent="0.3">
      <c r="A35" s="80">
        <f>[3]NYZoneA!$D26</f>
        <v>37158</v>
      </c>
      <c r="B35" s="114">
        <f>+([4]NYZoneA!$L26+[4]NYZoneD!$L26)/16</f>
        <v>-249.10986328125</v>
      </c>
      <c r="C35" s="35">
        <f t="shared" si="0"/>
        <v>0</v>
      </c>
      <c r="D35" s="36">
        <f t="shared" si="8"/>
        <v>0</v>
      </c>
      <c r="E35" s="23">
        <f t="shared" si="9"/>
        <v>-249.10986328125</v>
      </c>
      <c r="F35" s="24">
        <f>+[4]NYZoneA!$C26</f>
        <v>34</v>
      </c>
      <c r="G35" s="38">
        <f t="shared" si="10"/>
        <v>0.5</v>
      </c>
      <c r="H35" s="39">
        <f t="shared" si="11"/>
        <v>34.5</v>
      </c>
      <c r="I35" s="36">
        <f t="shared" si="1"/>
        <v>-1992.87890625</v>
      </c>
      <c r="J35" s="27">
        <f t="shared" si="21"/>
        <v>0</v>
      </c>
      <c r="K35" s="40">
        <f t="shared" si="12"/>
        <v>-1992.87890625</v>
      </c>
      <c r="L35" s="172"/>
      <c r="M35" s="28">
        <f t="shared" si="2"/>
        <v>37158</v>
      </c>
      <c r="N35" s="268">
        <v>34.5</v>
      </c>
      <c r="O35" s="268">
        <v>34.5</v>
      </c>
      <c r="P35" s="29">
        <f t="shared" si="13"/>
        <v>0.5</v>
      </c>
      <c r="Q35" s="213"/>
      <c r="R35" s="215">
        <f t="shared" si="14"/>
        <v>34.5</v>
      </c>
      <c r="S35" s="172"/>
      <c r="T35" s="172"/>
      <c r="U35" s="175"/>
      <c r="V35" s="30">
        <f t="shared" si="15"/>
        <v>37158</v>
      </c>
      <c r="W35" s="177"/>
      <c r="X35" s="221"/>
      <c r="Y35" s="372"/>
      <c r="Z35" s="373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178"/>
      <c r="AU35" s="94"/>
      <c r="AV35" s="95"/>
      <c r="AW35" s="94"/>
      <c r="AX35" s="95"/>
      <c r="AY35" s="31"/>
      <c r="AZ35" s="32"/>
      <c r="BA35" s="31"/>
      <c r="BB35" s="32"/>
      <c r="BC35" s="88"/>
      <c r="BD35" s="32"/>
      <c r="BE35" s="31"/>
      <c r="BF35" s="32"/>
      <c r="BG35" s="88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6"/>
        <v>0</v>
      </c>
      <c r="CZ35" s="34">
        <f t="shared" si="3"/>
        <v>0</v>
      </c>
      <c r="DA35" s="188">
        <f t="shared" si="4"/>
        <v>0</v>
      </c>
      <c r="DB35" s="189">
        <f t="shared" si="5"/>
        <v>37158</v>
      </c>
      <c r="DC35" s="188">
        <f t="shared" si="17"/>
        <v>0</v>
      </c>
      <c r="DD35" s="190">
        <v>16</v>
      </c>
      <c r="DE35" s="188">
        <v>1</v>
      </c>
      <c r="DF35" s="170">
        <f t="shared" si="18"/>
        <v>0</v>
      </c>
      <c r="DG35" s="170">
        <f t="shared" si="19"/>
        <v>0</v>
      </c>
      <c r="DH35" s="170">
        <f t="shared" si="20"/>
        <v>0</v>
      </c>
      <c r="DI35" s="170">
        <f t="shared" si="6"/>
        <v>0</v>
      </c>
      <c r="DJ35" s="167">
        <v>0</v>
      </c>
      <c r="DK35" s="189">
        <v>37158</v>
      </c>
      <c r="DL35" s="167">
        <v>-249.10986328125</v>
      </c>
      <c r="DM35" s="167">
        <f>[4]NYZoneA!$L26</f>
        <v>-3985.7578125</v>
      </c>
      <c r="DN35" s="167">
        <f t="shared" si="7"/>
        <v>1</v>
      </c>
    </row>
    <row r="36" spans="1:124" ht="18.75" x14ac:dyDescent="0.3">
      <c r="A36" s="80">
        <f>[3]NYZoneA!$D27</f>
        <v>37159</v>
      </c>
      <c r="B36" s="114">
        <f>+([4]NYZoneA!$L27+[4]NYZoneD!$L27)/16</f>
        <v>-249.10986328125</v>
      </c>
      <c r="C36" s="22">
        <f t="shared" si="0"/>
        <v>0</v>
      </c>
      <c r="D36" s="21">
        <f t="shared" si="8"/>
        <v>0</v>
      </c>
      <c r="E36" s="23">
        <f t="shared" si="9"/>
        <v>-249.10986328125</v>
      </c>
      <c r="F36" s="24">
        <f>+[4]NYZoneA!$C27</f>
        <v>34</v>
      </c>
      <c r="G36" s="24">
        <f t="shared" si="10"/>
        <v>0.5</v>
      </c>
      <c r="H36" s="25">
        <f t="shared" si="11"/>
        <v>34.5</v>
      </c>
      <c r="I36" s="26">
        <f t="shared" si="1"/>
        <v>-1992.87890625</v>
      </c>
      <c r="J36" s="27">
        <f t="shared" si="21"/>
        <v>0</v>
      </c>
      <c r="K36" s="27">
        <f t="shared" si="12"/>
        <v>-1992.87890625</v>
      </c>
      <c r="L36" s="172"/>
      <c r="M36" s="28">
        <f t="shared" si="2"/>
        <v>37159</v>
      </c>
      <c r="N36" s="268">
        <v>34.5</v>
      </c>
      <c r="O36" s="268">
        <v>34.5</v>
      </c>
      <c r="P36" s="29">
        <f t="shared" si="13"/>
        <v>0.5</v>
      </c>
      <c r="Q36" s="213"/>
      <c r="R36" s="215">
        <f t="shared" si="14"/>
        <v>34.5</v>
      </c>
      <c r="S36" s="172"/>
      <c r="T36" s="172"/>
      <c r="U36" s="175"/>
      <c r="V36" s="30">
        <f t="shared" si="15"/>
        <v>37159</v>
      </c>
      <c r="W36" s="177"/>
      <c r="X36" s="221"/>
      <c r="Y36" s="177"/>
      <c r="Z36" s="221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372"/>
      <c r="AT36" s="373"/>
      <c r="AU36" s="94"/>
      <c r="AV36" s="95"/>
      <c r="AW36" s="94"/>
      <c r="AX36" s="95"/>
      <c r="AY36" s="31"/>
      <c r="AZ36" s="32"/>
      <c r="BA36" s="31"/>
      <c r="BB36" s="32"/>
      <c r="BC36" s="88"/>
      <c r="BD36" s="32"/>
      <c r="BE36" s="31"/>
      <c r="BF36" s="32"/>
      <c r="BG36" s="88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ref="CY36:CY56" si="22">W36+Y36+AA36+AC36+AE36+AG36+AI36+AK36+AM36+AO36+AQ36+AS36+AU36+AW36+AY36+BA36+BC36+BE36+BG36+BI36+BK36+BM36+BO36+BQ36+BS36+BU36+BW36+BY36+CA36+CC36+CE36+CG36+CI36+CK36+CM36+CO36+CQ36+CS36+CU36+CW36</f>
        <v>0</v>
      </c>
      <c r="CZ36" s="34">
        <f t="shared" ref="CZ36:CZ56" si="23">IF(AND(CY36=0,DC36=0),0,(DF36+DG36)/DC36)</f>
        <v>0</v>
      </c>
      <c r="DA36" s="188">
        <f t="shared" si="4"/>
        <v>0</v>
      </c>
      <c r="DB36" s="189">
        <f t="shared" si="5"/>
        <v>37159</v>
      </c>
      <c r="DC36" s="188">
        <f t="shared" si="17"/>
        <v>0</v>
      </c>
      <c r="DD36" s="190">
        <v>16</v>
      </c>
      <c r="DE36" s="188">
        <v>1</v>
      </c>
      <c r="DF36" s="170">
        <f t="shared" si="18"/>
        <v>0</v>
      </c>
      <c r="DG36" s="170">
        <f t="shared" si="19"/>
        <v>0</v>
      </c>
      <c r="DH36" s="170">
        <f t="shared" si="20"/>
        <v>0</v>
      </c>
      <c r="DI36" s="170">
        <f t="shared" si="6"/>
        <v>0</v>
      </c>
      <c r="DJ36" s="167">
        <v>0</v>
      </c>
      <c r="DK36" s="189">
        <v>37159</v>
      </c>
      <c r="DL36" s="167">
        <v>-249.10986328125</v>
      </c>
      <c r="DM36" s="167">
        <f>[4]NYZoneA!$L27</f>
        <v>-3985.7578125</v>
      </c>
      <c r="DN36" s="167">
        <f t="shared" si="7"/>
        <v>1</v>
      </c>
    </row>
    <row r="37" spans="1:124" ht="18.75" x14ac:dyDescent="0.3">
      <c r="A37" s="80">
        <f>[3]NYZoneA!$D28</f>
        <v>37160</v>
      </c>
      <c r="B37" s="114">
        <f>+([4]NYZoneA!$L28+[4]NYZoneD!$L28)/16</f>
        <v>-249.10986328125</v>
      </c>
      <c r="C37" s="35">
        <f t="shared" si="0"/>
        <v>0</v>
      </c>
      <c r="D37" s="36">
        <f t="shared" si="8"/>
        <v>0</v>
      </c>
      <c r="E37" s="23">
        <f t="shared" si="9"/>
        <v>-249.10986328125</v>
      </c>
      <c r="F37" s="24">
        <f>+[4]NYZoneA!$C28</f>
        <v>34</v>
      </c>
      <c r="G37" s="38">
        <f t="shared" si="10"/>
        <v>0.5</v>
      </c>
      <c r="H37" s="39">
        <f t="shared" si="11"/>
        <v>34.5</v>
      </c>
      <c r="I37" s="36">
        <f t="shared" si="1"/>
        <v>-1992.87890625</v>
      </c>
      <c r="J37" s="27">
        <f t="shared" si="21"/>
        <v>0</v>
      </c>
      <c r="K37" s="40">
        <f t="shared" si="12"/>
        <v>-1992.87890625</v>
      </c>
      <c r="L37" s="172"/>
      <c r="M37" s="28">
        <f t="shared" si="2"/>
        <v>37160</v>
      </c>
      <c r="N37" s="268">
        <v>34.5</v>
      </c>
      <c r="O37" s="268">
        <v>34.5</v>
      </c>
      <c r="P37" s="29">
        <f t="shared" si="13"/>
        <v>0.5</v>
      </c>
      <c r="Q37" s="213"/>
      <c r="R37" s="215">
        <f t="shared" si="14"/>
        <v>34.5</v>
      </c>
      <c r="S37" s="172"/>
      <c r="T37" s="172"/>
      <c r="U37" s="175"/>
      <c r="V37" s="30">
        <f t="shared" si="15"/>
        <v>37160</v>
      </c>
      <c r="W37" s="177"/>
      <c r="X37" s="221"/>
      <c r="Y37" s="372"/>
      <c r="Z37" s="373"/>
      <c r="AA37" s="177"/>
      <c r="AB37" s="178"/>
      <c r="AC37" s="177"/>
      <c r="AD37" s="221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372"/>
      <c r="AT37" s="373"/>
      <c r="AU37" s="94"/>
      <c r="AV37" s="95"/>
      <c r="AW37" s="94"/>
      <c r="AX37" s="95"/>
      <c r="AY37" s="31"/>
      <c r="AZ37" s="32"/>
      <c r="BA37" s="31"/>
      <c r="BB37" s="32"/>
      <c r="BC37" s="88"/>
      <c r="BD37" s="32"/>
      <c r="BE37" s="31"/>
      <c r="BF37" s="32"/>
      <c r="BG37" s="88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2"/>
        <v>0</v>
      </c>
      <c r="CZ37" s="34">
        <f t="shared" si="23"/>
        <v>0</v>
      </c>
      <c r="DA37" s="188">
        <f t="shared" si="4"/>
        <v>0</v>
      </c>
      <c r="DB37" s="189">
        <f t="shared" si="5"/>
        <v>37160</v>
      </c>
      <c r="DC37" s="188">
        <f t="shared" si="17"/>
        <v>0</v>
      </c>
      <c r="DD37" s="190">
        <v>16</v>
      </c>
      <c r="DE37" s="188">
        <v>1</v>
      </c>
      <c r="DF37" s="170">
        <f t="shared" si="18"/>
        <v>0</v>
      </c>
      <c r="DG37" s="170">
        <f t="shared" si="19"/>
        <v>0</v>
      </c>
      <c r="DH37" s="170">
        <f t="shared" si="20"/>
        <v>0</v>
      </c>
      <c r="DI37" s="170">
        <f t="shared" si="6"/>
        <v>0</v>
      </c>
      <c r="DJ37" s="167">
        <v>0</v>
      </c>
      <c r="DK37" s="189">
        <v>37160</v>
      </c>
      <c r="DL37" s="167">
        <v>-249.10986328125</v>
      </c>
      <c r="DM37" s="167">
        <f>[4]NYZoneA!$L28</f>
        <v>-3985.7578125</v>
      </c>
      <c r="DN37" s="167">
        <f t="shared" si="7"/>
        <v>1</v>
      </c>
    </row>
    <row r="38" spans="1:124" ht="18.75" x14ac:dyDescent="0.3">
      <c r="A38" s="80">
        <f>[3]NYZoneA!$D29</f>
        <v>37161</v>
      </c>
      <c r="B38" s="114">
        <f>+([4]NYZoneA!$L29+[4]NYZoneD!$L29)/16</f>
        <v>-249.10986328125</v>
      </c>
      <c r="C38" s="22">
        <f t="shared" si="0"/>
        <v>0</v>
      </c>
      <c r="D38" s="21">
        <f t="shared" si="8"/>
        <v>0</v>
      </c>
      <c r="E38" s="23">
        <f t="shared" si="9"/>
        <v>-249.10986328125</v>
      </c>
      <c r="F38" s="24">
        <f>+[4]NYZoneA!$C29</f>
        <v>34</v>
      </c>
      <c r="G38" s="24">
        <f t="shared" si="10"/>
        <v>0.5</v>
      </c>
      <c r="H38" s="25">
        <f t="shared" si="11"/>
        <v>34.5</v>
      </c>
      <c r="I38" s="26">
        <f t="shared" si="1"/>
        <v>-1992.87890625</v>
      </c>
      <c r="J38" s="27">
        <f t="shared" si="21"/>
        <v>0</v>
      </c>
      <c r="K38" s="27">
        <f t="shared" si="12"/>
        <v>-1992.87890625</v>
      </c>
      <c r="L38" s="172"/>
      <c r="M38" s="28">
        <f t="shared" si="2"/>
        <v>37161</v>
      </c>
      <c r="N38" s="268">
        <v>34.5</v>
      </c>
      <c r="O38" s="268">
        <v>34.5</v>
      </c>
      <c r="P38" s="29">
        <f t="shared" si="13"/>
        <v>0.5</v>
      </c>
      <c r="Q38" s="213"/>
      <c r="R38" s="215">
        <f t="shared" si="14"/>
        <v>34.5</v>
      </c>
      <c r="S38" s="172"/>
      <c r="T38" s="172"/>
      <c r="U38" s="175"/>
      <c r="V38" s="30">
        <f t="shared" si="15"/>
        <v>37161</v>
      </c>
      <c r="W38" s="177"/>
      <c r="X38" s="221"/>
      <c r="Y38" s="372"/>
      <c r="Z38" s="373"/>
      <c r="AA38" s="177"/>
      <c r="AB38" s="178"/>
      <c r="AC38" s="177"/>
      <c r="AD38" s="221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372"/>
      <c r="AT38" s="373"/>
      <c r="AU38" s="94"/>
      <c r="AV38" s="95"/>
      <c r="AW38" s="94"/>
      <c r="AX38" s="95"/>
      <c r="AY38" s="31"/>
      <c r="AZ38" s="32"/>
      <c r="BA38" s="31"/>
      <c r="BB38" s="32"/>
      <c r="BC38" s="88"/>
      <c r="BD38" s="32"/>
      <c r="BE38" s="31"/>
      <c r="BF38" s="32"/>
      <c r="BG38" s="88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2"/>
        <v>0</v>
      </c>
      <c r="CZ38" s="34">
        <f t="shared" si="23"/>
        <v>0</v>
      </c>
      <c r="DA38" s="188">
        <f t="shared" si="4"/>
        <v>0</v>
      </c>
      <c r="DB38" s="189">
        <f t="shared" si="5"/>
        <v>37161</v>
      </c>
      <c r="DC38" s="188">
        <f t="shared" si="17"/>
        <v>0</v>
      </c>
      <c r="DD38" s="190">
        <v>16</v>
      </c>
      <c r="DE38" s="188">
        <v>1</v>
      </c>
      <c r="DF38" s="170">
        <f t="shared" si="18"/>
        <v>0</v>
      </c>
      <c r="DG38" s="170">
        <f t="shared" si="19"/>
        <v>0</v>
      </c>
      <c r="DH38" s="170">
        <f t="shared" si="20"/>
        <v>0</v>
      </c>
      <c r="DI38" s="170">
        <f t="shared" si="6"/>
        <v>0</v>
      </c>
      <c r="DJ38" s="167">
        <v>0</v>
      </c>
      <c r="DK38" s="189">
        <v>37161</v>
      </c>
      <c r="DL38" s="167">
        <v>-249.10986328125</v>
      </c>
      <c r="DM38" s="167">
        <f>[4]NYZoneA!$L29</f>
        <v>-3985.7578125</v>
      </c>
      <c r="DN38" s="167">
        <f t="shared" si="7"/>
        <v>1</v>
      </c>
    </row>
    <row r="39" spans="1:124" ht="18.75" x14ac:dyDescent="0.3">
      <c r="A39" s="80">
        <f>[3]NYZoneA!$D30</f>
        <v>37162</v>
      </c>
      <c r="B39" s="114">
        <f>+([4]NYZoneA!$L30+[4]NYZoneD!$L30)/16</f>
        <v>-249.10986328125</v>
      </c>
      <c r="C39" s="35">
        <f t="shared" si="0"/>
        <v>0</v>
      </c>
      <c r="D39" s="36">
        <f t="shared" si="8"/>
        <v>0</v>
      </c>
      <c r="E39" s="23">
        <f t="shared" si="9"/>
        <v>-249.10986328125</v>
      </c>
      <c r="F39" s="24">
        <f>+[4]NYZoneA!$C30</f>
        <v>34</v>
      </c>
      <c r="G39" s="38">
        <f t="shared" si="10"/>
        <v>0.5</v>
      </c>
      <c r="H39" s="39">
        <f t="shared" si="11"/>
        <v>34.5</v>
      </c>
      <c r="I39" s="36">
        <f t="shared" si="1"/>
        <v>-1992.87890625</v>
      </c>
      <c r="J39" s="27">
        <f t="shared" si="21"/>
        <v>0</v>
      </c>
      <c r="K39" s="40">
        <f t="shared" si="12"/>
        <v>-1992.87890625</v>
      </c>
      <c r="L39" s="172"/>
      <c r="M39" s="28">
        <f t="shared" si="2"/>
        <v>37162</v>
      </c>
      <c r="N39" s="268">
        <v>34.5</v>
      </c>
      <c r="O39" s="268">
        <v>34.5</v>
      </c>
      <c r="P39" s="29">
        <f t="shared" si="13"/>
        <v>0.5</v>
      </c>
      <c r="Q39" s="213"/>
      <c r="R39" s="215">
        <f t="shared" si="14"/>
        <v>34.5</v>
      </c>
      <c r="S39" s="172"/>
      <c r="T39" s="172"/>
      <c r="U39" s="175"/>
      <c r="V39" s="30">
        <f t="shared" si="15"/>
        <v>37162</v>
      </c>
      <c r="W39" s="177"/>
      <c r="X39" s="221"/>
      <c r="Y39" s="372"/>
      <c r="Z39" s="373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372"/>
      <c r="AT39" s="373"/>
      <c r="AU39" s="94"/>
      <c r="AV39" s="95"/>
      <c r="AW39" s="94"/>
      <c r="AX39" s="95"/>
      <c r="AY39" s="31"/>
      <c r="AZ39" s="32"/>
      <c r="BA39" s="31"/>
      <c r="BB39" s="32"/>
      <c r="BC39" s="88"/>
      <c r="BD39" s="32"/>
      <c r="BE39" s="31"/>
      <c r="BF39" s="32"/>
      <c r="BG39" s="88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2"/>
        <v>0</v>
      </c>
      <c r="CZ39" s="34">
        <f t="shared" si="23"/>
        <v>0</v>
      </c>
      <c r="DA39" s="188">
        <f t="shared" si="4"/>
        <v>0</v>
      </c>
      <c r="DB39" s="189">
        <f t="shared" si="5"/>
        <v>37162</v>
      </c>
      <c r="DC39" s="188">
        <f t="shared" si="17"/>
        <v>0</v>
      </c>
      <c r="DD39" s="190">
        <v>16</v>
      </c>
      <c r="DE39" s="188">
        <v>1</v>
      </c>
      <c r="DF39" s="170">
        <f t="shared" si="18"/>
        <v>0</v>
      </c>
      <c r="DG39" s="170">
        <f t="shared" si="19"/>
        <v>0</v>
      </c>
      <c r="DH39" s="170">
        <f t="shared" si="20"/>
        <v>0</v>
      </c>
      <c r="DI39" s="170">
        <f t="shared" si="6"/>
        <v>0</v>
      </c>
      <c r="DJ39" s="167">
        <v>0</v>
      </c>
      <c r="DK39" s="189">
        <v>37162</v>
      </c>
      <c r="DL39" s="167">
        <v>-249.10986328125</v>
      </c>
      <c r="DM39" s="167">
        <f>[4]NYZoneA!$L30</f>
        <v>-3985.7578125</v>
      </c>
      <c r="DN39" s="167">
        <f t="shared" si="7"/>
        <v>1</v>
      </c>
    </row>
    <row r="40" spans="1:124" ht="18.75" x14ac:dyDescent="0.3">
      <c r="A40" s="80">
        <f>[3]NYZoneA!$D31</f>
        <v>37163</v>
      </c>
      <c r="B40" s="114">
        <f>+([4]NYZoneA!$L31+[4]NYZoneD!$L31)/16</f>
        <v>0</v>
      </c>
      <c r="C40" s="22">
        <f t="shared" si="0"/>
        <v>0</v>
      </c>
      <c r="D40" s="21">
        <f t="shared" si="8"/>
        <v>0</v>
      </c>
      <c r="E40" s="23">
        <f t="shared" si="9"/>
        <v>0</v>
      </c>
      <c r="F40" s="24">
        <f>+[4]NYZoneA!$C31</f>
        <v>33</v>
      </c>
      <c r="G40" s="24">
        <f t="shared" si="10"/>
        <v>0</v>
      </c>
      <c r="H40" s="25">
        <f t="shared" si="11"/>
        <v>33</v>
      </c>
      <c r="I40" s="26">
        <f t="shared" si="1"/>
        <v>0</v>
      </c>
      <c r="J40" s="27">
        <f t="shared" si="21"/>
        <v>0</v>
      </c>
      <c r="K40" s="27">
        <f t="shared" si="12"/>
        <v>0</v>
      </c>
      <c r="L40" s="172"/>
      <c r="M40" s="366">
        <f t="shared" si="2"/>
        <v>37163</v>
      </c>
      <c r="N40" s="268">
        <v>33</v>
      </c>
      <c r="O40" s="268">
        <v>33</v>
      </c>
      <c r="P40" s="351">
        <f t="shared" si="13"/>
        <v>0</v>
      </c>
      <c r="Q40" s="213"/>
      <c r="R40" s="215">
        <f t="shared" si="14"/>
        <v>33</v>
      </c>
      <c r="S40" s="172"/>
      <c r="T40" s="172"/>
      <c r="U40" s="175"/>
      <c r="V40" s="30">
        <f t="shared" si="15"/>
        <v>37163</v>
      </c>
      <c r="W40" s="177"/>
      <c r="X40" s="221"/>
      <c r="Y40" s="372"/>
      <c r="Z40" s="373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372"/>
      <c r="AT40" s="373"/>
      <c r="AU40" s="94"/>
      <c r="AV40" s="95"/>
      <c r="AW40" s="94"/>
      <c r="AX40" s="95"/>
      <c r="AY40" s="31"/>
      <c r="AZ40" s="32"/>
      <c r="BA40" s="31"/>
      <c r="BB40" s="32"/>
      <c r="BC40" s="88"/>
      <c r="BD40" s="32"/>
      <c r="BE40" s="31"/>
      <c r="BF40" s="32"/>
      <c r="BG40" s="88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2"/>
        <v>0</v>
      </c>
      <c r="CZ40" s="34">
        <f t="shared" si="23"/>
        <v>0</v>
      </c>
      <c r="DA40" s="188">
        <f t="shared" si="4"/>
        <v>0</v>
      </c>
      <c r="DB40" s="189">
        <f t="shared" si="5"/>
        <v>37163</v>
      </c>
      <c r="DC40" s="188">
        <f t="shared" si="17"/>
        <v>0</v>
      </c>
      <c r="DD40" s="190">
        <v>16</v>
      </c>
      <c r="DE40" s="188">
        <v>1</v>
      </c>
      <c r="DF40" s="170">
        <f t="shared" si="18"/>
        <v>0</v>
      </c>
      <c r="DG40" s="170">
        <f t="shared" si="19"/>
        <v>0</v>
      </c>
      <c r="DH40" s="170">
        <f t="shared" si="20"/>
        <v>0</v>
      </c>
      <c r="DI40" s="170">
        <f t="shared" si="6"/>
        <v>0</v>
      </c>
      <c r="DJ40" s="167">
        <v>0</v>
      </c>
      <c r="DK40" s="189">
        <v>37163</v>
      </c>
      <c r="DL40" s="167">
        <v>0</v>
      </c>
      <c r="DM40" s="167">
        <f>[4]NYZoneA!$L31</f>
        <v>0</v>
      </c>
      <c r="DN40" s="167">
        <f t="shared" si="7"/>
        <v>0</v>
      </c>
    </row>
    <row r="41" spans="1:124" ht="18.75" x14ac:dyDescent="0.3">
      <c r="A41" s="80">
        <f>[3]NYZoneA!$D32</f>
        <v>37164</v>
      </c>
      <c r="B41" s="114">
        <f>+([4]NYZoneA!$L32+[4]NYZoneD!$L32)/16</f>
        <v>0</v>
      </c>
      <c r="C41" s="35">
        <f t="shared" si="0"/>
        <v>0</v>
      </c>
      <c r="D41" s="36">
        <f t="shared" si="8"/>
        <v>0</v>
      </c>
      <c r="E41" s="23">
        <f t="shared" si="9"/>
        <v>0</v>
      </c>
      <c r="F41" s="24">
        <f>+[4]NYZoneA!$C32</f>
        <v>33</v>
      </c>
      <c r="G41" s="38">
        <f t="shared" si="10"/>
        <v>0</v>
      </c>
      <c r="H41" s="39">
        <f t="shared" si="11"/>
        <v>33</v>
      </c>
      <c r="I41" s="36">
        <f t="shared" si="1"/>
        <v>0</v>
      </c>
      <c r="J41" s="27">
        <f t="shared" si="21"/>
        <v>0</v>
      </c>
      <c r="K41" s="40">
        <f t="shared" si="12"/>
        <v>0</v>
      </c>
      <c r="L41" s="172"/>
      <c r="M41" s="28">
        <f t="shared" si="2"/>
        <v>37164</v>
      </c>
      <c r="N41" s="268">
        <v>33</v>
      </c>
      <c r="O41" s="268">
        <v>33</v>
      </c>
      <c r="P41" s="29">
        <f t="shared" si="13"/>
        <v>0</v>
      </c>
      <c r="Q41" s="213"/>
      <c r="R41" s="215">
        <f t="shared" si="14"/>
        <v>33</v>
      </c>
      <c r="S41" s="172"/>
      <c r="T41" s="172"/>
      <c r="U41" s="175"/>
      <c r="V41" s="30">
        <f t="shared" si="15"/>
        <v>37164</v>
      </c>
      <c r="W41" s="177"/>
      <c r="X41" s="221"/>
      <c r="Y41" s="372"/>
      <c r="Z41" s="373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94"/>
      <c r="AV41" s="95"/>
      <c r="AW41" s="94"/>
      <c r="AX41" s="95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2"/>
        <v>0</v>
      </c>
      <c r="CZ41" s="34">
        <f t="shared" si="23"/>
        <v>0</v>
      </c>
      <c r="DA41" s="188">
        <f t="shared" si="4"/>
        <v>0</v>
      </c>
      <c r="DB41" s="189">
        <f t="shared" si="5"/>
        <v>37164</v>
      </c>
      <c r="DC41" s="188">
        <f t="shared" si="17"/>
        <v>0</v>
      </c>
      <c r="DD41" s="190">
        <v>16</v>
      </c>
      <c r="DE41" s="188">
        <v>1</v>
      </c>
      <c r="DF41" s="170">
        <f t="shared" si="18"/>
        <v>0</v>
      </c>
      <c r="DG41" s="170">
        <f t="shared" si="19"/>
        <v>0</v>
      </c>
      <c r="DH41" s="170">
        <f t="shared" si="20"/>
        <v>0</v>
      </c>
      <c r="DI41" s="170">
        <f t="shared" si="6"/>
        <v>0</v>
      </c>
      <c r="DJ41" s="167">
        <v>0</v>
      </c>
      <c r="DK41" s="189">
        <v>37164</v>
      </c>
      <c r="DL41" s="167">
        <v>0</v>
      </c>
      <c r="DM41" s="167">
        <f>[4]NYZoneA!$L32</f>
        <v>0</v>
      </c>
      <c r="DN41" s="167">
        <f t="shared" si="7"/>
        <v>0</v>
      </c>
    </row>
    <row r="42" spans="1:124" ht="18.75" x14ac:dyDescent="0.3">
      <c r="A42" s="80">
        <f>[3]NYZoneA!$D33</f>
        <v>37165</v>
      </c>
      <c r="B42" s="114">
        <f>+([4]NYZoneA!$L33+[4]NYZoneD!$L33)/16</f>
        <v>-4569.0625</v>
      </c>
      <c r="C42" s="22">
        <f t="shared" si="0"/>
        <v>0</v>
      </c>
      <c r="D42" s="21">
        <f t="shared" si="8"/>
        <v>0</v>
      </c>
      <c r="E42" s="23">
        <f t="shared" si="9"/>
        <v>-4569.0625</v>
      </c>
      <c r="F42" s="24">
        <f>+[4]NYZoneA!$C33</f>
        <v>34.25</v>
      </c>
      <c r="G42" s="24">
        <f t="shared" si="10"/>
        <v>0.75</v>
      </c>
      <c r="H42" s="25">
        <f t="shared" si="11"/>
        <v>35</v>
      </c>
      <c r="I42" s="26">
        <f t="shared" si="1"/>
        <v>-54828.75</v>
      </c>
      <c r="J42" s="27">
        <f t="shared" si="21"/>
        <v>0</v>
      </c>
      <c r="K42" s="27">
        <f t="shared" si="12"/>
        <v>-54828.75</v>
      </c>
      <c r="L42" s="172"/>
      <c r="M42" s="366">
        <f t="shared" si="2"/>
        <v>37165</v>
      </c>
      <c r="N42" s="268">
        <v>35</v>
      </c>
      <c r="O42" s="268">
        <v>35</v>
      </c>
      <c r="P42" s="351">
        <f t="shared" si="13"/>
        <v>0.75</v>
      </c>
      <c r="Q42" s="213"/>
      <c r="R42" s="215">
        <f t="shared" si="14"/>
        <v>35</v>
      </c>
      <c r="S42" s="172"/>
      <c r="T42" s="172"/>
      <c r="U42" s="175"/>
      <c r="V42" s="30">
        <f t="shared" si="15"/>
        <v>37165</v>
      </c>
      <c r="W42" s="177"/>
      <c r="X42" s="221"/>
      <c r="Y42" s="372"/>
      <c r="Z42" s="373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94"/>
      <c r="AX42" s="95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2"/>
        <v>0</v>
      </c>
      <c r="CZ42" s="34">
        <f t="shared" si="23"/>
        <v>0</v>
      </c>
      <c r="DA42" s="188">
        <f t="shared" si="4"/>
        <v>0</v>
      </c>
      <c r="DB42" s="189">
        <f t="shared" si="5"/>
        <v>37165</v>
      </c>
      <c r="DC42" s="188">
        <f t="shared" si="17"/>
        <v>0</v>
      </c>
      <c r="DD42" s="190">
        <v>16</v>
      </c>
      <c r="DE42" s="188">
        <v>1</v>
      </c>
      <c r="DF42" s="170">
        <f t="shared" si="18"/>
        <v>0</v>
      </c>
      <c r="DG42" s="170">
        <f t="shared" si="19"/>
        <v>0</v>
      </c>
      <c r="DH42" s="170">
        <f t="shared" si="20"/>
        <v>0</v>
      </c>
      <c r="DI42" s="170">
        <f t="shared" si="6"/>
        <v>0</v>
      </c>
      <c r="DJ42" s="167">
        <v>0</v>
      </c>
      <c r="DK42" s="189">
        <v>37165</v>
      </c>
      <c r="DL42" s="167">
        <v>-9169.0625</v>
      </c>
      <c r="DM42" s="167">
        <f>[4]NYZoneA!$L33</f>
        <v>-73105</v>
      </c>
      <c r="DN42" s="167">
        <f t="shared" si="7"/>
        <v>1</v>
      </c>
      <c r="DS42" s="172"/>
      <c r="DT42" s="172"/>
    </row>
    <row r="43" spans="1:124" ht="19.5" thickBot="1" x14ac:dyDescent="0.35">
      <c r="A43" s="80">
        <f>[3]NYZoneA!$D34</f>
        <v>37195</v>
      </c>
      <c r="B43" s="365">
        <f>+([4]NYZoneA!$L34+[4]NYZoneD!$L34)</f>
        <v>0</v>
      </c>
      <c r="C43" s="35">
        <f>CY43</f>
        <v>0</v>
      </c>
      <c r="D43" s="36">
        <f t="shared" si="8"/>
        <v>0</v>
      </c>
      <c r="E43" s="37">
        <f>B43+C43+D43</f>
        <v>0</v>
      </c>
      <c r="F43" s="24">
        <f>+[4]NYZoneA!$C34</f>
        <v>34.25</v>
      </c>
      <c r="G43" s="38">
        <f t="shared" si="10"/>
        <v>0.75</v>
      </c>
      <c r="H43" s="39">
        <f t="shared" si="11"/>
        <v>35</v>
      </c>
      <c r="I43" s="36">
        <f>B43*G43</f>
        <v>0</v>
      </c>
      <c r="J43" s="40">
        <f t="shared" si="21"/>
        <v>0</v>
      </c>
      <c r="K43" s="40">
        <f t="shared" si="12"/>
        <v>0</v>
      </c>
      <c r="L43" s="387"/>
      <c r="M43" s="366">
        <f t="shared" si="2"/>
        <v>37195</v>
      </c>
      <c r="N43" s="381">
        <v>35</v>
      </c>
      <c r="O43" s="381">
        <v>35</v>
      </c>
      <c r="P43" s="351">
        <f t="shared" si="13"/>
        <v>0.75</v>
      </c>
      <c r="Q43" s="213"/>
      <c r="R43" s="215">
        <f t="shared" si="14"/>
        <v>35</v>
      </c>
      <c r="S43" s="172"/>
      <c r="T43" s="172"/>
      <c r="U43" s="175"/>
      <c r="V43" s="28">
        <f t="shared" si="15"/>
        <v>37195</v>
      </c>
      <c r="W43" s="227"/>
      <c r="X43" s="421"/>
      <c r="Y43" s="227"/>
      <c r="Z43" s="421"/>
      <c r="AA43" s="227"/>
      <c r="AB43" s="228"/>
      <c r="AC43" s="177"/>
      <c r="AD43" s="178"/>
      <c r="AE43" s="177"/>
      <c r="AF43" s="178"/>
      <c r="AG43" s="177"/>
      <c r="AH43" s="178"/>
      <c r="AI43" s="227"/>
      <c r="AJ43" s="228"/>
      <c r="AK43" s="227"/>
      <c r="AL43" s="228"/>
      <c r="AM43" s="177"/>
      <c r="AN43" s="178"/>
      <c r="AO43" s="177"/>
      <c r="AP43" s="178"/>
      <c r="AQ43" s="177"/>
      <c r="AR43" s="178"/>
      <c r="AS43" s="227"/>
      <c r="AT43" s="178"/>
      <c r="AU43" s="230"/>
      <c r="AV43" s="231"/>
      <c r="AW43" s="230"/>
      <c r="AX43" s="231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2"/>
        <v>0</v>
      </c>
      <c r="CZ43" s="236">
        <f t="shared" si="23"/>
        <v>0</v>
      </c>
      <c r="DA43" s="188">
        <f t="shared" si="4"/>
        <v>0</v>
      </c>
      <c r="DB43" s="189">
        <f t="shared" si="5"/>
        <v>37195</v>
      </c>
      <c r="DC43" s="188">
        <f t="shared" si="17"/>
        <v>0</v>
      </c>
      <c r="DD43" s="190">
        <v>16</v>
      </c>
      <c r="DE43" s="188">
        <v>1</v>
      </c>
      <c r="DF43" s="170">
        <f t="shared" si="18"/>
        <v>0</v>
      </c>
      <c r="DG43" s="170">
        <f t="shared" si="19"/>
        <v>0</v>
      </c>
      <c r="DH43" s="170">
        <f t="shared" si="20"/>
        <v>0</v>
      </c>
      <c r="DI43" s="170">
        <f t="shared" si="6"/>
        <v>0</v>
      </c>
      <c r="DJ43" s="167">
        <v>0</v>
      </c>
      <c r="DK43" s="189">
        <v>37195</v>
      </c>
      <c r="DL43" s="167">
        <v>0</v>
      </c>
      <c r="DM43" s="167">
        <f>[4]NYZoneA!$L34</f>
        <v>0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[3]NYZoneA!$D35</f>
        <v>37196</v>
      </c>
      <c r="B44" s="118">
        <f>+[4]NYZoneA!$L35/16/DR44</f>
        <v>-198.09795851934524</v>
      </c>
      <c r="C44" s="120">
        <f t="shared" si="0"/>
        <v>0</v>
      </c>
      <c r="D44" s="115">
        <f t="shared" si="8"/>
        <v>0</v>
      </c>
      <c r="E44" s="116">
        <f>B44+C44+D44</f>
        <v>-198.09795851934524</v>
      </c>
      <c r="F44" s="138">
        <f>+[4]NYZoneA!$C35</f>
        <v>34.25</v>
      </c>
      <c r="G44" s="141">
        <f t="shared" si="10"/>
        <v>0.75</v>
      </c>
      <c r="H44" s="135">
        <f t="shared" si="11"/>
        <v>35</v>
      </c>
      <c r="I44" s="269">
        <f t="shared" ref="I44:I56" si="24">B44*G44*DD44*DR44</f>
        <v>-49920.685546875007</v>
      </c>
      <c r="J44" s="275">
        <f t="shared" si="21"/>
        <v>0</v>
      </c>
      <c r="K44" s="269">
        <f t="shared" si="12"/>
        <v>-49920.685546875007</v>
      </c>
      <c r="L44" s="172"/>
      <c r="M44" s="130">
        <f t="shared" si="2"/>
        <v>37196</v>
      </c>
      <c r="N44" s="210">
        <v>35</v>
      </c>
      <c r="O44" s="210">
        <v>35</v>
      </c>
      <c r="P44" s="131">
        <f t="shared" si="13"/>
        <v>0.75</v>
      </c>
      <c r="Q44" s="216"/>
      <c r="R44" s="214">
        <f t="shared" si="14"/>
        <v>35</v>
      </c>
      <c r="S44" s="172"/>
      <c r="T44" s="172"/>
      <c r="U44" s="176"/>
      <c r="V44" s="238">
        <f t="shared" si="15"/>
        <v>37196</v>
      </c>
      <c r="W44" s="243"/>
      <c r="X44" s="246"/>
      <c r="Y44" s="243"/>
      <c r="Z44" s="244"/>
      <c r="AA44" s="243"/>
      <c r="AB44" s="244"/>
      <c r="AC44" s="243"/>
      <c r="AD44" s="240"/>
      <c r="AE44" s="243"/>
      <c r="AF44" s="240"/>
      <c r="AG44" s="243"/>
      <c r="AH44" s="240"/>
      <c r="AI44" s="243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2"/>
        <v>0</v>
      </c>
      <c r="CZ44" s="105">
        <f t="shared" si="23"/>
        <v>0</v>
      </c>
      <c r="DA44" s="188">
        <f t="shared" si="4"/>
        <v>0</v>
      </c>
      <c r="DB44" s="189">
        <f t="shared" si="5"/>
        <v>37196</v>
      </c>
      <c r="DC44" s="188">
        <f t="shared" si="17"/>
        <v>0</v>
      </c>
      <c r="DD44" s="190">
        <v>16</v>
      </c>
      <c r="DE44" s="188">
        <v>1</v>
      </c>
      <c r="DF44" s="170">
        <f t="shared" si="18"/>
        <v>0</v>
      </c>
      <c r="DG44" s="170">
        <f t="shared" si="19"/>
        <v>0</v>
      </c>
      <c r="DH44" s="170">
        <f>(((H44-X44)*W44+(H44-Z44)*Y44+(H44-AB44)*AA44+(H44-AD44)*AC44+(H44-AF44)*AE44+(H44-AH44)*AG44+(H44-AJ44)*AI44+(H44-AL44)*AK44+(H44-AN44)*AM44+(H44-AP44)*AO44+(H44-AR44)*AQ44+(H44-AT44)*AS44+(H44-AV44)*AU44+(H44-AX44)*AW44+(H44-AZ44)*AY44+(H44-BB44)*BA44+(H44-BD44)*BC44+(H44-BF44)*BE44+(H44-BH44)*BG44+(H44-BJ44)*BI44)*DD44*DE44)*$DR44</f>
        <v>0</v>
      </c>
      <c r="DI44" s="170">
        <f t="shared" si="6"/>
        <v>0</v>
      </c>
      <c r="DJ44" s="167">
        <v>0</v>
      </c>
      <c r="DK44" s="189">
        <v>37196</v>
      </c>
      <c r="DL44" s="167">
        <v>-398.09795851934524</v>
      </c>
      <c r="DM44" s="167">
        <f>[4]NYZoneA!$L35</f>
        <v>-66560.9140625</v>
      </c>
      <c r="DN44" s="167">
        <v>1</v>
      </c>
      <c r="DR44" s="192">
        <f>+'NYISO G'!DR44</f>
        <v>21</v>
      </c>
      <c r="DS44" s="172"/>
      <c r="DT44" s="172"/>
    </row>
    <row r="45" spans="1:124" ht="18.75" x14ac:dyDescent="0.3">
      <c r="A45" s="145">
        <f>[3]NYZoneA!$D36</f>
        <v>37226</v>
      </c>
      <c r="B45" s="118">
        <f>+[4]NYZoneA!$L36/16/DR45</f>
        <v>-197.52004394531249</v>
      </c>
      <c r="C45" s="85">
        <f t="shared" si="0"/>
        <v>-200</v>
      </c>
      <c r="D45" s="106">
        <f t="shared" si="8"/>
        <v>0</v>
      </c>
      <c r="E45" s="122">
        <f t="shared" ref="E45:E56" si="25">B45+C45+D45</f>
        <v>-397.52004394531252</v>
      </c>
      <c r="F45" s="139">
        <f>+[4]NYZoneA!$C36</f>
        <v>34.25</v>
      </c>
      <c r="G45" s="142">
        <f t="shared" si="10"/>
        <v>0.75</v>
      </c>
      <c r="H45" s="136">
        <f t="shared" si="11"/>
        <v>35</v>
      </c>
      <c r="I45" s="270">
        <f t="shared" si="24"/>
        <v>-47404.810546875</v>
      </c>
      <c r="J45" s="276">
        <f t="shared" si="21"/>
        <v>8799.9999999999545</v>
      </c>
      <c r="K45" s="273">
        <f t="shared" si="12"/>
        <v>-38604.810546875044</v>
      </c>
      <c r="L45" s="172"/>
      <c r="M45" s="132">
        <f t="shared" ref="M45:M55" si="26">A45</f>
        <v>37226</v>
      </c>
      <c r="N45" s="210">
        <v>35</v>
      </c>
      <c r="O45" s="210">
        <v>35</v>
      </c>
      <c r="P45" s="29">
        <f t="shared" si="13"/>
        <v>0.75</v>
      </c>
      <c r="Q45" s="213"/>
      <c r="R45" s="215">
        <f t="shared" ref="R45:R55" si="27">H45</f>
        <v>35</v>
      </c>
      <c r="S45" s="172"/>
      <c r="T45" s="172"/>
      <c r="U45" s="176"/>
      <c r="V45" s="237">
        <f t="shared" si="15"/>
        <v>37226</v>
      </c>
      <c r="W45" s="245">
        <v>-150</v>
      </c>
      <c r="X45" s="246">
        <v>35.25</v>
      </c>
      <c r="Y45" s="245">
        <v>-50</v>
      </c>
      <c r="Z45" s="246">
        <v>34.799999999999997</v>
      </c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2"/>
        <v>-200</v>
      </c>
      <c r="CZ45" s="34">
        <f t="shared" si="23"/>
        <v>35.137500000000003</v>
      </c>
      <c r="DB45" s="189">
        <f t="shared" ref="DB45:DB56" si="28">V45</f>
        <v>37226</v>
      </c>
      <c r="DC45" s="188">
        <f t="shared" si="17"/>
        <v>200</v>
      </c>
      <c r="DD45" s="190">
        <v>16</v>
      </c>
      <c r="DE45" s="188">
        <v>1</v>
      </c>
      <c r="DF45" s="170">
        <f t="shared" si="18"/>
        <v>7027.5</v>
      </c>
      <c r="DG45" s="170">
        <f t="shared" ref="DG45:DG56" si="29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0">(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45)*$DR45</f>
        <v>8799.9999999999545</v>
      </c>
      <c r="DI45" s="170">
        <f t="shared" si="6"/>
        <v>0</v>
      </c>
      <c r="DJ45" s="167">
        <v>0</v>
      </c>
      <c r="DK45" s="189">
        <v>36861</v>
      </c>
      <c r="DL45" s="167">
        <v>492.38436889648437</v>
      </c>
      <c r="DM45" s="167">
        <f>[4]NYZoneA!$L36</f>
        <v>-63206.4140625</v>
      </c>
      <c r="DN45" s="167">
        <v>1</v>
      </c>
      <c r="DR45" s="192">
        <f>+'NYISO G'!DR45</f>
        <v>20</v>
      </c>
      <c r="DS45" s="172"/>
      <c r="DT45" s="172"/>
    </row>
    <row r="46" spans="1:124" ht="18.75" x14ac:dyDescent="0.3">
      <c r="A46" s="145">
        <f>[3]NYZoneA!$D37</f>
        <v>37257</v>
      </c>
      <c r="B46" s="118">
        <f>+[4]NYZoneA!$L37/16/DR46</f>
        <v>147.72219016335228</v>
      </c>
      <c r="C46" s="85">
        <f t="shared" si="0"/>
        <v>-50</v>
      </c>
      <c r="D46" s="106">
        <f t="shared" si="8"/>
        <v>0</v>
      </c>
      <c r="E46" s="122">
        <f t="shared" si="25"/>
        <v>97.72219016335228</v>
      </c>
      <c r="F46" s="139">
        <f>+[4]NYZoneA!$C37</f>
        <v>38.5</v>
      </c>
      <c r="G46" s="142">
        <f t="shared" si="10"/>
        <v>0</v>
      </c>
      <c r="H46" s="136">
        <f t="shared" si="11"/>
        <v>38.5</v>
      </c>
      <c r="I46" s="270">
        <f t="shared" si="24"/>
        <v>0</v>
      </c>
      <c r="J46" s="276">
        <f t="shared" si="21"/>
        <v>-7039.9999999999745</v>
      </c>
      <c r="K46" s="273">
        <f t="shared" si="12"/>
        <v>-7039.9999999999745</v>
      </c>
      <c r="L46" s="172"/>
      <c r="M46" s="132">
        <f t="shared" si="26"/>
        <v>37257</v>
      </c>
      <c r="N46" s="210">
        <v>38.5</v>
      </c>
      <c r="O46" s="210">
        <v>38.5</v>
      </c>
      <c r="P46" s="29">
        <f t="shared" si="13"/>
        <v>0</v>
      </c>
      <c r="Q46" s="213"/>
      <c r="R46" s="215">
        <f t="shared" si="27"/>
        <v>38.5</v>
      </c>
      <c r="S46" s="172"/>
      <c r="T46" s="172"/>
      <c r="U46" s="176"/>
      <c r="V46" s="237">
        <f t="shared" si="15"/>
        <v>37257</v>
      </c>
      <c r="W46" s="245">
        <v>-50</v>
      </c>
      <c r="X46" s="246">
        <v>38.1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2"/>
        <v>-50</v>
      </c>
      <c r="CZ46" s="34">
        <f t="shared" si="23"/>
        <v>38.1</v>
      </c>
      <c r="DB46" s="189">
        <f t="shared" si="28"/>
        <v>37257</v>
      </c>
      <c r="DC46" s="188">
        <f t="shared" ref="DC46:DC56" si="31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50</v>
      </c>
      <c r="DD46" s="190">
        <v>16</v>
      </c>
      <c r="DE46" s="188">
        <v>1</v>
      </c>
      <c r="DF46" s="170">
        <f t="shared" ref="DF46:DF56" si="32">(ABS(W46)*X46+ABS(Y46)*Z46+ABS(AA46)*AB46+ABS(AC46)*AD46+ABS(AE46)*AF46+ABS(AG46)*AH46+ABS(AI46)*AJ46+ABS(AK46)*AL46+ABS(AM46)*AN46+ABS(AO46)*AP46+ABS(AQ46)*AR46+ABS(AS46)*AT46+ABS(AU46)*AV46+ABS(AW46)*AX46+ABS(AY46)*AZ46+ABS(BA46)*BB46+ABS(BC46)*BD46+ABS(BE46)*BF46+ABS(BG46)*BH46+ABS(BI46)*BJ46)</f>
        <v>1905</v>
      </c>
      <c r="DG46" s="170">
        <f t="shared" si="29"/>
        <v>0</v>
      </c>
      <c r="DH46" s="170">
        <f t="shared" si="30"/>
        <v>-7039.9999999999745</v>
      </c>
      <c r="DI46" s="170">
        <f t="shared" si="6"/>
        <v>0</v>
      </c>
      <c r="DJ46" s="167">
        <v>0</v>
      </c>
      <c r="DK46" s="189">
        <v>36861</v>
      </c>
      <c r="DL46" s="167">
        <v>492.38436889648437</v>
      </c>
      <c r="DM46" s="167">
        <f>[4]NYZoneA!$L37</f>
        <v>51998.2109375</v>
      </c>
      <c r="DN46" s="167">
        <v>1</v>
      </c>
      <c r="DR46" s="192">
        <f>+'NYISO G'!DR46</f>
        <v>22</v>
      </c>
    </row>
    <row r="47" spans="1:124" ht="18.75" x14ac:dyDescent="0.3">
      <c r="A47" s="145">
        <f>[3]NYZoneA!$D38</f>
        <v>37288</v>
      </c>
      <c r="B47" s="118">
        <f>+[4]NYZoneA!$L38/16/DR47</f>
        <v>147.33399658203126</v>
      </c>
      <c r="C47" s="85">
        <f t="shared" si="0"/>
        <v>-50</v>
      </c>
      <c r="D47" s="106">
        <f t="shared" si="8"/>
        <v>0</v>
      </c>
      <c r="E47" s="122">
        <f t="shared" si="25"/>
        <v>97.333996582031261</v>
      </c>
      <c r="F47" s="139">
        <f>+[4]NYZoneA!$C38</f>
        <v>38.5</v>
      </c>
      <c r="G47" s="142">
        <f t="shared" si="10"/>
        <v>0</v>
      </c>
      <c r="H47" s="136">
        <f t="shared" si="11"/>
        <v>38.5</v>
      </c>
      <c r="I47" s="270">
        <f t="shared" si="24"/>
        <v>0</v>
      </c>
      <c r="J47" s="276">
        <f t="shared" si="21"/>
        <v>-6399.9999999999773</v>
      </c>
      <c r="K47" s="273">
        <f t="shared" si="12"/>
        <v>-6399.9999999999773</v>
      </c>
      <c r="L47" s="172"/>
      <c r="M47" s="132">
        <f t="shared" si="26"/>
        <v>37288</v>
      </c>
      <c r="N47" s="210">
        <v>38.5</v>
      </c>
      <c r="O47" s="210">
        <v>38.5</v>
      </c>
      <c r="P47" s="29">
        <f t="shared" si="13"/>
        <v>0</v>
      </c>
      <c r="Q47" s="213"/>
      <c r="R47" s="215">
        <f t="shared" si="27"/>
        <v>38.5</v>
      </c>
      <c r="S47" s="172"/>
      <c r="T47" s="172"/>
      <c r="U47" s="176"/>
      <c r="V47" s="237">
        <f t="shared" si="15"/>
        <v>37288</v>
      </c>
      <c r="W47" s="245">
        <v>-50</v>
      </c>
      <c r="X47" s="246">
        <v>38.1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2"/>
        <v>-50</v>
      </c>
      <c r="CZ47" s="34">
        <f t="shared" si="23"/>
        <v>38.1</v>
      </c>
      <c r="DB47" s="189">
        <f t="shared" si="28"/>
        <v>37288</v>
      </c>
      <c r="DC47" s="188">
        <f t="shared" si="31"/>
        <v>50</v>
      </c>
      <c r="DD47" s="190">
        <v>16</v>
      </c>
      <c r="DE47" s="188">
        <v>1</v>
      </c>
      <c r="DF47" s="170">
        <f t="shared" si="32"/>
        <v>1905</v>
      </c>
      <c r="DG47" s="170">
        <f t="shared" si="29"/>
        <v>0</v>
      </c>
      <c r="DH47" s="170">
        <f t="shared" si="30"/>
        <v>-6399.9999999999773</v>
      </c>
      <c r="DI47" s="170">
        <f t="shared" si="6"/>
        <v>0</v>
      </c>
      <c r="DJ47" s="167">
        <v>0</v>
      </c>
      <c r="DK47" s="189">
        <v>36861</v>
      </c>
      <c r="DL47" s="167">
        <v>492.38436889648437</v>
      </c>
      <c r="DM47" s="167">
        <f>[4]NYZoneA!$L38</f>
        <v>47146.87890625</v>
      </c>
      <c r="DN47" s="167">
        <v>1</v>
      </c>
      <c r="DR47" s="192">
        <f>+'NYISO G'!DR47</f>
        <v>20</v>
      </c>
    </row>
    <row r="48" spans="1:124" ht="18.75" x14ac:dyDescent="0.3">
      <c r="A48" s="145">
        <f>[3]NYZoneA!$D39</f>
        <v>37316</v>
      </c>
      <c r="B48" s="118">
        <f>+[4]NYZoneA!$L39/16/DR48</f>
        <v>48.976527622767854</v>
      </c>
      <c r="C48" s="85">
        <f t="shared" si="0"/>
        <v>50</v>
      </c>
      <c r="D48" s="106">
        <f t="shared" si="8"/>
        <v>0</v>
      </c>
      <c r="E48" s="122">
        <f t="shared" si="25"/>
        <v>98.976527622767861</v>
      </c>
      <c r="F48" s="139">
        <f>+[4]NYZoneA!$C39</f>
        <v>34.5</v>
      </c>
      <c r="G48" s="142">
        <f t="shared" si="10"/>
        <v>0.25</v>
      </c>
      <c r="H48" s="136">
        <f t="shared" si="11"/>
        <v>34.75</v>
      </c>
      <c r="I48" s="270">
        <f t="shared" si="24"/>
        <v>4114.0283203125</v>
      </c>
      <c r="J48" s="276">
        <f t="shared" si="21"/>
        <v>18480.000000000025</v>
      </c>
      <c r="K48" s="273">
        <f t="shared" si="12"/>
        <v>22594.028320312525</v>
      </c>
      <c r="L48" s="172"/>
      <c r="M48" s="132">
        <f t="shared" si="26"/>
        <v>37316</v>
      </c>
      <c r="N48" s="210">
        <v>34.75</v>
      </c>
      <c r="O48" s="210">
        <v>34.75</v>
      </c>
      <c r="P48" s="29">
        <f t="shared" si="13"/>
        <v>0.25</v>
      </c>
      <c r="Q48" s="213"/>
      <c r="R48" s="215">
        <f t="shared" si="27"/>
        <v>34.75</v>
      </c>
      <c r="S48" s="172"/>
      <c r="T48" s="172"/>
      <c r="U48" s="176"/>
      <c r="V48" s="237">
        <f t="shared" si="15"/>
        <v>37316</v>
      </c>
      <c r="W48" s="245">
        <v>50</v>
      </c>
      <c r="X48" s="246">
        <v>33.65</v>
      </c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2"/>
        <v>50</v>
      </c>
      <c r="CZ48" s="34">
        <f t="shared" si="23"/>
        <v>33.65</v>
      </c>
      <c r="DB48" s="189">
        <f t="shared" si="28"/>
        <v>37316</v>
      </c>
      <c r="DC48" s="188">
        <f t="shared" si="31"/>
        <v>50</v>
      </c>
      <c r="DD48" s="190">
        <v>16</v>
      </c>
      <c r="DE48" s="188">
        <v>1</v>
      </c>
      <c r="DF48" s="170">
        <f t="shared" si="32"/>
        <v>1682.5</v>
      </c>
      <c r="DG48" s="170">
        <f t="shared" si="29"/>
        <v>0</v>
      </c>
      <c r="DH48" s="170">
        <f t="shared" si="30"/>
        <v>18480.000000000025</v>
      </c>
      <c r="DI48" s="170">
        <f t="shared" si="6"/>
        <v>0</v>
      </c>
      <c r="DJ48" s="167">
        <v>0</v>
      </c>
      <c r="DK48" s="189">
        <v>36861</v>
      </c>
      <c r="DL48" s="167">
        <v>492.38436889648437</v>
      </c>
      <c r="DM48" s="167">
        <f>[4]NYZoneA!$L39</f>
        <v>16456.11328125</v>
      </c>
      <c r="DN48" s="167">
        <v>1</v>
      </c>
      <c r="DR48" s="192">
        <f>+'NYISO G'!DR48</f>
        <v>21</v>
      </c>
    </row>
    <row r="49" spans="1:122" ht="18.75" x14ac:dyDescent="0.3">
      <c r="A49" s="145">
        <f>[3]NYZoneA!$D40</f>
        <v>37347</v>
      </c>
      <c r="B49" s="118">
        <f>+[4]NYZoneA!$L40/16/DR49</f>
        <v>48.825883345170453</v>
      </c>
      <c r="C49" s="85">
        <f t="shared" si="0"/>
        <v>50</v>
      </c>
      <c r="D49" s="106">
        <f t="shared" si="8"/>
        <v>0</v>
      </c>
      <c r="E49" s="122">
        <f t="shared" si="25"/>
        <v>98.825883345170453</v>
      </c>
      <c r="F49" s="139">
        <f>+[4]NYZoneA!$C40</f>
        <v>34.5</v>
      </c>
      <c r="G49" s="142">
        <f t="shared" si="10"/>
        <v>0.25</v>
      </c>
      <c r="H49" s="136">
        <f t="shared" si="11"/>
        <v>34.75</v>
      </c>
      <c r="I49" s="270">
        <f t="shared" si="24"/>
        <v>4296.677734375</v>
      </c>
      <c r="J49" s="276">
        <f t="shared" si="21"/>
        <v>19360.000000000025</v>
      </c>
      <c r="K49" s="273">
        <f t="shared" si="12"/>
        <v>23656.677734375025</v>
      </c>
      <c r="L49" s="172"/>
      <c r="M49" s="132">
        <f t="shared" si="26"/>
        <v>37347</v>
      </c>
      <c r="N49" s="210">
        <v>34.75</v>
      </c>
      <c r="O49" s="210">
        <v>34.75</v>
      </c>
      <c r="P49" s="29">
        <f t="shared" si="13"/>
        <v>0.25</v>
      </c>
      <c r="Q49" s="213"/>
      <c r="R49" s="215">
        <f t="shared" si="27"/>
        <v>34.75</v>
      </c>
      <c r="S49" s="172"/>
      <c r="T49" s="172"/>
      <c r="U49" s="176"/>
      <c r="V49" s="237">
        <f t="shared" si="15"/>
        <v>37347</v>
      </c>
      <c r="W49" s="245">
        <v>50</v>
      </c>
      <c r="X49" s="246">
        <v>33.65</v>
      </c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2"/>
        <v>50</v>
      </c>
      <c r="CZ49" s="34">
        <f t="shared" si="23"/>
        <v>33.65</v>
      </c>
      <c r="DB49" s="189">
        <f t="shared" si="28"/>
        <v>37347</v>
      </c>
      <c r="DC49" s="188">
        <f t="shared" si="31"/>
        <v>50</v>
      </c>
      <c r="DD49" s="190">
        <v>16</v>
      </c>
      <c r="DE49" s="188">
        <v>1</v>
      </c>
      <c r="DF49" s="170">
        <f t="shared" si="32"/>
        <v>1682.5</v>
      </c>
      <c r="DG49" s="170">
        <f t="shared" si="29"/>
        <v>0</v>
      </c>
      <c r="DH49" s="170">
        <f t="shared" si="30"/>
        <v>19360.000000000025</v>
      </c>
      <c r="DI49" s="170">
        <f t="shared" si="6"/>
        <v>0</v>
      </c>
      <c r="DJ49" s="167">
        <v>0</v>
      </c>
      <c r="DK49" s="189">
        <v>36861</v>
      </c>
      <c r="DL49" s="167">
        <v>492.38436889648437</v>
      </c>
      <c r="DM49" s="167">
        <f>[4]NYZoneA!$L40</f>
        <v>17186.7109375</v>
      </c>
      <c r="DN49" s="167">
        <v>1</v>
      </c>
      <c r="DR49" s="192">
        <f>+'NYISO G'!DR49</f>
        <v>22</v>
      </c>
    </row>
    <row r="50" spans="1:122" ht="18.75" x14ac:dyDescent="0.3">
      <c r="A50" s="145">
        <f>[3]NYZoneA!$D41</f>
        <v>37377</v>
      </c>
      <c r="B50" s="118">
        <f>+[4]NYZoneA!$L41/16/DR50</f>
        <v>-5.6818182576785903E-13</v>
      </c>
      <c r="C50" s="85">
        <f t="shared" si="0"/>
        <v>0</v>
      </c>
      <c r="D50" s="106">
        <f t="shared" si="8"/>
        <v>0</v>
      </c>
      <c r="E50" s="122">
        <f t="shared" si="25"/>
        <v>-5.6818182576785903E-13</v>
      </c>
      <c r="F50" s="139">
        <f>+[4]NYZoneA!$C41</f>
        <v>35.25</v>
      </c>
      <c r="G50" s="142">
        <f t="shared" si="10"/>
        <v>0.75</v>
      </c>
      <c r="H50" s="136">
        <f t="shared" si="11"/>
        <v>36</v>
      </c>
      <c r="I50" s="270">
        <f t="shared" si="24"/>
        <v>-1.5000000200271479E-10</v>
      </c>
      <c r="J50" s="276">
        <f t="shared" si="21"/>
        <v>0</v>
      </c>
      <c r="K50" s="273">
        <f t="shared" si="12"/>
        <v>-1.5000000200271479E-10</v>
      </c>
      <c r="L50" s="172"/>
      <c r="M50" s="132">
        <f t="shared" si="26"/>
        <v>37377</v>
      </c>
      <c r="N50" s="210">
        <v>36</v>
      </c>
      <c r="O50" s="210">
        <v>36</v>
      </c>
      <c r="P50" s="29">
        <f t="shared" si="13"/>
        <v>0.75</v>
      </c>
      <c r="Q50" s="213"/>
      <c r="R50" s="215">
        <f t="shared" si="27"/>
        <v>36</v>
      </c>
      <c r="S50" s="172"/>
      <c r="T50" s="172"/>
      <c r="U50" s="176"/>
      <c r="V50" s="237">
        <f t="shared" si="15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2"/>
        <v>0</v>
      </c>
      <c r="CZ50" s="34">
        <f t="shared" si="23"/>
        <v>0</v>
      </c>
      <c r="DB50" s="189">
        <f t="shared" si="28"/>
        <v>37377</v>
      </c>
      <c r="DC50" s="188">
        <f t="shared" si="31"/>
        <v>0</v>
      </c>
      <c r="DD50" s="190">
        <v>16</v>
      </c>
      <c r="DE50" s="188">
        <v>1</v>
      </c>
      <c r="DF50" s="170">
        <f t="shared" si="32"/>
        <v>0</v>
      </c>
      <c r="DG50" s="170">
        <f t="shared" si="29"/>
        <v>0</v>
      </c>
      <c r="DH50" s="170">
        <f t="shared" si="30"/>
        <v>0</v>
      </c>
      <c r="DI50" s="170">
        <f t="shared" si="6"/>
        <v>0</v>
      </c>
      <c r="DJ50" s="167">
        <v>0</v>
      </c>
      <c r="DK50" s="189">
        <v>36861</v>
      </c>
      <c r="DL50" s="167">
        <v>492.38436889648437</v>
      </c>
      <c r="DM50" s="167">
        <f>[4]NYZoneA!$L41</f>
        <v>-2.0000000267028639E-10</v>
      </c>
      <c r="DN50" s="167">
        <v>1</v>
      </c>
      <c r="DR50" s="192">
        <f>+'NYISO G'!DR50</f>
        <v>22</v>
      </c>
    </row>
    <row r="51" spans="1:122" ht="18.75" x14ac:dyDescent="0.3">
      <c r="A51" s="145">
        <f>[3]NYZoneA!$D42</f>
        <v>37408</v>
      </c>
      <c r="B51" s="118">
        <f>+[4]NYZoneA!$L42/16/DR51</f>
        <v>-145.58712158203124</v>
      </c>
      <c r="C51" s="85">
        <f t="shared" si="0"/>
        <v>0</v>
      </c>
      <c r="D51" s="106">
        <f t="shared" si="8"/>
        <v>0</v>
      </c>
      <c r="E51" s="122">
        <f t="shared" si="25"/>
        <v>-145.58712158203124</v>
      </c>
      <c r="F51" s="139">
        <f>+[4]NYZoneA!$C42</f>
        <v>42.75</v>
      </c>
      <c r="G51" s="142">
        <f t="shared" si="10"/>
        <v>0.75</v>
      </c>
      <c r="H51" s="136">
        <f t="shared" si="11"/>
        <v>43.5</v>
      </c>
      <c r="I51" s="270">
        <f t="shared" si="24"/>
        <v>-34940.9091796875</v>
      </c>
      <c r="J51" s="276">
        <f t="shared" si="21"/>
        <v>0</v>
      </c>
      <c r="K51" s="273">
        <f t="shared" si="12"/>
        <v>-34940.9091796875</v>
      </c>
      <c r="L51" s="172"/>
      <c r="M51" s="132">
        <f t="shared" si="26"/>
        <v>37408</v>
      </c>
      <c r="N51" s="210">
        <v>43.5</v>
      </c>
      <c r="O51" s="210">
        <v>43.5</v>
      </c>
      <c r="P51" s="29">
        <f t="shared" si="13"/>
        <v>0.75</v>
      </c>
      <c r="Q51" s="213"/>
      <c r="R51" s="215">
        <f t="shared" si="27"/>
        <v>43.5</v>
      </c>
      <c r="S51" s="172"/>
      <c r="T51" s="172"/>
      <c r="U51" s="176"/>
      <c r="V51" s="237">
        <f t="shared" si="15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2"/>
        <v>0</v>
      </c>
      <c r="CZ51" s="34">
        <f t="shared" si="23"/>
        <v>0</v>
      </c>
      <c r="DB51" s="189">
        <f t="shared" si="28"/>
        <v>37408</v>
      </c>
      <c r="DC51" s="188">
        <f t="shared" si="31"/>
        <v>0</v>
      </c>
      <c r="DD51" s="190">
        <v>16</v>
      </c>
      <c r="DE51" s="188">
        <v>1</v>
      </c>
      <c r="DF51" s="170">
        <f t="shared" si="32"/>
        <v>0</v>
      </c>
      <c r="DG51" s="170">
        <f t="shared" si="29"/>
        <v>0</v>
      </c>
      <c r="DH51" s="170">
        <f t="shared" si="30"/>
        <v>0</v>
      </c>
      <c r="DI51" s="170">
        <f t="shared" si="6"/>
        <v>0</v>
      </c>
      <c r="DJ51" s="167">
        <v>0</v>
      </c>
      <c r="DK51" s="189">
        <v>36861</v>
      </c>
      <c r="DL51" s="167">
        <v>492.38436889648437</v>
      </c>
      <c r="DM51" s="167">
        <f>[4]NYZoneA!$L42</f>
        <v>-46587.87890625</v>
      </c>
      <c r="DN51" s="167">
        <v>1</v>
      </c>
      <c r="DR51" s="192">
        <f>+'NYISO G'!DR51</f>
        <v>20</v>
      </c>
    </row>
    <row r="52" spans="1:122" ht="18.75" x14ac:dyDescent="0.3">
      <c r="A52" s="145">
        <f>[3]NYZoneA!$D43</f>
        <v>37438</v>
      </c>
      <c r="B52" s="118">
        <v>250</v>
      </c>
      <c r="C52" s="85">
        <f t="shared" si="0"/>
        <v>0</v>
      </c>
      <c r="D52" s="106">
        <f t="shared" si="8"/>
        <v>0</v>
      </c>
      <c r="E52" s="122">
        <f t="shared" si="25"/>
        <v>250</v>
      </c>
      <c r="F52" s="139">
        <f>+[4]NYZoneA!$C43</f>
        <v>56.5</v>
      </c>
      <c r="G52" s="142">
        <f t="shared" si="10"/>
        <v>0.75</v>
      </c>
      <c r="H52" s="136">
        <f t="shared" si="11"/>
        <v>57.25</v>
      </c>
      <c r="I52" s="270">
        <f t="shared" si="24"/>
        <v>66000</v>
      </c>
      <c r="J52" s="276">
        <f t="shared" si="21"/>
        <v>0</v>
      </c>
      <c r="K52" s="273">
        <f t="shared" si="12"/>
        <v>66000</v>
      </c>
      <c r="L52" s="172"/>
      <c r="M52" s="132">
        <f t="shared" si="26"/>
        <v>37438</v>
      </c>
      <c r="N52" s="210">
        <v>57.25</v>
      </c>
      <c r="O52" s="210">
        <v>57.25</v>
      </c>
      <c r="P52" s="29">
        <f t="shared" si="13"/>
        <v>0.75</v>
      </c>
      <c r="Q52" s="213"/>
      <c r="R52" s="215">
        <f t="shared" si="27"/>
        <v>57.25</v>
      </c>
      <c r="S52" s="172"/>
      <c r="T52" s="172"/>
      <c r="U52" s="176"/>
      <c r="V52" s="237">
        <f t="shared" si="15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2"/>
        <v>0</v>
      </c>
      <c r="CZ52" s="34">
        <f t="shared" si="23"/>
        <v>0</v>
      </c>
      <c r="DB52" s="189">
        <f t="shared" si="28"/>
        <v>37438</v>
      </c>
      <c r="DC52" s="188">
        <f t="shared" si="31"/>
        <v>0</v>
      </c>
      <c r="DD52" s="190">
        <v>16</v>
      </c>
      <c r="DE52" s="188">
        <v>1</v>
      </c>
      <c r="DF52" s="170">
        <f t="shared" si="32"/>
        <v>0</v>
      </c>
      <c r="DG52" s="170">
        <f t="shared" si="29"/>
        <v>0</v>
      </c>
      <c r="DH52" s="170">
        <f t="shared" si="30"/>
        <v>0</v>
      </c>
      <c r="DI52" s="170">
        <f t="shared" si="6"/>
        <v>0</v>
      </c>
      <c r="DJ52" s="167">
        <v>0</v>
      </c>
      <c r="DK52" s="189">
        <v>36861</v>
      </c>
      <c r="DL52" s="167">
        <v>492.38436889648437</v>
      </c>
      <c r="DM52" s="167">
        <f>[4]NYZoneA!$L43</f>
        <v>17029.357421875</v>
      </c>
      <c r="DN52" s="167">
        <v>1</v>
      </c>
      <c r="DR52" s="192">
        <f>+'NYISO G'!DR52</f>
        <v>22</v>
      </c>
    </row>
    <row r="53" spans="1:122" ht="18.75" x14ac:dyDescent="0.3">
      <c r="A53" s="145">
        <f>[3]NYZoneA!$D44</f>
        <v>37469</v>
      </c>
      <c r="B53" s="118">
        <v>250</v>
      </c>
      <c r="C53" s="85">
        <f t="shared" si="0"/>
        <v>0</v>
      </c>
      <c r="D53" s="106">
        <f t="shared" si="8"/>
        <v>0</v>
      </c>
      <c r="E53" s="122">
        <f t="shared" si="25"/>
        <v>250</v>
      </c>
      <c r="F53" s="139">
        <f>+[4]NYZoneA!$C44</f>
        <v>56.5</v>
      </c>
      <c r="G53" s="142">
        <f t="shared" si="10"/>
        <v>0.75</v>
      </c>
      <c r="H53" s="136">
        <f t="shared" si="11"/>
        <v>57.25</v>
      </c>
      <c r="I53" s="270">
        <f t="shared" si="24"/>
        <v>66000</v>
      </c>
      <c r="J53" s="276">
        <f t="shared" si="21"/>
        <v>0</v>
      </c>
      <c r="K53" s="273">
        <f t="shared" si="12"/>
        <v>66000</v>
      </c>
      <c r="L53" s="172"/>
      <c r="M53" s="132">
        <f t="shared" si="26"/>
        <v>37469</v>
      </c>
      <c r="N53" s="210">
        <v>57.25</v>
      </c>
      <c r="O53" s="210">
        <v>57.25</v>
      </c>
      <c r="P53" s="29">
        <f t="shared" si="13"/>
        <v>0.75</v>
      </c>
      <c r="Q53" s="213"/>
      <c r="R53" s="215">
        <f t="shared" si="27"/>
        <v>57.25</v>
      </c>
      <c r="S53" s="172"/>
      <c r="T53" s="172"/>
      <c r="U53" s="176"/>
      <c r="V53" s="237">
        <f t="shared" si="15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2"/>
        <v>0</v>
      </c>
      <c r="CZ53" s="34">
        <f t="shared" si="23"/>
        <v>0</v>
      </c>
      <c r="DB53" s="189">
        <f t="shared" si="28"/>
        <v>37469</v>
      </c>
      <c r="DC53" s="188">
        <f t="shared" si="31"/>
        <v>0</v>
      </c>
      <c r="DD53" s="190">
        <v>16</v>
      </c>
      <c r="DE53" s="188">
        <v>1</v>
      </c>
      <c r="DF53" s="170">
        <f t="shared" si="32"/>
        <v>0</v>
      </c>
      <c r="DG53" s="170">
        <f t="shared" si="29"/>
        <v>0</v>
      </c>
      <c r="DH53" s="170">
        <f t="shared" si="30"/>
        <v>0</v>
      </c>
      <c r="DI53" s="170">
        <f t="shared" si="6"/>
        <v>0</v>
      </c>
      <c r="DJ53" s="167">
        <v>0</v>
      </c>
      <c r="DK53" s="189">
        <v>36861</v>
      </c>
      <c r="DL53" s="167">
        <v>492.38436889648437</v>
      </c>
      <c r="DM53" s="167">
        <f>[4]NYZoneA!$L44</f>
        <v>16970.353515625</v>
      </c>
      <c r="DN53" s="167">
        <v>1</v>
      </c>
      <c r="DR53" s="192">
        <f>+'NYISO G'!DR53</f>
        <v>22</v>
      </c>
    </row>
    <row r="54" spans="1:122" ht="18.75" x14ac:dyDescent="0.3">
      <c r="A54" s="145">
        <f>[3]NYZoneA!$D45</f>
        <v>37500</v>
      </c>
      <c r="B54" s="118">
        <f>+[4]NYZoneA!$L45/16/DR54</f>
        <v>48.064633178710935</v>
      </c>
      <c r="C54" s="85">
        <f t="shared" si="0"/>
        <v>0</v>
      </c>
      <c r="D54" s="106">
        <f t="shared" si="8"/>
        <v>0</v>
      </c>
      <c r="E54" s="122">
        <f t="shared" si="25"/>
        <v>48.064633178710935</v>
      </c>
      <c r="F54" s="139">
        <f>+[4]NYZoneA!$C45</f>
        <v>34.25</v>
      </c>
      <c r="G54" s="142">
        <f t="shared" si="10"/>
        <v>0.75</v>
      </c>
      <c r="H54" s="136">
        <f t="shared" si="11"/>
        <v>35</v>
      </c>
      <c r="I54" s="270">
        <f t="shared" si="24"/>
        <v>11535.511962890623</v>
      </c>
      <c r="J54" s="276">
        <f t="shared" si="21"/>
        <v>0</v>
      </c>
      <c r="K54" s="273">
        <f t="shared" si="12"/>
        <v>11535.511962890623</v>
      </c>
      <c r="L54" s="172"/>
      <c r="M54" s="132">
        <f t="shared" si="26"/>
        <v>37500</v>
      </c>
      <c r="N54" s="210">
        <v>35</v>
      </c>
      <c r="O54" s="210">
        <v>35</v>
      </c>
      <c r="P54" s="29">
        <f t="shared" si="13"/>
        <v>0.75</v>
      </c>
      <c r="Q54" s="213"/>
      <c r="R54" s="215">
        <f t="shared" si="27"/>
        <v>35</v>
      </c>
      <c r="S54" s="172"/>
      <c r="T54" s="172"/>
      <c r="U54" s="176"/>
      <c r="V54" s="237">
        <f t="shared" si="15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2"/>
        <v>0</v>
      </c>
      <c r="CZ54" s="34">
        <f t="shared" si="23"/>
        <v>0</v>
      </c>
      <c r="DB54" s="189">
        <f t="shared" si="28"/>
        <v>37500</v>
      </c>
      <c r="DC54" s="188">
        <f t="shared" si="31"/>
        <v>0</v>
      </c>
      <c r="DD54" s="190">
        <v>16</v>
      </c>
      <c r="DE54" s="188">
        <v>1</v>
      </c>
      <c r="DF54" s="170">
        <f t="shared" si="32"/>
        <v>0</v>
      </c>
      <c r="DG54" s="170">
        <f t="shared" si="29"/>
        <v>0</v>
      </c>
      <c r="DH54" s="170">
        <f t="shared" si="30"/>
        <v>0</v>
      </c>
      <c r="DI54" s="170">
        <f t="shared" si="6"/>
        <v>0</v>
      </c>
      <c r="DJ54" s="167">
        <v>0</v>
      </c>
      <c r="DK54" s="189">
        <v>36861</v>
      </c>
      <c r="DL54" s="167">
        <v>492.38436889648437</v>
      </c>
      <c r="DM54" s="167">
        <f>[4]NYZoneA!$L45</f>
        <v>15380.6826171875</v>
      </c>
      <c r="DN54" s="167">
        <v>1</v>
      </c>
      <c r="DR54" s="192">
        <f>+'NYISO G'!DR54</f>
        <v>20</v>
      </c>
    </row>
    <row r="55" spans="1:122" ht="18.75" x14ac:dyDescent="0.3">
      <c r="A55" s="145">
        <f>[3]NYZoneA!$D46</f>
        <v>37530</v>
      </c>
      <c r="B55" s="118">
        <f>+[4]NYZoneA!$L46/16/DR55</f>
        <v>143.69036599864131</v>
      </c>
      <c r="C55" s="85">
        <f t="shared" si="0"/>
        <v>-200</v>
      </c>
      <c r="D55" s="106">
        <f t="shared" si="8"/>
        <v>0</v>
      </c>
      <c r="E55" s="122">
        <f t="shared" si="25"/>
        <v>-56.309634001358688</v>
      </c>
      <c r="F55" s="139">
        <f>+[4]NYZoneA!$C46</f>
        <v>33.899997711181641</v>
      </c>
      <c r="G55" s="142">
        <f t="shared" si="10"/>
        <v>1.1000022888183594</v>
      </c>
      <c r="H55" s="136">
        <f t="shared" si="11"/>
        <v>35</v>
      </c>
      <c r="I55" s="270">
        <f t="shared" si="24"/>
        <v>58165.981184512384</v>
      </c>
      <c r="J55" s="276">
        <f t="shared" si="21"/>
        <v>-22080.000000000051</v>
      </c>
      <c r="K55" s="273">
        <f t="shared" si="12"/>
        <v>36085.981184512333</v>
      </c>
      <c r="L55" s="172"/>
      <c r="M55" s="348">
        <f t="shared" si="26"/>
        <v>37530</v>
      </c>
      <c r="N55" s="210">
        <v>35</v>
      </c>
      <c r="O55" s="210">
        <v>35</v>
      </c>
      <c r="P55" s="351">
        <f t="shared" si="13"/>
        <v>1.1000022888183594</v>
      </c>
      <c r="Q55" s="213"/>
      <c r="R55" s="215">
        <f t="shared" si="27"/>
        <v>35</v>
      </c>
      <c r="S55" s="172"/>
      <c r="T55" s="172"/>
      <c r="U55" s="176"/>
      <c r="V55" s="237">
        <f t="shared" si="15"/>
        <v>37530</v>
      </c>
      <c r="W55" s="245">
        <v>-100</v>
      </c>
      <c r="X55" s="246">
        <v>34</v>
      </c>
      <c r="Y55" s="245">
        <v>-50</v>
      </c>
      <c r="Z55" s="246">
        <v>35.15</v>
      </c>
      <c r="AA55" s="245">
        <v>-50</v>
      </c>
      <c r="AB55" s="246">
        <v>35.65</v>
      </c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2"/>
        <v>-200</v>
      </c>
      <c r="CZ55" s="34">
        <f t="shared" si="23"/>
        <v>34.700000000000003</v>
      </c>
      <c r="DB55" s="189">
        <f t="shared" si="28"/>
        <v>37530</v>
      </c>
      <c r="DC55" s="188">
        <f t="shared" si="31"/>
        <v>200</v>
      </c>
      <c r="DD55" s="190">
        <v>16</v>
      </c>
      <c r="DE55" s="188">
        <v>1</v>
      </c>
      <c r="DF55" s="170">
        <f t="shared" si="32"/>
        <v>6940</v>
      </c>
      <c r="DG55" s="170">
        <f t="shared" si="29"/>
        <v>0</v>
      </c>
      <c r="DH55" s="170">
        <f t="shared" si="30"/>
        <v>-22080.000000000051</v>
      </c>
      <c r="DI55" s="170">
        <f t="shared" si="6"/>
        <v>0</v>
      </c>
      <c r="DJ55" s="167">
        <v>0</v>
      </c>
      <c r="DK55" s="189">
        <v>36861</v>
      </c>
      <c r="DL55" s="167">
        <v>492.38436889648437</v>
      </c>
      <c r="DM55" s="167">
        <f>[4]NYZoneA!$L46</f>
        <v>52878.0546875</v>
      </c>
      <c r="DN55" s="167">
        <v>1</v>
      </c>
      <c r="DR55" s="192">
        <f>+'NYISO G'!DR55</f>
        <v>23</v>
      </c>
    </row>
    <row r="56" spans="1:122" ht="18.75" x14ac:dyDescent="0.3">
      <c r="A56" s="145">
        <f>[3]NYZoneA!$D47</f>
        <v>37561</v>
      </c>
      <c r="B56" s="118">
        <f>+[4]NYZoneA!$L47/16/DR56</f>
        <v>143.21109619140626</v>
      </c>
      <c r="C56" s="85">
        <f t="shared" si="0"/>
        <v>-200</v>
      </c>
      <c r="D56" s="106">
        <f t="shared" si="8"/>
        <v>0</v>
      </c>
      <c r="E56" s="122">
        <f t="shared" si="25"/>
        <v>-56.788903808593744</v>
      </c>
      <c r="F56" s="139">
        <f>+[4]NYZoneA!$C47</f>
        <v>33.899997711181641</v>
      </c>
      <c r="G56" s="142">
        <f t="shared" si="10"/>
        <v>1.1000022888183594</v>
      </c>
      <c r="H56" s="136">
        <f t="shared" si="11"/>
        <v>35</v>
      </c>
      <c r="I56" s="270">
        <f t="shared" si="24"/>
        <v>50410.410750314593</v>
      </c>
      <c r="J56" s="276">
        <f t="shared" si="21"/>
        <v>-19200.000000000044</v>
      </c>
      <c r="K56" s="273">
        <f t="shared" si="12"/>
        <v>31210.41075031455</v>
      </c>
      <c r="L56" s="172"/>
      <c r="M56" s="132">
        <f>A56</f>
        <v>37561</v>
      </c>
      <c r="N56" s="210">
        <v>35</v>
      </c>
      <c r="O56" s="210">
        <v>35</v>
      </c>
      <c r="P56" s="29">
        <f t="shared" si="13"/>
        <v>1.1000022888183594</v>
      </c>
      <c r="Q56" s="213"/>
      <c r="R56" s="215">
        <f>H56</f>
        <v>35</v>
      </c>
      <c r="S56" s="172"/>
      <c r="T56" s="172"/>
      <c r="V56" s="404">
        <f t="shared" si="15"/>
        <v>37561</v>
      </c>
      <c r="W56" s="405">
        <v>-100</v>
      </c>
      <c r="X56" s="406">
        <v>34</v>
      </c>
      <c r="Y56" s="405">
        <v>-50</v>
      </c>
      <c r="Z56" s="406">
        <v>35.15</v>
      </c>
      <c r="AA56" s="405">
        <v>-50</v>
      </c>
      <c r="AB56" s="406">
        <v>35.65</v>
      </c>
      <c r="AC56" s="407"/>
      <c r="AD56" s="408"/>
      <c r="AE56" s="407"/>
      <c r="AF56" s="408"/>
      <c r="AG56" s="407"/>
      <c r="AH56" s="408"/>
      <c r="AI56" s="407"/>
      <c r="AJ56" s="408"/>
      <c r="AK56" s="407"/>
      <c r="AL56" s="408"/>
      <c r="AM56" s="407"/>
      <c r="AN56" s="408"/>
      <c r="AO56" s="407"/>
      <c r="AP56" s="408"/>
      <c r="AQ56" s="407"/>
      <c r="AR56" s="408"/>
      <c r="AS56" s="407"/>
      <c r="AT56" s="409"/>
      <c r="AU56" s="230"/>
      <c r="AV56" s="231"/>
      <c r="AW56" s="410"/>
      <c r="AX56" s="411"/>
      <c r="AY56" s="412"/>
      <c r="AZ56" s="411"/>
      <c r="BA56" s="412"/>
      <c r="BB56" s="411"/>
      <c r="BC56" s="412"/>
      <c r="BD56" s="411"/>
      <c r="BE56" s="412"/>
      <c r="BF56" s="411"/>
      <c r="BG56" s="412"/>
      <c r="BH56" s="411"/>
      <c r="BI56" s="412"/>
      <c r="BJ56" s="411"/>
      <c r="BK56" s="412"/>
      <c r="BL56" s="411"/>
      <c r="BM56" s="412"/>
      <c r="BN56" s="411"/>
      <c r="BO56" s="412"/>
      <c r="BP56" s="411"/>
      <c r="BQ56" s="412"/>
      <c r="BR56" s="411"/>
      <c r="BS56" s="412"/>
      <c r="BT56" s="411"/>
      <c r="BU56" s="412"/>
      <c r="BV56" s="411"/>
      <c r="BW56" s="412"/>
      <c r="BX56" s="411"/>
      <c r="BY56" s="412"/>
      <c r="BZ56" s="411"/>
      <c r="CA56" s="412"/>
      <c r="CB56" s="411"/>
      <c r="CC56" s="412"/>
      <c r="CD56" s="411"/>
      <c r="CE56" s="412"/>
      <c r="CF56" s="411"/>
      <c r="CG56" s="412"/>
      <c r="CH56" s="411"/>
      <c r="CI56" s="412"/>
      <c r="CJ56" s="411"/>
      <c r="CK56" s="412"/>
      <c r="CL56" s="411"/>
      <c r="CM56" s="412"/>
      <c r="CN56" s="411"/>
      <c r="CO56" s="412"/>
      <c r="CP56" s="411"/>
      <c r="CQ56" s="412"/>
      <c r="CR56" s="411"/>
      <c r="CS56" s="412"/>
      <c r="CT56" s="411"/>
      <c r="CU56" s="412"/>
      <c r="CV56" s="411"/>
      <c r="CW56" s="412"/>
      <c r="CX56" s="411"/>
      <c r="CY56" s="413">
        <f t="shared" si="22"/>
        <v>-200</v>
      </c>
      <c r="CZ56" s="414">
        <f t="shared" si="23"/>
        <v>34.700000000000003</v>
      </c>
      <c r="DA56" s="179"/>
      <c r="DB56" s="415">
        <f t="shared" si="28"/>
        <v>37561</v>
      </c>
      <c r="DC56" s="416">
        <f t="shared" si="31"/>
        <v>200</v>
      </c>
      <c r="DD56" s="190">
        <v>16</v>
      </c>
      <c r="DE56" s="416">
        <v>1</v>
      </c>
      <c r="DF56" s="209">
        <f t="shared" si="32"/>
        <v>6940</v>
      </c>
      <c r="DG56" s="209">
        <f t="shared" si="29"/>
        <v>0</v>
      </c>
      <c r="DH56" s="209">
        <f t="shared" si="30"/>
        <v>-19200.000000000044</v>
      </c>
      <c r="DI56" s="209">
        <f t="shared" si="6"/>
        <v>0</v>
      </c>
      <c r="DJ56" s="179">
        <v>0</v>
      </c>
      <c r="DK56" s="415">
        <v>36861</v>
      </c>
      <c r="DL56" s="179">
        <v>492.38436889648437</v>
      </c>
      <c r="DM56" s="179">
        <f>[4]NYZoneA!$L47</f>
        <v>45827.55078125</v>
      </c>
      <c r="DN56" s="179">
        <v>1</v>
      </c>
      <c r="DO56" s="179"/>
      <c r="DP56" s="179"/>
      <c r="DQ56" s="179"/>
      <c r="DR56" s="192">
        <f>+'NYISO G'!DR56</f>
        <v>20</v>
      </c>
    </row>
    <row r="57" spans="1:122" ht="18.75" x14ac:dyDescent="0.3">
      <c r="A57" s="145">
        <f>[3]NYZoneA!$D48</f>
        <v>37591</v>
      </c>
      <c r="B57" s="118">
        <v>142</v>
      </c>
      <c r="C57" s="85">
        <f>CY57</f>
        <v>-200</v>
      </c>
      <c r="D57" s="106">
        <f t="shared" si="8"/>
        <v>0</v>
      </c>
      <c r="E57" s="122">
        <f>B57+C57+D57</f>
        <v>-58</v>
      </c>
      <c r="F57" s="139">
        <f>+[4]NYZoneA!$C48</f>
        <v>33.899997711181641</v>
      </c>
      <c r="G57" s="142">
        <f>IF($Q$9,Q57,P57)</f>
        <v>1.1000022888183594</v>
      </c>
      <c r="H57" s="136">
        <f>F57+G57</f>
        <v>35</v>
      </c>
      <c r="I57" s="270">
        <f>B57*G57*DD57*DR57</f>
        <v>52483.309204101563</v>
      </c>
      <c r="J57" s="276">
        <f>DH57+DI57</f>
        <v>-20160.000000000047</v>
      </c>
      <c r="K57" s="273">
        <f>I57+J57</f>
        <v>32323.309204101515</v>
      </c>
      <c r="L57" s="172"/>
      <c r="M57" s="132">
        <f>A57</f>
        <v>37591</v>
      </c>
      <c r="N57" s="210">
        <v>35</v>
      </c>
      <c r="O57" s="210">
        <v>35</v>
      </c>
      <c r="P57" s="29">
        <f>AVERAGE(N57:O57)-F57</f>
        <v>1.1000022888183594</v>
      </c>
      <c r="Q57" s="213"/>
      <c r="R57" s="215">
        <f>H57</f>
        <v>35</v>
      </c>
      <c r="S57" s="172"/>
      <c r="T57" s="172"/>
      <c r="V57" s="404">
        <f>A57</f>
        <v>37591</v>
      </c>
      <c r="W57" s="405">
        <v>-100</v>
      </c>
      <c r="X57" s="406">
        <v>34</v>
      </c>
      <c r="Y57" s="405">
        <v>-50</v>
      </c>
      <c r="Z57" s="406">
        <v>35.15</v>
      </c>
      <c r="AA57" s="405">
        <v>-50</v>
      </c>
      <c r="AB57" s="406">
        <v>35.65</v>
      </c>
      <c r="AC57" s="407"/>
      <c r="AD57" s="408"/>
      <c r="AE57" s="407"/>
      <c r="AF57" s="408"/>
      <c r="AG57" s="407"/>
      <c r="AH57" s="408"/>
      <c r="AI57" s="407"/>
      <c r="AJ57" s="408"/>
      <c r="AK57" s="407"/>
      <c r="AL57" s="408"/>
      <c r="AM57" s="407"/>
      <c r="AN57" s="408"/>
      <c r="AO57" s="407"/>
      <c r="AP57" s="408"/>
      <c r="AQ57" s="407"/>
      <c r="AR57" s="408"/>
      <c r="AS57" s="407"/>
      <c r="AT57" s="409"/>
      <c r="AU57" s="230"/>
      <c r="AV57" s="231"/>
      <c r="AW57" s="410"/>
      <c r="AX57" s="411"/>
      <c r="AY57" s="412"/>
      <c r="AZ57" s="411"/>
      <c r="BA57" s="412"/>
      <c r="BB57" s="411"/>
      <c r="BC57" s="412"/>
      <c r="BD57" s="411"/>
      <c r="BE57" s="412"/>
      <c r="BF57" s="411"/>
      <c r="BG57" s="412"/>
      <c r="BH57" s="411"/>
      <c r="BI57" s="412"/>
      <c r="BJ57" s="411"/>
      <c r="BK57" s="412"/>
      <c r="BL57" s="411"/>
      <c r="BM57" s="412"/>
      <c r="BN57" s="411"/>
      <c r="BO57" s="412"/>
      <c r="BP57" s="411"/>
      <c r="BQ57" s="412"/>
      <c r="BR57" s="411"/>
      <c r="BS57" s="412"/>
      <c r="BT57" s="411"/>
      <c r="BU57" s="412"/>
      <c r="BV57" s="411"/>
      <c r="BW57" s="412"/>
      <c r="BX57" s="411"/>
      <c r="BY57" s="412"/>
      <c r="BZ57" s="411"/>
      <c r="CA57" s="412"/>
      <c r="CB57" s="411"/>
      <c r="CC57" s="412"/>
      <c r="CD57" s="411"/>
      <c r="CE57" s="412"/>
      <c r="CF57" s="411"/>
      <c r="CG57" s="412"/>
      <c r="CH57" s="411"/>
      <c r="CI57" s="412"/>
      <c r="CJ57" s="411"/>
      <c r="CK57" s="412"/>
      <c r="CL57" s="411"/>
      <c r="CM57" s="412"/>
      <c r="CN57" s="411"/>
      <c r="CO57" s="412"/>
      <c r="CP57" s="411"/>
      <c r="CQ57" s="412"/>
      <c r="CR57" s="411"/>
      <c r="CS57" s="412"/>
      <c r="CT57" s="411"/>
      <c r="CU57" s="412"/>
      <c r="CV57" s="411"/>
      <c r="CW57" s="412"/>
      <c r="CX57" s="411"/>
      <c r="CY57" s="413">
        <f>W57+Y57+AA57+AC57+AE57+AG57+AI57+AK57+AM57+AO57+AQ57+AS57+AU57+AW57+AY57+BA57+BC57+BE57+BG57+BI57+BK57+BM57+BO57+BQ57+BS57+BU57+BW57+BY57+CA57+CC57+CE57+CG57+CI57+CK57+CM57+CO57+CQ57+CS57+CU57+CW57</f>
        <v>-200</v>
      </c>
      <c r="CZ57" s="414">
        <f>IF(AND(CY57=0,DC57=0),0,(DF57+DG57)/DC57)</f>
        <v>34.700000000000003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200</v>
      </c>
      <c r="DD57" s="190">
        <v>16</v>
      </c>
      <c r="DE57" s="416">
        <v>1</v>
      </c>
      <c r="DF57" s="209">
        <f>(ABS(W57)*X57+ABS(Y57)*Z57+ABS(AA57)*AB57+ABS(AC57)*AD57+ABS(AE57)*AF57+ABS(AG57)*AH57+ABS(AI57)*AJ57+ABS(AK57)*AL57+ABS(AM57)*AN57+ABS(AO57)*AP57+ABS(AQ57)*AR57+ABS(AS57)*AT57+ABS(AU57)*AV57+ABS(AW57)*AX57+ABS(AY57)*AZ57+ABS(BA57)*BB57+ABS(BC57)*BD57+ABS(BE57)*BF57+ABS(BG57)*BH57+ABS(BI57)*BJ57)</f>
        <v>6940</v>
      </c>
      <c r="DG57" s="209">
        <f>ABS(BK57)*BL57+ABS(BM57)*BN57+ABS(BO57)*BP57+ABS(BQ57)*BR57+ABS(BS57)*BT57+ABS(BU57)*BV57+ABS(BW57)*BX57+ABS(BY57)*BZ57+ABS(CA57)*CB57+ABS(CC57)*CD57+ABS(CE57)*CF57+ABS(CG57)*CH57+ABS(CI57)*CJ57+ABS(CK57)*CL57+ABS(CM57)*CN57+ABS(CO57)*CP57+ABS(CQ57)*CR57+ABS(CS57)*CT57+ABS(CU57)*CV57+ABS(CW57)*CX57</f>
        <v>0</v>
      </c>
      <c r="DH57" s="209">
        <f>(((H57-X57)*W57+(H57-Z57)*Y57+(H57-AB57)*AA57+(H57-AD57)*AC57+(H57-AF57)*AE57+(H57-AH57)*AG57+(H57-AJ57)*AI57+(H57-AL57)*AK57+(H57-AN57)*AM57+(H57-AP57)*AO57+(H57-AR57)*AQ57+(H57-AT57)*AS57+(H57-AV57)*AU57+(H57-AX57)*AW57+(H57-AZ57)*AY57+(H57-BB57)*BA57+(H57-BD57)*BC57+(H57-BF57)*BE57+(H57-BH57)*BG57+(H57-BJ57)*BI57)*DD57*DE57)*$DR57</f>
        <v>-20160.000000000047</v>
      </c>
      <c r="DI57" s="209">
        <f>(((H57-BL57)*BK57+(H57-BN57)*BM57+(H57-BP57)*BO57+(H57-BR57)*BQ57+(H57-BT57)*BS57+(H57-BV57)*BU57+(H57-BX57)*BW57+(H57-BZ57)*BY57+(H57-CB57)*CA57+(H57-CD57)*CC57+(H57-CF57)*CE57+(H57-CH57)*CG57+(H57-CJ57)*CH57+(H57-CL57)*CK57+(H57-CN57)*CM57+(H57-CP57)*CO57+(H57-CR57)*CQ57+(H57-CT57)*CS57+(H57-CV57)*CU57+(H57-CX57)*CW57)*DD57*DE57)</f>
        <v>0</v>
      </c>
      <c r="DJ57" s="179">
        <v>0</v>
      </c>
      <c r="DK57" s="415">
        <v>36861</v>
      </c>
      <c r="DL57" s="179">
        <v>492.38436889648437</v>
      </c>
      <c r="DM57" s="179">
        <f>[4]NYZoneA!$L48</f>
        <v>0</v>
      </c>
      <c r="DN57" s="179">
        <v>1</v>
      </c>
      <c r="DO57" s="179"/>
      <c r="DP57" s="179"/>
      <c r="DQ57" s="179"/>
      <c r="DR57" s="192">
        <f>+'NYISO G'!DR57</f>
        <v>21</v>
      </c>
    </row>
    <row r="58" spans="1:122" ht="18.75" x14ac:dyDescent="0.3">
      <c r="A58" s="145">
        <f>[3]NYZoneA!$D49</f>
        <v>37622</v>
      </c>
      <c r="B58" s="118">
        <v>142</v>
      </c>
      <c r="C58" s="85">
        <f>CY58</f>
        <v>0</v>
      </c>
      <c r="D58" s="106">
        <f t="shared" si="8"/>
        <v>0</v>
      </c>
      <c r="E58" s="122">
        <f>B58+C58+D58</f>
        <v>142</v>
      </c>
      <c r="F58" s="139">
        <f>+[4]NYZoneA!$C49</f>
        <v>40</v>
      </c>
      <c r="G58" s="142">
        <f>IF($Q$9,Q58,P58)</f>
        <v>-0.5</v>
      </c>
      <c r="H58" s="136">
        <f>F58+G58</f>
        <v>39.5</v>
      </c>
      <c r="I58" s="270">
        <f>B58*G58*DD58*DR58</f>
        <v>-23856</v>
      </c>
      <c r="J58" s="276">
        <f>DH58+DI58</f>
        <v>0</v>
      </c>
      <c r="K58" s="273">
        <f>I58+J58</f>
        <v>-23856</v>
      </c>
      <c r="L58" s="172"/>
      <c r="M58" s="132">
        <f>A58</f>
        <v>37622</v>
      </c>
      <c r="N58" s="210">
        <v>39.5</v>
      </c>
      <c r="O58" s="210">
        <v>39.5</v>
      </c>
      <c r="P58" s="29">
        <f>AVERAGE(N58:O58)-F58</f>
        <v>-0.5</v>
      </c>
      <c r="Q58" s="213"/>
      <c r="R58" s="215">
        <f>H58</f>
        <v>39.5</v>
      </c>
      <c r="S58" s="172"/>
      <c r="T58" s="172"/>
      <c r="V58" s="404">
        <f>A58</f>
        <v>37622</v>
      </c>
      <c r="W58" s="405"/>
      <c r="X58" s="406"/>
      <c r="Y58" s="405"/>
      <c r="Z58" s="406"/>
      <c r="AA58" s="405"/>
      <c r="AB58" s="406"/>
      <c r="AC58" s="407"/>
      <c r="AD58" s="408"/>
      <c r="AE58" s="407"/>
      <c r="AF58" s="408"/>
      <c r="AG58" s="407"/>
      <c r="AH58" s="408"/>
      <c r="AI58" s="407"/>
      <c r="AJ58" s="408"/>
      <c r="AK58" s="407"/>
      <c r="AL58" s="408"/>
      <c r="AM58" s="407"/>
      <c r="AN58" s="408"/>
      <c r="AO58" s="407"/>
      <c r="AP58" s="408"/>
      <c r="AQ58" s="407"/>
      <c r="AR58" s="408"/>
      <c r="AS58" s="407"/>
      <c r="AT58" s="409"/>
      <c r="AU58" s="230"/>
      <c r="AV58" s="231"/>
      <c r="AW58" s="410"/>
      <c r="AX58" s="411"/>
      <c r="AY58" s="412"/>
      <c r="AZ58" s="411"/>
      <c r="BA58" s="412"/>
      <c r="BB58" s="411"/>
      <c r="BC58" s="412"/>
      <c r="BD58" s="411"/>
      <c r="BE58" s="412"/>
      <c r="BF58" s="411"/>
      <c r="BG58" s="412"/>
      <c r="BH58" s="411"/>
      <c r="BI58" s="412"/>
      <c r="BJ58" s="411"/>
      <c r="BK58" s="412"/>
      <c r="BL58" s="411"/>
      <c r="BM58" s="412"/>
      <c r="BN58" s="411"/>
      <c r="BO58" s="412"/>
      <c r="BP58" s="411"/>
      <c r="BQ58" s="412"/>
      <c r="BR58" s="411"/>
      <c r="BS58" s="412"/>
      <c r="BT58" s="411"/>
      <c r="BU58" s="412"/>
      <c r="BV58" s="411"/>
      <c r="BW58" s="412"/>
      <c r="BX58" s="411"/>
      <c r="BY58" s="412"/>
      <c r="BZ58" s="411"/>
      <c r="CA58" s="412"/>
      <c r="CB58" s="411"/>
      <c r="CC58" s="412"/>
      <c r="CD58" s="411"/>
      <c r="CE58" s="412"/>
      <c r="CF58" s="411"/>
      <c r="CG58" s="412"/>
      <c r="CH58" s="411"/>
      <c r="CI58" s="412"/>
      <c r="CJ58" s="411"/>
      <c r="CK58" s="412"/>
      <c r="CL58" s="411"/>
      <c r="CM58" s="412"/>
      <c r="CN58" s="411"/>
      <c r="CO58" s="412"/>
      <c r="CP58" s="411"/>
      <c r="CQ58" s="412"/>
      <c r="CR58" s="411"/>
      <c r="CS58" s="412"/>
      <c r="CT58" s="411"/>
      <c r="CU58" s="412"/>
      <c r="CV58" s="411"/>
      <c r="CW58" s="412"/>
      <c r="CX58" s="411"/>
      <c r="CY58" s="413">
        <f>W58+Y58+AA58+AC58+AE58+AG58+AI58+AK58+AM58+AO58+AQ58+AS58+AU58+AW58+AY58+BA58+BC58+BE58+BG58+BI58+BK58+BM58+BO58+BQ58+BS58+BU58+BW58+BY58+CA58+CC58+CE58+CG58+CI58+CK58+CM58+CO58+CQ58+CS58+CU58+CW58</f>
        <v>0</v>
      </c>
      <c r="CZ58" s="414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v>16</v>
      </c>
      <c r="DE58" s="416">
        <v>1</v>
      </c>
      <c r="DF58" s="209">
        <f>(ABS(W58)*X58+ABS(Y58)*Z58+ABS(AA58)*AB58+ABS(AC58)*AD58+ABS(AE58)*AF58+ABS(AG58)*AH58+ABS(AI58)*AJ58+ABS(AK58)*AL58+ABS(AM58)*AN58+ABS(AO58)*AP58+ABS(AQ58)*AR58+ABS(AS58)*AT58+ABS(AU58)*AV58+ABS(AW58)*AX58+ABS(AY58)*AZ58+ABS(BA58)*BB58+ABS(BC58)*BD58+ABS(BE58)*BF58+ABS(BG58)*BH58+ABS(BI58)*BJ58)</f>
        <v>0</v>
      </c>
      <c r="DG58" s="209">
        <f>ABS(BK58)*BL58+ABS(BM58)*BN58+ABS(BO58)*BP58+ABS(BQ58)*BR58+ABS(BS58)*BT58+ABS(BU58)*BV58+ABS(BW58)*BX58+ABS(BY58)*BZ58+ABS(CA58)*CB58+ABS(CC58)*CD58+ABS(CE58)*CF58+ABS(CG58)*CH58+ABS(CI58)*CJ58+ABS(CK58)*CL58+ABS(CM58)*CN58+ABS(CO58)*CP58+ABS(CQ58)*CR58+ABS(CS58)*CT58+ABS(CU58)*CV58+ABS(CW58)*CX58</f>
        <v>0</v>
      </c>
      <c r="DH58" s="209">
        <f>(((H58-X58)*W58+(H58-Z58)*Y58+(H58-AB58)*AA58+(H58-AD58)*AC58+(H58-AF58)*AE58+(H58-AH58)*AG58+(H58-AJ58)*AI58+(H58-AL58)*AK58+(H58-AN58)*AM58+(H58-AP58)*AO58+(H58-AR58)*AQ58+(H58-AT58)*AS58+(H58-AV58)*AU58+(H58-AX58)*AW58+(H58-AZ58)*AY58+(H58-BB58)*BA58+(H58-BD58)*BC58+(H58-BF58)*BE58+(H58-BH58)*BG58+(H58-BJ58)*BI58)*DD58*DE58)*$DR58</f>
        <v>0</v>
      </c>
      <c r="DI58" s="209">
        <f>(((H58-BL58)*BK58+(H58-BN58)*BM58+(H58-BP58)*BO58+(H58-BR58)*BQ58+(H58-BT58)*BS58+(H58-BV58)*BU58+(H58-BX58)*BW58+(H58-BZ58)*BY58+(H58-CB58)*CA58+(H58-CD58)*CC58+(H58-CF58)*CE58+(H58-CH58)*CG58+(H58-CJ58)*CH58+(H58-CL58)*CK58+(H58-CN58)*CM58+(H58-CP58)*CO58+(H58-CR58)*CQ58+(H58-CT58)*CS58+(H58-CV58)*CU58+(H58-CX58)*CW58)*DD58*DE58)</f>
        <v>0</v>
      </c>
      <c r="DJ58" s="179">
        <v>0</v>
      </c>
      <c r="DK58" s="415">
        <v>36861</v>
      </c>
      <c r="DL58" s="179">
        <v>492.38436889648437</v>
      </c>
      <c r="DM58" s="179">
        <f>[4]NYZoneA!$L49</f>
        <v>0</v>
      </c>
      <c r="DN58" s="179">
        <v>1</v>
      </c>
      <c r="DO58" s="179"/>
      <c r="DP58" s="179"/>
      <c r="DQ58" s="179"/>
      <c r="DR58" s="192">
        <f>+'NYISO G'!DR58</f>
        <v>21</v>
      </c>
    </row>
    <row r="59" spans="1:122" ht="18.75" x14ac:dyDescent="0.3">
      <c r="A59" s="145">
        <f>[3]NYZoneA!$D50</f>
        <v>37653</v>
      </c>
      <c r="B59" s="118">
        <f>+[4]NYZoneA!$L50/16/DR59</f>
        <v>0</v>
      </c>
      <c r="C59" s="85">
        <f>CY59</f>
        <v>0</v>
      </c>
      <c r="D59" s="106">
        <f t="shared" si="8"/>
        <v>0</v>
      </c>
      <c r="E59" s="122">
        <f>B59+C59+D59</f>
        <v>0</v>
      </c>
      <c r="F59" s="139">
        <f>+[4]NYZoneA!$C50</f>
        <v>40</v>
      </c>
      <c r="G59" s="142">
        <f>IF($Q$9,Q59,P59)</f>
        <v>8.5</v>
      </c>
      <c r="H59" s="136">
        <f>F59+G59</f>
        <v>48.5</v>
      </c>
      <c r="I59" s="270">
        <f>B59*G59*DD59*DR59</f>
        <v>0</v>
      </c>
      <c r="J59" s="276">
        <f>DH59+DI59</f>
        <v>0</v>
      </c>
      <c r="K59" s="273">
        <f>I59+J59</f>
        <v>0</v>
      </c>
      <c r="L59" s="172"/>
      <c r="M59" s="132">
        <f>A59</f>
        <v>37653</v>
      </c>
      <c r="N59" s="210">
        <v>48.5</v>
      </c>
      <c r="O59" s="210">
        <v>48.5</v>
      </c>
      <c r="P59" s="29">
        <f>AVERAGE(N59:O59)-F59</f>
        <v>8.5</v>
      </c>
      <c r="Q59" s="213"/>
      <c r="R59" s="215">
        <f>H59</f>
        <v>48.5</v>
      </c>
      <c r="S59" s="172"/>
      <c r="T59" s="172"/>
      <c r="V59" s="404">
        <f>A59</f>
        <v>37653</v>
      </c>
      <c r="W59" s="405"/>
      <c r="X59" s="406"/>
      <c r="Y59" s="405"/>
      <c r="Z59" s="406"/>
      <c r="AA59" s="405"/>
      <c r="AB59" s="406"/>
      <c r="AC59" s="407"/>
      <c r="AD59" s="408"/>
      <c r="AE59" s="407"/>
      <c r="AF59" s="408"/>
      <c r="AG59" s="407"/>
      <c r="AH59" s="408"/>
      <c r="AI59" s="407"/>
      <c r="AJ59" s="408"/>
      <c r="AK59" s="407"/>
      <c r="AL59" s="408"/>
      <c r="AM59" s="407"/>
      <c r="AN59" s="408"/>
      <c r="AO59" s="407"/>
      <c r="AP59" s="408"/>
      <c r="AQ59" s="407"/>
      <c r="AR59" s="408"/>
      <c r="AS59" s="407"/>
      <c r="AT59" s="409"/>
      <c r="AU59" s="230"/>
      <c r="AV59" s="231"/>
      <c r="AW59" s="410"/>
      <c r="AX59" s="411"/>
      <c r="AY59" s="412"/>
      <c r="AZ59" s="411"/>
      <c r="BA59" s="412"/>
      <c r="BB59" s="411"/>
      <c r="BC59" s="412"/>
      <c r="BD59" s="411"/>
      <c r="BE59" s="412"/>
      <c r="BF59" s="411"/>
      <c r="BG59" s="412"/>
      <c r="BH59" s="411"/>
      <c r="BI59" s="412"/>
      <c r="BJ59" s="411"/>
      <c r="BK59" s="412"/>
      <c r="BL59" s="411"/>
      <c r="BM59" s="412"/>
      <c r="BN59" s="411"/>
      <c r="BO59" s="412"/>
      <c r="BP59" s="411"/>
      <c r="BQ59" s="412"/>
      <c r="BR59" s="411"/>
      <c r="BS59" s="412"/>
      <c r="BT59" s="411"/>
      <c r="BU59" s="412"/>
      <c r="BV59" s="411"/>
      <c r="BW59" s="412"/>
      <c r="BX59" s="411"/>
      <c r="BY59" s="412"/>
      <c r="BZ59" s="411"/>
      <c r="CA59" s="412"/>
      <c r="CB59" s="411"/>
      <c r="CC59" s="412"/>
      <c r="CD59" s="411"/>
      <c r="CE59" s="412"/>
      <c r="CF59" s="411"/>
      <c r="CG59" s="412"/>
      <c r="CH59" s="411"/>
      <c r="CI59" s="412"/>
      <c r="CJ59" s="411"/>
      <c r="CK59" s="412"/>
      <c r="CL59" s="411"/>
      <c r="CM59" s="412"/>
      <c r="CN59" s="411"/>
      <c r="CO59" s="412"/>
      <c r="CP59" s="411"/>
      <c r="CQ59" s="412"/>
      <c r="CR59" s="411"/>
      <c r="CS59" s="412"/>
      <c r="CT59" s="411"/>
      <c r="CU59" s="412"/>
      <c r="CV59" s="411"/>
      <c r="CW59" s="412"/>
      <c r="CX59" s="411"/>
      <c r="CY59" s="413">
        <f>W59+Y59+AA59+AC59+AE59+AG59+AI59+AK59+AM59+AO59+AQ59+AS59+AU59+AW59+AY59+BA59+BC59+BE59+BG59+BI59+BK59+BM59+BO59+BQ59+BS59+BU59+BW59+BY59+CA59+CC59+CE59+CG59+CI59+CK59+CM59+CO59+CQ59+CS59+CU59+CW59</f>
        <v>0</v>
      </c>
      <c r="CZ59" s="414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v>16</v>
      </c>
      <c r="DE59" s="416">
        <v>1</v>
      </c>
      <c r="DF59" s="209">
        <f>(ABS(W59)*X59+ABS(Y59)*Z59+ABS(AA59)*AB59+ABS(AC59)*AD59+ABS(AE59)*AF59+ABS(AG59)*AH59+ABS(AI59)*AJ59+ABS(AK59)*AL59+ABS(AM59)*AN59+ABS(AO59)*AP59+ABS(AQ59)*AR59+ABS(AS59)*AT59+ABS(AU59)*AV59+ABS(AW59)*AX59+ABS(AY59)*AZ59+ABS(BA59)*BB59+ABS(BC59)*BD59+ABS(BE59)*BF59+ABS(BG59)*BH59+ABS(BI59)*BJ59)</f>
        <v>0</v>
      </c>
      <c r="DG59" s="209">
        <f>ABS(BK59)*BL59+ABS(BM59)*BN59+ABS(BO59)*BP59+ABS(BQ59)*BR59+ABS(BS59)*BT59+ABS(BU59)*BV59+ABS(BW59)*BX59+ABS(BY59)*BZ59+ABS(CA59)*CB59+ABS(CC59)*CD59+ABS(CE59)*CF59+ABS(CG59)*CH59+ABS(CI59)*CJ59+ABS(CK59)*CL59+ABS(CM59)*CN59+ABS(CO59)*CP59+ABS(CQ59)*CR59+ABS(CS59)*CT59+ABS(CU59)*CV59+ABS(CW59)*CX59</f>
        <v>0</v>
      </c>
      <c r="DH59" s="209">
        <f>(((H59-X59)*W59+(H59-Z59)*Y59+(H59-AB59)*AA59+(H59-AD59)*AC59+(H59-AF59)*AE59+(H59-AH59)*AG59+(H59-AJ59)*AI59+(H59-AL59)*AK59+(H59-AN59)*AM59+(H59-AP59)*AO59+(H59-AR59)*AQ59+(H59-AT59)*AS59+(H59-AV59)*AU59+(H59-AX59)*AW59+(H59-AZ59)*AY59+(H59-BB59)*BA59+(H59-BD59)*BC59+(H59-BF59)*BE59+(H59-BH59)*BG59+(H59-BJ59)*BI59)*DD59*DE59)*$DR59</f>
        <v>0</v>
      </c>
      <c r="DI59" s="209">
        <f>(((H59-BL59)*BK59+(H59-BN59)*BM59+(H59-BP59)*BO59+(H59-BR59)*BQ59+(H59-BT59)*BS59+(H59-BV59)*BU59+(H59-BX59)*BW59+(H59-BZ59)*BY59+(H59-CB59)*CA59+(H59-CD59)*CC59+(H59-CF59)*CE59+(H59-CH59)*CG59+(H59-CJ59)*CH59+(H59-CL59)*CK59+(H59-CN59)*CM59+(H59-CP59)*CO59+(H59-CR59)*CQ59+(H59-CT59)*CS59+(H59-CV59)*CU59+(H59-CX59)*CW59)*DD59*DE59)</f>
        <v>0</v>
      </c>
      <c r="DJ59" s="179">
        <v>0</v>
      </c>
      <c r="DK59" s="415">
        <v>36861</v>
      </c>
      <c r="DL59" s="179">
        <v>492.38436889648437</v>
      </c>
      <c r="DM59" s="179">
        <f>[4]NYZoneA!$L50</f>
        <v>0</v>
      </c>
      <c r="DN59" s="179">
        <v>1</v>
      </c>
      <c r="DO59" s="179"/>
      <c r="DP59" s="179"/>
      <c r="DQ59" s="179"/>
      <c r="DR59" s="192">
        <f>+'NYISO G'!DR59</f>
        <v>22</v>
      </c>
    </row>
    <row r="60" spans="1:122" ht="19.5" thickBot="1" x14ac:dyDescent="0.35">
      <c r="A60" s="146">
        <f>[3]NYZoneA!$D51</f>
        <v>37681</v>
      </c>
      <c r="B60" s="119">
        <f>+[4]NYZoneA!$L51/16/DR60</f>
        <v>0</v>
      </c>
      <c r="C60" s="121">
        <f>CY60</f>
        <v>0</v>
      </c>
      <c r="D60" s="41">
        <f t="shared" si="8"/>
        <v>0</v>
      </c>
      <c r="E60" s="123">
        <f>B60+C60+D60</f>
        <v>0</v>
      </c>
      <c r="F60" s="140">
        <f>+[4]NYZoneA!$C51</f>
        <v>34.099998474121094</v>
      </c>
      <c r="G60" s="143">
        <f>IF($Q$9,Q60,P60)</f>
        <v>14.400001525878906</v>
      </c>
      <c r="H60" s="137">
        <f>F60+G60</f>
        <v>48.5</v>
      </c>
      <c r="I60" s="271">
        <f>B60*G60*DD60*DR60</f>
        <v>0</v>
      </c>
      <c r="J60" s="277">
        <f>DH60+DI60</f>
        <v>0</v>
      </c>
      <c r="K60" s="274">
        <f>I60+J60</f>
        <v>0</v>
      </c>
      <c r="L60" s="172"/>
      <c r="M60" s="133">
        <f>A60</f>
        <v>37681</v>
      </c>
      <c r="N60" s="212">
        <v>48.5</v>
      </c>
      <c r="O60" s="212">
        <v>48.5</v>
      </c>
      <c r="P60" s="134">
        <f>AVERAGE(N60:O60)-F60</f>
        <v>14.400001525878906</v>
      </c>
      <c r="Q60" s="402"/>
      <c r="R60" s="403"/>
      <c r="S60" s="172"/>
      <c r="T60" s="172"/>
      <c r="V60" s="417">
        <f>A60</f>
        <v>37681</v>
      </c>
      <c r="W60" s="418"/>
      <c r="X60" s="419"/>
      <c r="Y60" s="418"/>
      <c r="Z60" s="419"/>
      <c r="AA60" s="418"/>
      <c r="AB60" s="419"/>
      <c r="AC60" s="420"/>
      <c r="AD60" s="421"/>
      <c r="AE60" s="420"/>
      <c r="AF60" s="421"/>
      <c r="AG60" s="420"/>
      <c r="AH60" s="421"/>
      <c r="AI60" s="420"/>
      <c r="AJ60" s="421"/>
      <c r="AK60" s="420"/>
      <c r="AL60" s="421"/>
      <c r="AM60" s="420"/>
      <c r="AN60" s="421"/>
      <c r="AO60" s="420"/>
      <c r="AP60" s="421"/>
      <c r="AQ60" s="420"/>
      <c r="AR60" s="421"/>
      <c r="AS60" s="420"/>
      <c r="AT60" s="422"/>
      <c r="AU60" s="96"/>
      <c r="AV60" s="97"/>
      <c r="AW60" s="423"/>
      <c r="AX60" s="424"/>
      <c r="AY60" s="425"/>
      <c r="AZ60" s="424"/>
      <c r="BA60" s="425"/>
      <c r="BB60" s="424"/>
      <c r="BC60" s="425"/>
      <c r="BD60" s="424"/>
      <c r="BE60" s="425"/>
      <c r="BF60" s="424"/>
      <c r="BG60" s="425"/>
      <c r="BH60" s="424"/>
      <c r="BI60" s="425"/>
      <c r="BJ60" s="424"/>
      <c r="BK60" s="425"/>
      <c r="BL60" s="424"/>
      <c r="BM60" s="425"/>
      <c r="BN60" s="424"/>
      <c r="BO60" s="425"/>
      <c r="BP60" s="424"/>
      <c r="BQ60" s="425"/>
      <c r="BR60" s="424"/>
      <c r="BS60" s="425"/>
      <c r="BT60" s="424"/>
      <c r="BU60" s="425"/>
      <c r="BV60" s="424"/>
      <c r="BW60" s="425"/>
      <c r="BX60" s="424"/>
      <c r="BY60" s="425"/>
      <c r="BZ60" s="424"/>
      <c r="CA60" s="425"/>
      <c r="CB60" s="424"/>
      <c r="CC60" s="425"/>
      <c r="CD60" s="424"/>
      <c r="CE60" s="425"/>
      <c r="CF60" s="424"/>
      <c r="CG60" s="425"/>
      <c r="CH60" s="424"/>
      <c r="CI60" s="425"/>
      <c r="CJ60" s="424"/>
      <c r="CK60" s="425"/>
      <c r="CL60" s="424"/>
      <c r="CM60" s="425"/>
      <c r="CN60" s="424"/>
      <c r="CO60" s="425"/>
      <c r="CP60" s="424"/>
      <c r="CQ60" s="425"/>
      <c r="CR60" s="424"/>
      <c r="CS60" s="425"/>
      <c r="CT60" s="424"/>
      <c r="CU60" s="425"/>
      <c r="CV60" s="424"/>
      <c r="CW60" s="425"/>
      <c r="CX60" s="424"/>
      <c r="CY60" s="426">
        <f>W60+Y60+AA60+AC60+AE60+AG60+AI60+AK60+AM60+AO60+AQ60+AS60+AU60+AW60+AY60+BA60+BC60+BE60+BG60+BI60+BK60+BM60+BO60+BQ60+BS60+BU60+BW60+BY60+CA60+CC60+CE60+CG60+CI60+CK60+CM60+CO60+CQ60+CS60+CU60+CW60</f>
        <v>0</v>
      </c>
      <c r="CZ60" s="427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v>16</v>
      </c>
      <c r="DE60" s="416">
        <v>1</v>
      </c>
      <c r="DF60" s="209">
        <f>(ABS(W60)*X60+ABS(Y60)*Z60+ABS(AA60)*AB60+ABS(AC60)*AD60+ABS(AE60)*AF60+ABS(AG60)*AH60+ABS(AI60)*AJ60+ABS(AK60)*AL60+ABS(AM60)*AN60+ABS(AO60)*AP60+ABS(AQ60)*AR60+ABS(AS60)*AT60+ABS(AU60)*AV60+ABS(AW60)*AX60+ABS(AY60)*AZ60+ABS(BA60)*BB60+ABS(BC60)*BD60+ABS(BE60)*BF60+ABS(BG60)*BH60+ABS(BI60)*BJ60)</f>
        <v>0</v>
      </c>
      <c r="DG60" s="209">
        <f>ABS(BK60)*BL60+ABS(BM60)*BN60+ABS(BO60)*BP60+ABS(BQ60)*BR60+ABS(BS60)*BT60+ABS(BU60)*BV60+ABS(BW60)*BX60+ABS(BY60)*BZ60+ABS(CA60)*CB60+ABS(CC60)*CD60+ABS(CE60)*CF60+ABS(CG60)*CH60+ABS(CI60)*CJ60+ABS(CK60)*CL60+ABS(CM60)*CN60+ABS(CO60)*CP60+ABS(CQ60)*CR60+ABS(CS60)*CT60+ABS(CU60)*CV60+ABS(CW60)*CX60</f>
        <v>0</v>
      </c>
      <c r="DH60" s="209">
        <f>(((H60-X60)*W60+(H60-Z60)*Y60+(H60-AB60)*AA60+(H60-AD60)*AC60+(H60-AF60)*AE60+(H60-AH60)*AG60+(H60-AJ60)*AI60+(H60-AL60)*AK60+(H60-AN60)*AM60+(H60-AP60)*AO60+(H60-AR60)*AQ60+(H60-AT60)*AS60+(H60-AV60)*AU60+(H60-AX60)*AW60+(H60-AZ60)*AY60+(H60-BB60)*BA60+(H60-BD60)*BC60+(H60-BF60)*BE60+(H60-BH60)*BG60+(H60-BJ60)*BI60)*DD60*DE60)*$DR60</f>
        <v>0</v>
      </c>
      <c r="DI60" s="209">
        <f>(((H60-BL60)*BK60+(H60-BN60)*BM60+(H60-BP60)*BO60+(H60-BR60)*BQ60+(H60-BT60)*BS60+(H60-BV60)*BU60+(H60-BX60)*BW60+(H60-BZ60)*BY60+(H60-CB60)*CA60+(H60-CD60)*CC60+(H60-CF60)*CE60+(H60-CH60)*CG60+(H60-CJ60)*CH60+(H60-CL60)*CK60+(H60-CN60)*CM60+(H60-CP60)*CO60+(H60-CR60)*CQ60+(H60-CT60)*CS60+(H60-CV60)*CU60+(H60-CX60)*CW60)*DD60*DE60)</f>
        <v>0</v>
      </c>
      <c r="DJ60" s="179">
        <v>0</v>
      </c>
      <c r="DK60" s="415">
        <v>36861</v>
      </c>
      <c r="DL60" s="179">
        <v>492.38436889648437</v>
      </c>
      <c r="DM60" s="179">
        <f>[4]NYZoneA!$L51</f>
        <v>0</v>
      </c>
      <c r="DN60" s="179">
        <v>1</v>
      </c>
      <c r="DO60" s="179"/>
      <c r="DP60" s="179"/>
      <c r="DQ60" s="179"/>
      <c r="DR60" s="192">
        <f>+'NYISO G'!DR60</f>
        <v>20</v>
      </c>
    </row>
    <row r="61" spans="1:122" x14ac:dyDescent="0.25">
      <c r="A61" s="172"/>
      <c r="B61" s="172"/>
      <c r="E61" s="184"/>
      <c r="L61" s="172"/>
      <c r="N61" s="172"/>
      <c r="O61" s="172"/>
      <c r="DR61" s="179"/>
    </row>
    <row r="62" spans="1:122" ht="16.5" thickBot="1" x14ac:dyDescent="0.3">
      <c r="A62" s="172"/>
      <c r="B62" s="172"/>
      <c r="E62" s="184"/>
      <c r="L62" s="172"/>
      <c r="N62" s="172"/>
      <c r="O62" s="172"/>
      <c r="DR62" s="179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>
        <v>0</v>
      </c>
      <c r="O64" s="125">
        <v>0</v>
      </c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 t="s">
        <v>41</v>
      </c>
      <c r="AJ64" s="56"/>
      <c r="AK64" s="56"/>
      <c r="AL64" s="56"/>
      <c r="AM64" s="57"/>
    </row>
    <row r="65" spans="1:40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>
        <v>0</v>
      </c>
      <c r="AJ65" s="61">
        <v>0</v>
      </c>
      <c r="AK65" s="61">
        <v>0</v>
      </c>
      <c r="AL65" s="61">
        <v>0</v>
      </c>
      <c r="AM65" s="62">
        <v>0</v>
      </c>
    </row>
    <row r="66" spans="1:40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>
        <v>0</v>
      </c>
      <c r="AJ66" s="198">
        <v>0</v>
      </c>
      <c r="AK66" s="198">
        <v>0</v>
      </c>
      <c r="AL66" s="198">
        <v>0</v>
      </c>
      <c r="AM66" s="199">
        <v>0</v>
      </c>
    </row>
    <row r="67" spans="1:40" x14ac:dyDescent="0.25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198"/>
      <c r="O67" s="198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0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204"/>
      <c r="O68" s="204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0" ht="16.5" thickBot="1" x14ac:dyDescent="0.3">
      <c r="A69" s="64" t="s">
        <v>45</v>
      </c>
      <c r="B69" s="65">
        <f t="shared" ref="B69:K69" si="33">B66*B67</f>
        <v>0</v>
      </c>
      <c r="C69" s="66">
        <f t="shared" si="33"/>
        <v>0</v>
      </c>
      <c r="D69" s="66">
        <f t="shared" si="33"/>
        <v>0</v>
      </c>
      <c r="E69" s="66">
        <f t="shared" si="33"/>
        <v>0</v>
      </c>
      <c r="F69" s="67">
        <f t="shared" si="33"/>
        <v>0</v>
      </c>
      <c r="G69" s="65">
        <f t="shared" si="33"/>
        <v>0</v>
      </c>
      <c r="H69" s="66">
        <f t="shared" si="33"/>
        <v>0</v>
      </c>
      <c r="I69" s="66">
        <f t="shared" si="33"/>
        <v>0</v>
      </c>
      <c r="J69" s="66">
        <f t="shared" si="33"/>
        <v>0</v>
      </c>
      <c r="K69" s="67">
        <f t="shared" si="33"/>
        <v>0</v>
      </c>
      <c r="L69" s="68"/>
      <c r="M69" s="69"/>
      <c r="N69" s="69"/>
      <c r="O69" s="69"/>
      <c r="P69" s="70"/>
      <c r="Q69" s="68"/>
      <c r="R69" s="69"/>
      <c r="S69" s="69"/>
      <c r="T69" s="69"/>
      <c r="U69" s="70"/>
      <c r="V69" s="65">
        <f t="shared" ref="V69:AE69" si="34">-V66*V67</f>
        <v>0</v>
      </c>
      <c r="W69" s="66">
        <f t="shared" si="34"/>
        <v>0</v>
      </c>
      <c r="X69" s="66">
        <f t="shared" si="34"/>
        <v>0</v>
      </c>
      <c r="Y69" s="66">
        <f t="shared" si="34"/>
        <v>0</v>
      </c>
      <c r="Z69" s="67">
        <f t="shared" si="34"/>
        <v>0</v>
      </c>
      <c r="AA69" s="65">
        <f t="shared" si="34"/>
        <v>0</v>
      </c>
      <c r="AB69" s="66">
        <f t="shared" si="34"/>
        <v>0</v>
      </c>
      <c r="AC69" s="66">
        <f t="shared" si="34"/>
        <v>0</v>
      </c>
      <c r="AD69" s="66">
        <f t="shared" si="34"/>
        <v>0</v>
      </c>
      <c r="AE69" s="67">
        <f t="shared" si="34"/>
        <v>0</v>
      </c>
      <c r="AF69" s="68"/>
      <c r="AG69" s="69"/>
      <c r="AH69" s="69"/>
      <c r="AI69" s="69"/>
      <c r="AJ69" s="69"/>
      <c r="AK69" s="69"/>
      <c r="AL69" s="69"/>
      <c r="AM69" s="70"/>
      <c r="AN69" s="71">
        <f>SUM(B69:AM69)</f>
        <v>0</v>
      </c>
    </row>
    <row r="70" spans="1:40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77">
        <f>N65*N66</f>
        <v>0</v>
      </c>
      <c r="O70" s="77">
        <f>O65*O66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 t="shared" ref="AF70:AM70" si="35">-AF66*AF67</f>
        <v>0</v>
      </c>
      <c r="AG70" s="77">
        <f t="shared" si="35"/>
        <v>0</v>
      </c>
      <c r="AH70" s="77">
        <f t="shared" si="35"/>
        <v>0</v>
      </c>
      <c r="AI70" s="77">
        <f t="shared" si="35"/>
        <v>0</v>
      </c>
      <c r="AJ70" s="77">
        <f t="shared" si="35"/>
        <v>0</v>
      </c>
      <c r="AK70" s="77">
        <f t="shared" si="35"/>
        <v>0</v>
      </c>
      <c r="AL70" s="77">
        <f t="shared" si="35"/>
        <v>0</v>
      </c>
      <c r="AM70" s="78">
        <f t="shared" si="35"/>
        <v>0</v>
      </c>
      <c r="AN70" s="79">
        <f>SUM(B70:AM70)</f>
        <v>0</v>
      </c>
    </row>
    <row r="71" spans="1:40" ht="12.75" x14ac:dyDescent="0.2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H71" s="167"/>
      <c r="AI71" s="167"/>
      <c r="AJ71" s="167"/>
      <c r="AK71" s="167"/>
    </row>
    <row r="72" spans="1:40" x14ac:dyDescent="0.25">
      <c r="N72" s="172"/>
      <c r="O72" s="172"/>
    </row>
    <row r="74" spans="1:40" x14ac:dyDescent="0.25">
      <c r="B74" s="180"/>
      <c r="C74" s="181"/>
      <c r="D74" s="181"/>
      <c r="E74" s="181"/>
      <c r="F74" s="182"/>
    </row>
    <row r="75" spans="1:40" x14ac:dyDescent="0.25">
      <c r="B75" s="176"/>
      <c r="C75" s="176"/>
      <c r="D75" s="176"/>
      <c r="E75" s="176"/>
      <c r="F75" s="176"/>
    </row>
    <row r="76" spans="1:40" x14ac:dyDescent="0.25">
      <c r="B76" s="176"/>
      <c r="C76" s="176"/>
      <c r="D76" s="176"/>
      <c r="E76" s="176"/>
      <c r="F76" s="176"/>
    </row>
    <row r="77" spans="1:40" ht="12" customHeight="1" x14ac:dyDescent="0.25">
      <c r="B77" s="176"/>
      <c r="C77" s="176"/>
      <c r="D77" s="176"/>
      <c r="E77" s="176"/>
      <c r="F77" s="176"/>
    </row>
    <row r="79" spans="1:40" x14ac:dyDescent="0.25">
      <c r="B79" s="176"/>
      <c r="C79" s="176"/>
      <c r="D79" s="176"/>
      <c r="E79" s="176"/>
      <c r="F79" s="176"/>
    </row>
    <row r="80" spans="1:40" x14ac:dyDescent="0.25">
      <c r="B80" s="176"/>
      <c r="C80" s="176"/>
      <c r="D80" s="176"/>
      <c r="E80" s="176"/>
      <c r="F80" s="176"/>
    </row>
    <row r="81" spans="1:6" x14ac:dyDescent="0.25">
      <c r="B81" s="176"/>
      <c r="C81" s="176"/>
      <c r="D81" s="176"/>
      <c r="E81" s="176"/>
      <c r="F81" s="176"/>
    </row>
    <row r="82" spans="1:6" x14ac:dyDescent="0.25">
      <c r="B82" s="180"/>
      <c r="C82" s="181"/>
      <c r="D82" s="181"/>
      <c r="E82" s="181"/>
      <c r="F82" s="176"/>
    </row>
    <row r="83" spans="1:6" x14ac:dyDescent="0.25">
      <c r="B83" s="176"/>
      <c r="C83" s="176"/>
      <c r="D83" s="176"/>
      <c r="E83" s="176"/>
      <c r="F83" s="176"/>
    </row>
    <row r="84" spans="1:6" x14ac:dyDescent="0.25">
      <c r="B84" s="176"/>
      <c r="C84" s="176"/>
      <c r="D84" s="176"/>
      <c r="E84" s="176"/>
      <c r="F84" s="176"/>
    </row>
    <row r="85" spans="1:6" x14ac:dyDescent="0.25">
      <c r="B85" s="176"/>
      <c r="C85" s="176"/>
      <c r="D85" s="176"/>
      <c r="E85" s="176"/>
      <c r="F85" s="176"/>
    </row>
    <row r="86" spans="1:6" x14ac:dyDescent="0.25">
      <c r="B86" s="176"/>
      <c r="C86" s="176"/>
      <c r="D86" s="176"/>
      <c r="E86" s="176"/>
      <c r="F86" s="176"/>
    </row>
    <row r="87" spans="1:6" x14ac:dyDescent="0.25">
      <c r="B87" s="176"/>
      <c r="C87" s="176"/>
      <c r="D87" s="176"/>
      <c r="E87" s="176"/>
      <c r="F87" s="176"/>
    </row>
    <row r="88" spans="1:6" x14ac:dyDescent="0.25">
      <c r="A88" s="167" t="s">
        <v>50</v>
      </c>
      <c r="B88" s="183" t="str">
        <f>CONCATENATE("NYPos"&amp;IF(MONTH(TradeDate)&lt;10,"0"&amp;MONTH(TradeDate),MONTH(TradeDate))&amp;IF(DAY(TradeDate)&lt;10,"0"&amp;DAY(TradeDate),DAY(TradeDate)))</f>
        <v>NYPos0831</v>
      </c>
      <c r="C88" s="181"/>
      <c r="D88" s="181"/>
      <c r="E88" s="181"/>
      <c r="F88" s="176"/>
    </row>
    <row r="89" spans="1:6" x14ac:dyDescent="0.25">
      <c r="B89" s="185" t="s">
        <v>51</v>
      </c>
      <c r="C89" s="176"/>
      <c r="D89" s="176"/>
      <c r="E89" s="176"/>
      <c r="F89" s="176"/>
    </row>
    <row r="90" spans="1:6" x14ac:dyDescent="0.25">
      <c r="B90" s="176"/>
      <c r="C90" s="176"/>
      <c r="D90" s="176"/>
      <c r="E90" s="176"/>
      <c r="F90" s="176"/>
    </row>
    <row r="91" spans="1:6" x14ac:dyDescent="0.25">
      <c r="B91" s="176"/>
      <c r="C91" s="176"/>
      <c r="D91" s="176"/>
      <c r="E91" s="176"/>
      <c r="F91" s="176"/>
    </row>
    <row r="92" spans="1:6" x14ac:dyDescent="0.25">
      <c r="B92" s="176"/>
      <c r="C92" s="176"/>
      <c r="D92" s="176"/>
      <c r="E92" s="176"/>
      <c r="F92" s="176"/>
    </row>
    <row r="93" spans="1:6" x14ac:dyDescent="0.25">
      <c r="B93" s="176"/>
      <c r="C93" s="176"/>
      <c r="D93" s="176"/>
      <c r="E93" s="176"/>
      <c r="F93" s="176"/>
    </row>
    <row r="95" spans="1:6" ht="12" customHeight="1" x14ac:dyDescent="0.25">
      <c r="B95" s="176"/>
      <c r="C95" s="176"/>
      <c r="D95" s="176"/>
      <c r="E95" s="176"/>
      <c r="F95" s="176"/>
    </row>
    <row r="96" spans="1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paperSize="5" scale="46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Button 16">
              <controlPr defaultSize="0" print="0" autoFill="0" autoPict="0" macro="[0]!clearnewdeals">
                <anchor moveWithCells="1" sizeWithCells="1">
                  <from>
                    <xdr:col>5</xdr:col>
                    <xdr:colOff>85725</xdr:colOff>
                    <xdr:row>1</xdr:row>
                    <xdr:rowOff>219075</xdr:rowOff>
                  </from>
                  <to>
                    <xdr:col>6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Button 17">
              <controlPr defaultSize="0" print="0" autoFill="0" autoLine="0" autoPict="0" macro="[0]!Module1.End_Day">
                <anchor moveWithCells="1" sizeWithCells="1">
                  <from>
                    <xdr:col>3</xdr:col>
                    <xdr:colOff>28575</xdr:colOff>
                    <xdr:row>1</xdr:row>
                    <xdr:rowOff>257175</xdr:rowOff>
                  </from>
                  <to>
                    <xdr:col>4</xdr:col>
                    <xdr:colOff>352425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4" width="12.140625" style="167" customWidth="1"/>
    <col min="5" max="5" width="13.710937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5.140625" style="167" customWidth="1"/>
    <col min="10" max="10" width="17.85546875" style="167" customWidth="1"/>
    <col min="11" max="11" width="18.5703125" style="167" customWidth="1"/>
    <col min="12" max="12" width="9.7109375" style="167" bestFit="1" customWidth="1"/>
    <col min="13" max="13" width="13.42578125" style="167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85546875" style="167" bestFit="1" customWidth="1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1" s="167">
        <v>0</v>
      </c>
      <c r="F1" s="167">
        <v>4</v>
      </c>
      <c r="G1" s="167">
        <v>23</v>
      </c>
      <c r="AH1" s="167"/>
      <c r="AI1" s="167"/>
      <c r="AJ1" s="167"/>
      <c r="AK1" s="167"/>
    </row>
    <row r="2" spans="1:118" ht="25.5" x14ac:dyDescent="0.35">
      <c r="A2" s="249" t="s">
        <v>47</v>
      </c>
      <c r="F2" s="167">
        <v>4</v>
      </c>
      <c r="G2" s="167">
        <v>31</v>
      </c>
      <c r="N2" s="169"/>
      <c r="AH2" s="167"/>
      <c r="AI2" s="167"/>
      <c r="AJ2" s="167"/>
      <c r="AK2" s="167"/>
    </row>
    <row r="3" spans="1:118" ht="16.5" thickBot="1" x14ac:dyDescent="0.3">
      <c r="G3" s="167">
        <f>+G1*F1+G2*F2</f>
        <v>216</v>
      </c>
      <c r="N3" s="169"/>
      <c r="AH3" s="167"/>
      <c r="AI3" s="167"/>
      <c r="AJ3" s="167"/>
      <c r="AK3" s="167"/>
    </row>
    <row r="4" spans="1:118" ht="16.5" thickBot="1" x14ac:dyDescent="0.3">
      <c r="E4" s="167">
        <f>33171-32477</f>
        <v>694</v>
      </c>
      <c r="G4" s="167">
        <f>+G3/8</f>
        <v>27</v>
      </c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-93828.318206783384</v>
      </c>
      <c r="J6" s="9">
        <f>SUM(J12:J56)</f>
        <v>-9600.0000000000218</v>
      </c>
      <c r="K6" s="9">
        <f>SUM(K12:K56)</f>
        <v>-103428.3182067834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N9" s="393">
        <f>+AVERAGE(N15:N16,N18:N19,N22:N26,N29:N30,N29:N33,N36:N40,N43,N43)</f>
        <v>40.521739130434781</v>
      </c>
      <c r="O9" s="393">
        <f>+AVERAGE(O15:O16,O18:O19,O22:O26,O29:O30,O29:O33,O36:O40,O43,O43)</f>
        <v>40.521739130434781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+[4]NYZoneG!$L3/16</f>
        <v>0</v>
      </c>
      <c r="C12" s="22">
        <f>CY12</f>
        <v>0</v>
      </c>
      <c r="D12" s="21">
        <f>($AP$69+IF(MONTH(A12)=MONTH(EOMONTH(TradeDate,1)),$AP$70,0))*VLOOKUP(A12,$DK$12:$DN$43,4)</f>
        <v>0</v>
      </c>
      <c r="E12" s="23">
        <f>B12+C12+D12</f>
        <v>0</v>
      </c>
      <c r="F12" s="24">
        <f>[4]NYZoneG!$C3</f>
        <v>38</v>
      </c>
      <c r="G12" s="24">
        <f t="shared" ref="G12:G56" si="0">IF($Q$9,Q12,P12)</f>
        <v>-2.2899999999999991</v>
      </c>
      <c r="H12" s="25">
        <f t="shared" ref="H12:H56" si="1">F12+G12</f>
        <v>35.71</v>
      </c>
      <c r="I12" s="26">
        <f t="shared" ref="I12:I42" si="2">B12*G12*DD12</f>
        <v>0</v>
      </c>
      <c r="J12" s="27">
        <f t="shared" ref="J12:J18" si="3">DH12+DI12</f>
        <v>0</v>
      </c>
      <c r="K12" s="27">
        <f t="shared" ref="K12:K56" si="4">I12+J12</f>
        <v>0</v>
      </c>
      <c r="L12" s="172"/>
      <c r="M12" s="28">
        <f t="shared" ref="M12:M56" si="5">A12</f>
        <v>37135</v>
      </c>
      <c r="N12" s="210">
        <v>35.71</v>
      </c>
      <c r="O12" s="210">
        <v>35.71</v>
      </c>
      <c r="P12" s="29">
        <f>AVERAGE(N12:O12)-F12</f>
        <v>-2.2899999999999991</v>
      </c>
      <c r="Q12" s="213"/>
      <c r="R12" s="214">
        <f t="shared" ref="R12:R56" si="6">H12</f>
        <v>35.71</v>
      </c>
      <c r="S12" s="172"/>
      <c r="T12" s="172"/>
      <c r="U12" s="175"/>
      <c r="V12" s="30">
        <f t="shared" ref="V12:V56" si="7">A12</f>
        <v>37135</v>
      </c>
      <c r="W12" s="379"/>
      <c r="X12" s="380"/>
      <c r="Y12" s="379"/>
      <c r="Z12" s="380"/>
      <c r="AA12" s="379"/>
      <c r="AB12" s="380"/>
      <c r="AC12" s="177"/>
      <c r="AD12" s="178"/>
      <c r="AE12" s="177"/>
      <c r="AF12" s="178"/>
      <c r="AG12" s="382"/>
      <c r="AH12" s="383"/>
      <c r="AI12" s="372"/>
      <c r="AJ12" s="373"/>
      <c r="AK12" s="372"/>
      <c r="AL12" s="373"/>
      <c r="AM12" s="372"/>
      <c r="AN12" s="373"/>
      <c r="AO12" s="372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21" si="8">W12+Y12+AA12+AC12+AE12+AG12+AI12+AK12+AM12+AO12+AQ12+AS12+AU12+AW12+AY12+BA12+BC12+BE12+BG12+BI12+BK12+BM12+BO12+BQ12+BS12+BU12+BW12+BY12+CA12+CC12+CE12+CG12+CI12+CK12+CM12+CO12+CQ12+CS12+CU12+CW12</f>
        <v>0</v>
      </c>
      <c r="CZ12" s="34">
        <f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21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21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21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6">IF(AND(WEEKDAY(DK12)&gt;1,WEEKDAY(DK12)&lt;7),1,0)</f>
        <v>0</v>
      </c>
    </row>
    <row r="13" spans="1:118" ht="18.75" x14ac:dyDescent="0.3">
      <c r="A13" s="80">
        <f>'NYISO A'!A13</f>
        <v>37136</v>
      </c>
      <c r="B13" s="114">
        <f>+[4]NYZoneG!$L4/16</f>
        <v>0</v>
      </c>
      <c r="C13" s="22">
        <f t="shared" ref="C13:C44" si="17">CY13</f>
        <v>0</v>
      </c>
      <c r="D13" s="36">
        <f t="shared" ref="D13:D60" si="18">(IF(MONTH(A13)=MONTH(EOMONTH(TradeDate,1)),$AP$70,0)*VLOOKUP(A13,$DK$12:$DN$43,4))</f>
        <v>0</v>
      </c>
      <c r="E13" s="23">
        <f t="shared" ref="E13:E44" si="19">B13+C13+D13</f>
        <v>0</v>
      </c>
      <c r="F13" s="24">
        <f>[4]NYZoneG!$C4</f>
        <v>38</v>
      </c>
      <c r="G13" s="38">
        <f t="shared" si="0"/>
        <v>0</v>
      </c>
      <c r="H13" s="39">
        <f t="shared" si="1"/>
        <v>38</v>
      </c>
      <c r="I13" s="36">
        <f t="shared" si="2"/>
        <v>0</v>
      </c>
      <c r="J13" s="27">
        <f t="shared" si="3"/>
        <v>0</v>
      </c>
      <c r="K13" s="40">
        <f t="shared" si="4"/>
        <v>0</v>
      </c>
      <c r="L13" s="389"/>
      <c r="M13" s="28">
        <f t="shared" si="5"/>
        <v>37136</v>
      </c>
      <c r="N13" s="210">
        <v>38</v>
      </c>
      <c r="O13" s="210">
        <v>38</v>
      </c>
      <c r="P13" s="29">
        <f t="shared" ref="P13:P43" si="20">AVERAGE(N13:O13)-F13</f>
        <v>0</v>
      </c>
      <c r="Q13" s="213"/>
      <c r="R13" s="215">
        <f t="shared" si="6"/>
        <v>38</v>
      </c>
      <c r="S13" s="172"/>
      <c r="T13" s="172"/>
      <c r="U13" s="175"/>
      <c r="V13" s="30">
        <f t="shared" si="7"/>
        <v>37136</v>
      </c>
      <c r="W13" s="379"/>
      <c r="X13" s="380"/>
      <c r="Y13" s="177"/>
      <c r="Z13" s="178"/>
      <c r="AA13" s="379"/>
      <c r="AB13" s="380"/>
      <c r="AC13" s="177"/>
      <c r="AD13" s="178"/>
      <c r="AE13" s="177"/>
      <c r="AF13" s="178"/>
      <c r="AG13" s="372"/>
      <c r="AH13" s="373"/>
      <c r="AI13" s="372"/>
      <c r="AJ13" s="221"/>
      <c r="AK13" s="177"/>
      <c r="AL13" s="178"/>
      <c r="AM13" s="372"/>
      <c r="AN13" s="221"/>
      <c r="AO13" s="372"/>
      <c r="AP13" s="219"/>
      <c r="AQ13" s="372"/>
      <c r="AR13" s="373"/>
      <c r="AS13" s="177"/>
      <c r="AT13" s="220"/>
      <c r="AU13" s="372"/>
      <c r="AV13" s="373"/>
      <c r="AW13" s="88"/>
      <c r="AX13" s="32"/>
      <c r="AY13" s="31"/>
      <c r="AZ13" s="32"/>
      <c r="BA13" s="177"/>
      <c r="BB13" s="178"/>
      <c r="BC13" s="177"/>
      <c r="BD13" s="178"/>
      <c r="BE13" s="177"/>
      <c r="BF13" s="178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ref="CZ13:CZ56" si="21">IF(AND(CY13=0,DC13=0),0,(DF13+DG13)/DC13)</f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37136</v>
      </c>
      <c r="DL13" s="167">
        <v>0</v>
      </c>
      <c r="DN13" s="167">
        <f t="shared" si="16"/>
        <v>0</v>
      </c>
    </row>
    <row r="14" spans="1:118" ht="18.75" x14ac:dyDescent="0.3">
      <c r="A14" s="80">
        <f>'NYISO A'!A14</f>
        <v>37137</v>
      </c>
      <c r="B14" s="114">
        <f>+[4]NYZoneG!$L5/16</f>
        <v>0</v>
      </c>
      <c r="C14" s="22">
        <f t="shared" si="17"/>
        <v>0</v>
      </c>
      <c r="D14" s="21">
        <f t="shared" si="18"/>
        <v>0</v>
      </c>
      <c r="E14" s="23">
        <f t="shared" si="19"/>
        <v>0</v>
      </c>
      <c r="F14" s="24">
        <f>[4]NYZoneG!$C5</f>
        <v>38</v>
      </c>
      <c r="G14" s="24">
        <f t="shared" si="0"/>
        <v>6</v>
      </c>
      <c r="H14" s="25">
        <f t="shared" si="1"/>
        <v>44</v>
      </c>
      <c r="I14" s="26">
        <f t="shared" si="2"/>
        <v>0</v>
      </c>
      <c r="J14" s="27">
        <f t="shared" si="3"/>
        <v>0</v>
      </c>
      <c r="K14" s="27">
        <f t="shared" si="4"/>
        <v>0</v>
      </c>
      <c r="L14" s="398">
        <f>+AVERAGE(N14:O18)</f>
        <v>46.1</v>
      </c>
      <c r="M14" s="28">
        <f t="shared" si="5"/>
        <v>37137</v>
      </c>
      <c r="N14" s="210">
        <v>44</v>
      </c>
      <c r="O14" s="210">
        <v>44</v>
      </c>
      <c r="P14" s="29">
        <f t="shared" si="20"/>
        <v>6</v>
      </c>
      <c r="Q14" s="213"/>
      <c r="R14" s="215">
        <f t="shared" si="6"/>
        <v>44</v>
      </c>
      <c r="S14" s="172"/>
      <c r="T14" s="172"/>
      <c r="U14" s="175"/>
      <c r="V14" s="30">
        <f t="shared" si="7"/>
        <v>37137</v>
      </c>
      <c r="W14" s="379"/>
      <c r="X14" s="380"/>
      <c r="Y14" s="177"/>
      <c r="Z14" s="178"/>
      <c r="AA14" s="379"/>
      <c r="AB14" s="380"/>
      <c r="AC14" s="177"/>
      <c r="AD14" s="221"/>
      <c r="AE14" s="177"/>
      <c r="AF14" s="178"/>
      <c r="AG14" s="372"/>
      <c r="AH14" s="373"/>
      <c r="AI14" s="372"/>
      <c r="AJ14" s="221"/>
      <c r="AK14" s="177"/>
      <c r="AL14" s="178"/>
      <c r="AM14" s="372"/>
      <c r="AN14" s="221"/>
      <c r="AO14" s="372"/>
      <c r="AP14" s="219"/>
      <c r="AQ14" s="372"/>
      <c r="AR14" s="221"/>
      <c r="AS14" s="177"/>
      <c r="AT14" s="220"/>
      <c r="AU14" s="372"/>
      <c r="AV14" s="221"/>
      <c r="AW14" s="88"/>
      <c r="AX14" s="32"/>
      <c r="AY14" s="31"/>
      <c r="AZ14" s="32"/>
      <c r="BA14" s="177"/>
      <c r="BB14" s="178"/>
      <c r="BC14" s="177"/>
      <c r="BD14" s="178"/>
      <c r="BE14" s="177"/>
      <c r="BF14" s="178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21"/>
        <v>0</v>
      </c>
      <c r="DA14" s="188">
        <f t="shared" si="9"/>
        <v>0</v>
      </c>
      <c r="DB14" s="189">
        <f t="shared" si="10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3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15"/>
        <v>0</v>
      </c>
      <c r="DK14" s="189">
        <v>37137</v>
      </c>
      <c r="DL14" s="167">
        <v>0</v>
      </c>
      <c r="DN14" s="167">
        <f t="shared" si="16"/>
        <v>1</v>
      </c>
    </row>
    <row r="15" spans="1:118" ht="18.75" x14ac:dyDescent="0.3">
      <c r="A15" s="80">
        <f>'NYISO A'!A15</f>
        <v>37138</v>
      </c>
      <c r="B15" s="114">
        <f>+[4]NYZoneG!$L6/16</f>
        <v>-49.821971893310547</v>
      </c>
      <c r="C15" s="35">
        <f t="shared" si="17"/>
        <v>0</v>
      </c>
      <c r="D15" s="36">
        <f t="shared" si="18"/>
        <v>0</v>
      </c>
      <c r="E15" s="23">
        <f t="shared" si="19"/>
        <v>-49.821971893310547</v>
      </c>
      <c r="F15" s="24">
        <f>[4]NYZoneG!$C6</f>
        <v>45.5</v>
      </c>
      <c r="G15" s="38">
        <f t="shared" si="0"/>
        <v>4</v>
      </c>
      <c r="H15" s="39">
        <f t="shared" si="1"/>
        <v>49.5</v>
      </c>
      <c r="I15" s="36">
        <f t="shared" si="2"/>
        <v>-3188.606201171875</v>
      </c>
      <c r="J15" s="27">
        <f t="shared" si="3"/>
        <v>0</v>
      </c>
      <c r="K15" s="40">
        <f t="shared" si="4"/>
        <v>-3188.606201171875</v>
      </c>
      <c r="L15" s="390">
        <f>+AVERAGE(N14:O18,N21:O25,N28:O32,N35:O36)</f>
        <v>42.147058823529413</v>
      </c>
      <c r="M15" s="28">
        <f t="shared" si="5"/>
        <v>37138</v>
      </c>
      <c r="N15" s="210">
        <v>49.5</v>
      </c>
      <c r="O15" s="210">
        <v>49.5</v>
      </c>
      <c r="P15" s="29">
        <f t="shared" si="20"/>
        <v>4</v>
      </c>
      <c r="Q15" s="213"/>
      <c r="R15" s="215">
        <f t="shared" si="6"/>
        <v>49.5</v>
      </c>
      <c r="S15" s="172"/>
      <c r="T15" s="172"/>
      <c r="U15" s="175"/>
      <c r="V15" s="30">
        <f t="shared" si="7"/>
        <v>37138</v>
      </c>
      <c r="W15" s="177"/>
      <c r="X15" s="221"/>
      <c r="Y15" s="177"/>
      <c r="Z15" s="178"/>
      <c r="AA15" s="177"/>
      <c r="AB15" s="178"/>
      <c r="AC15" s="177"/>
      <c r="AD15" s="221"/>
      <c r="AE15" s="177"/>
      <c r="AF15" s="178"/>
      <c r="AG15" s="177"/>
      <c r="AH15" s="221"/>
      <c r="AI15" s="177"/>
      <c r="AJ15" s="178"/>
      <c r="AK15" s="177"/>
      <c r="AL15" s="221"/>
      <c r="AM15" s="177"/>
      <c r="AN15" s="221"/>
      <c r="AO15" s="177"/>
      <c r="AP15" s="178"/>
      <c r="AQ15" s="177"/>
      <c r="AR15" s="221"/>
      <c r="AS15" s="177"/>
      <c r="AT15" s="220"/>
      <c r="AU15" s="177"/>
      <c r="AV15" s="221"/>
      <c r="AW15" s="88"/>
      <c r="AX15" s="32"/>
      <c r="AY15" s="31"/>
      <c r="AZ15" s="32"/>
      <c r="BA15" s="177"/>
      <c r="BB15" s="178"/>
      <c r="BC15" s="177"/>
      <c r="BD15" s="178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21"/>
        <v>0</v>
      </c>
      <c r="DA15" s="188">
        <f t="shared" si="9"/>
        <v>0</v>
      </c>
      <c r="DB15" s="189">
        <f t="shared" si="10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3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15"/>
        <v>0</v>
      </c>
      <c r="DK15" s="189">
        <v>37138</v>
      </c>
      <c r="DL15" s="167">
        <v>-99.821971893310547</v>
      </c>
      <c r="DN15" s="167">
        <f t="shared" si="16"/>
        <v>1</v>
      </c>
    </row>
    <row r="16" spans="1:118" ht="18.75" x14ac:dyDescent="0.3">
      <c r="A16" s="80">
        <f>'NYISO A'!A16</f>
        <v>37139</v>
      </c>
      <c r="B16" s="114">
        <f>+[4]NYZoneG!$L7/16</f>
        <v>-49.821971893310547</v>
      </c>
      <c r="C16" s="22">
        <f t="shared" si="17"/>
        <v>0</v>
      </c>
      <c r="D16" s="21">
        <f t="shared" si="18"/>
        <v>0</v>
      </c>
      <c r="E16" s="23">
        <f t="shared" si="19"/>
        <v>-49.821971893310547</v>
      </c>
      <c r="F16" s="24">
        <f>[4]NYZoneG!$C7</f>
        <v>45.5</v>
      </c>
      <c r="G16" s="24">
        <f t="shared" si="0"/>
        <v>4</v>
      </c>
      <c r="H16" s="25">
        <f>F16+G16</f>
        <v>49.5</v>
      </c>
      <c r="I16" s="26">
        <f t="shared" si="2"/>
        <v>-3188.606201171875</v>
      </c>
      <c r="J16" s="27">
        <f t="shared" si="3"/>
        <v>0</v>
      </c>
      <c r="K16" s="27">
        <f t="shared" si="4"/>
        <v>-3188.606201171875</v>
      </c>
      <c r="L16" s="390"/>
      <c r="M16" s="28">
        <f t="shared" si="5"/>
        <v>37139</v>
      </c>
      <c r="N16" s="210">
        <v>49.5</v>
      </c>
      <c r="O16" s="210">
        <v>49.5</v>
      </c>
      <c r="P16" s="29">
        <f t="shared" si="20"/>
        <v>4</v>
      </c>
      <c r="Q16" s="213"/>
      <c r="R16" s="215">
        <f>H16</f>
        <v>49.5</v>
      </c>
      <c r="S16" s="172"/>
      <c r="T16" s="172"/>
      <c r="U16" s="175"/>
      <c r="V16" s="30">
        <f t="shared" si="7"/>
        <v>37139</v>
      </c>
      <c r="W16" s="177"/>
      <c r="X16" s="221"/>
      <c r="Y16" s="177"/>
      <c r="Z16" s="178"/>
      <c r="AA16" s="177"/>
      <c r="AB16" s="178"/>
      <c r="AC16" s="177"/>
      <c r="AD16" s="221"/>
      <c r="AE16" s="177"/>
      <c r="AF16" s="178"/>
      <c r="AG16" s="177"/>
      <c r="AH16" s="221"/>
      <c r="AI16" s="372"/>
      <c r="AJ16" s="221"/>
      <c r="AK16" s="177"/>
      <c r="AL16" s="221"/>
      <c r="AM16" s="177"/>
      <c r="AN16" s="221"/>
      <c r="AO16" s="177"/>
      <c r="AP16" s="178"/>
      <c r="AQ16" s="177"/>
      <c r="AR16" s="221"/>
      <c r="AS16" s="177"/>
      <c r="AT16" s="178"/>
      <c r="AU16" s="177"/>
      <c r="AV16" s="221"/>
      <c r="AW16" s="88"/>
      <c r="AX16" s="32"/>
      <c r="AY16" s="31"/>
      <c r="AZ16" s="32"/>
      <c r="BA16" s="177"/>
      <c r="BB16" s="178"/>
      <c r="BC16" s="177"/>
      <c r="BD16" s="178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21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16+ABS(AG16)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>((H16-X16)*W16+(H16-Z16)*Y16+(H16-AB16)*AA16+(H16-AD16)*AC16+(H16-AF16)*AE16+(H16-AH16)*AG16+(H16-AJ16)*AI16+(H16-AL16)*AK16+(H16-AN16)*AM16+(H16-AP16)*AO16+(H16-AR16)*AQ16+(H16-AT16)*AS16+(H16-AV16)*AU16+(H16-AX16)*AW16+(H16-AZ16)*AY16+(H16-BB16)*BA16+(H16-BD16)*BC16+(H16-BF16)*BE16+(H16-BH16)*BG16+(H16-BJ16)*BI16)*DD16*DE16</f>
        <v>0</v>
      </c>
      <c r="DI16" s="170">
        <f>(((H16-BL16)*BK16+(H16-BN16)*BM16+(H16-BP16)*BO16+(H16-BR16)*BQ16+(H16-BT16)*BS16+(H16-BV16)*BU16+(H16-BX16)*BW16+(H16-BZ16)*BY16+(H16-CB16)*CA16+(H16-CD16)*CC16+(H16-CF16)*CE16+(H16-CH16)*CG16+(H16-CJ16)*CH16+(H16-CL16)*CK16+(H16-CN16)*CM16+(H16-CP16)*CO16+(H16-CR16)*CQ16+(H16-CT16)*CS16+(H16-CV16)*CU16+(H16-CX16)*CW16)*DD16*DE16)</f>
        <v>0</v>
      </c>
      <c r="DK16" s="189">
        <v>37139</v>
      </c>
      <c r="DL16" s="167">
        <v>0.17802810668945313</v>
      </c>
      <c r="DN16" s="167">
        <f t="shared" si="16"/>
        <v>1</v>
      </c>
    </row>
    <row r="17" spans="1:118" ht="18.75" x14ac:dyDescent="0.3">
      <c r="A17" s="80">
        <f>'NYISO A'!A17</f>
        <v>37140</v>
      </c>
      <c r="B17" s="114">
        <f>+[4]NYZoneG!$L8/16</f>
        <v>-49.821971893310547</v>
      </c>
      <c r="C17" s="35">
        <f t="shared" si="17"/>
        <v>0</v>
      </c>
      <c r="D17" s="36">
        <f t="shared" si="18"/>
        <v>0</v>
      </c>
      <c r="E17" s="23">
        <f t="shared" si="19"/>
        <v>-49.821971893310547</v>
      </c>
      <c r="F17" s="24">
        <f>[4]NYZoneG!$C8</f>
        <v>45.5</v>
      </c>
      <c r="G17" s="38">
        <f t="shared" si="0"/>
        <v>4</v>
      </c>
      <c r="H17" s="39">
        <f t="shared" si="1"/>
        <v>49.5</v>
      </c>
      <c r="I17" s="36">
        <f t="shared" si="2"/>
        <v>-3188.606201171875</v>
      </c>
      <c r="J17" s="27">
        <f t="shared" si="3"/>
        <v>0</v>
      </c>
      <c r="K17" s="40">
        <f t="shared" si="4"/>
        <v>-3188.606201171875</v>
      </c>
      <c r="L17" s="389"/>
      <c r="M17" s="28">
        <f t="shared" si="5"/>
        <v>37140</v>
      </c>
      <c r="N17" s="210">
        <v>49.5</v>
      </c>
      <c r="O17" s="210">
        <v>49.5</v>
      </c>
      <c r="P17" s="29">
        <f t="shared" si="20"/>
        <v>4</v>
      </c>
      <c r="Q17" s="213"/>
      <c r="R17" s="215">
        <f t="shared" si="6"/>
        <v>49.5</v>
      </c>
      <c r="S17" s="172"/>
      <c r="T17" s="172"/>
      <c r="U17" s="175"/>
      <c r="V17" s="30">
        <f t="shared" si="7"/>
        <v>37140</v>
      </c>
      <c r="W17" s="177"/>
      <c r="X17" s="221"/>
      <c r="Y17" s="177"/>
      <c r="Z17" s="178"/>
      <c r="AA17" s="177"/>
      <c r="AB17" s="178"/>
      <c r="AC17" s="177"/>
      <c r="AD17" s="221"/>
      <c r="AE17" s="177"/>
      <c r="AF17" s="221"/>
      <c r="AG17" s="177"/>
      <c r="AH17" s="178"/>
      <c r="AI17" s="372"/>
      <c r="AJ17" s="221"/>
      <c r="AK17" s="177"/>
      <c r="AL17" s="221"/>
      <c r="AM17" s="177"/>
      <c r="AN17" s="221"/>
      <c r="AO17" s="177"/>
      <c r="AP17" s="178"/>
      <c r="AQ17" s="177"/>
      <c r="AR17" s="221"/>
      <c r="AS17" s="177"/>
      <c r="AT17" s="178"/>
      <c r="AU17" s="177"/>
      <c r="AV17" s="221"/>
      <c r="AW17" s="88"/>
      <c r="AX17" s="32"/>
      <c r="AY17" s="31"/>
      <c r="AZ17" s="32"/>
      <c r="BA17" s="177"/>
      <c r="BB17" s="178"/>
      <c r="BC17" s="177"/>
      <c r="BD17" s="178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21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17+ABS(AG17)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>((H17-X17)*W17+(H17-Z17)*Y17+(H17-AB17)*AA17+(H17-AD17)*AC17+(H17-AF17)*AE17+(H17-AH17)*AG17+(H17-AJ17)*AI17+(H17-AL17)*AK17+(H17-AN17)*AM17+(H17-AP17)*AO17+(H17-AR17)*AQ17+(H17-AT17)*AS17+(H17-AV17)*AU17+(H17-AX17)*AW17+(H17-AZ17)*AY17+(H17-BB17)*BA17+(H17-BD17)*BC17+(H17-BF17)*BE17+(H17-BH17)*BG17+(H17-BJ17)*BI17)*DD17*DE17</f>
        <v>0</v>
      </c>
      <c r="DI17" s="170">
        <f t="shared" si="15"/>
        <v>0</v>
      </c>
      <c r="DK17" s="189">
        <v>37140</v>
      </c>
      <c r="DL17" s="167">
        <v>0.17802810668945313</v>
      </c>
      <c r="DN17" s="167">
        <f t="shared" si="16"/>
        <v>1</v>
      </c>
    </row>
    <row r="18" spans="1:118" ht="18.75" x14ac:dyDescent="0.3">
      <c r="A18" s="80">
        <f>'NYISO A'!A18</f>
        <v>37141</v>
      </c>
      <c r="B18" s="114">
        <f>+[4]NYZoneG!$L9/16</f>
        <v>-49.821971893310547</v>
      </c>
      <c r="C18" s="22">
        <f t="shared" si="17"/>
        <v>0</v>
      </c>
      <c r="D18" s="21">
        <f t="shared" si="18"/>
        <v>0</v>
      </c>
      <c r="E18" s="23">
        <f t="shared" si="19"/>
        <v>-49.821971893310547</v>
      </c>
      <c r="F18" s="24">
        <f>[4]NYZoneG!$C9</f>
        <v>45.5</v>
      </c>
      <c r="G18" s="24">
        <f t="shared" si="0"/>
        <v>-7.5</v>
      </c>
      <c r="H18" s="25">
        <f t="shared" si="1"/>
        <v>38</v>
      </c>
      <c r="I18" s="26">
        <f t="shared" si="2"/>
        <v>5978.6366271972656</v>
      </c>
      <c r="J18" s="27">
        <f t="shared" si="3"/>
        <v>0</v>
      </c>
      <c r="K18" s="27">
        <f t="shared" si="4"/>
        <v>5978.6366271972656</v>
      </c>
      <c r="M18" s="28">
        <f t="shared" si="5"/>
        <v>37141</v>
      </c>
      <c r="N18" s="210">
        <v>38</v>
      </c>
      <c r="O18" s="210">
        <v>38</v>
      </c>
      <c r="P18" s="29">
        <f t="shared" si="20"/>
        <v>-7.5</v>
      </c>
      <c r="Q18" s="213"/>
      <c r="R18" s="215">
        <f t="shared" si="6"/>
        <v>38</v>
      </c>
      <c r="S18" s="172"/>
      <c r="T18" s="172"/>
      <c r="U18" s="175"/>
      <c r="V18" s="30">
        <f t="shared" si="7"/>
        <v>37141</v>
      </c>
      <c r="W18" s="177"/>
      <c r="X18" s="221"/>
      <c r="Y18" s="177"/>
      <c r="Z18" s="178"/>
      <c r="AA18" s="177"/>
      <c r="AB18" s="178"/>
      <c r="AC18" s="177"/>
      <c r="AD18" s="221"/>
      <c r="AE18" s="177"/>
      <c r="AF18" s="221"/>
      <c r="AG18" s="177"/>
      <c r="AH18" s="221"/>
      <c r="AI18" s="372"/>
      <c r="AJ18" s="221"/>
      <c r="AK18" s="177"/>
      <c r="AL18" s="221"/>
      <c r="AM18" s="177"/>
      <c r="AN18" s="221"/>
      <c r="AO18" s="177"/>
      <c r="AP18" s="178"/>
      <c r="AQ18" s="177"/>
      <c r="AR18" s="178"/>
      <c r="AS18" s="177"/>
      <c r="AT18" s="178"/>
      <c r="AU18" s="177"/>
      <c r="AV18" s="221"/>
      <c r="AW18" s="88"/>
      <c r="AX18" s="32"/>
      <c r="AY18" s="31"/>
      <c r="AZ18" s="32"/>
      <c r="BA18" s="177"/>
      <c r="BB18" s="178"/>
      <c r="BC18" s="177"/>
      <c r="BD18" s="178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21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 t="shared" si="12"/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37141</v>
      </c>
      <c r="DL18" s="167">
        <v>0.17802810668945313</v>
      </c>
      <c r="DN18" s="167">
        <f t="shared" si="16"/>
        <v>1</v>
      </c>
    </row>
    <row r="19" spans="1:118" ht="19.5" customHeight="1" x14ac:dyDescent="0.3">
      <c r="A19" s="80">
        <f>'NYISO A'!A19</f>
        <v>37142</v>
      </c>
      <c r="B19" s="114">
        <f>+[4]NYZoneG!$L10/16</f>
        <v>0</v>
      </c>
      <c r="C19" s="35">
        <f t="shared" si="17"/>
        <v>0</v>
      </c>
      <c r="D19" s="36">
        <f t="shared" si="18"/>
        <v>0</v>
      </c>
      <c r="E19" s="23">
        <f t="shared" si="19"/>
        <v>0</v>
      </c>
      <c r="F19" s="24">
        <f>[4]NYZoneG!$C10</f>
        <v>38</v>
      </c>
      <c r="G19" s="38">
        <f t="shared" si="0"/>
        <v>0</v>
      </c>
      <c r="H19" s="39">
        <f t="shared" si="1"/>
        <v>38</v>
      </c>
      <c r="I19" s="36">
        <f t="shared" si="2"/>
        <v>0</v>
      </c>
      <c r="J19" s="27">
        <f t="shared" ref="J19:J43" si="22">DH19+DI19</f>
        <v>0</v>
      </c>
      <c r="K19" s="40">
        <f t="shared" si="4"/>
        <v>0</v>
      </c>
      <c r="L19" s="389"/>
      <c r="M19" s="28">
        <f t="shared" si="5"/>
        <v>37142</v>
      </c>
      <c r="N19" s="210">
        <v>38</v>
      </c>
      <c r="O19" s="210">
        <v>38</v>
      </c>
      <c r="P19" s="29">
        <f t="shared" si="20"/>
        <v>0</v>
      </c>
      <c r="Q19" s="213"/>
      <c r="R19" s="215">
        <f t="shared" si="6"/>
        <v>38</v>
      </c>
      <c r="S19" s="172"/>
      <c r="T19" s="172"/>
      <c r="U19" s="175"/>
      <c r="V19" s="30">
        <f t="shared" si="7"/>
        <v>37142</v>
      </c>
      <c r="W19" s="177"/>
      <c r="X19" s="221"/>
      <c r="Y19" s="177"/>
      <c r="Z19" s="178"/>
      <c r="AA19" s="177"/>
      <c r="AB19" s="178"/>
      <c r="AC19" s="177"/>
      <c r="AD19" s="221"/>
      <c r="AE19" s="177"/>
      <c r="AF19" s="221"/>
      <c r="AG19" s="177"/>
      <c r="AH19" s="221"/>
      <c r="AI19" s="372"/>
      <c r="AJ19" s="221"/>
      <c r="AK19" s="177"/>
      <c r="AL19" s="221"/>
      <c r="AM19" s="177"/>
      <c r="AN19" s="221"/>
      <c r="AO19" s="177"/>
      <c r="AP19" s="178"/>
      <c r="AQ19" s="177"/>
      <c r="AR19" s="178"/>
      <c r="AS19" s="177"/>
      <c r="AT19" s="178"/>
      <c r="AU19" s="177"/>
      <c r="AV19" s="221"/>
      <c r="AW19" s="88"/>
      <c r="AX19" s="32"/>
      <c r="AY19" s="31"/>
      <c r="AZ19" s="32"/>
      <c r="BA19" s="177"/>
      <c r="BB19" s="178"/>
      <c r="BC19" s="177"/>
      <c r="BD19" s="178"/>
      <c r="BE19" s="177"/>
      <c r="BF19" s="178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21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 t="shared" si="12"/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37142</v>
      </c>
      <c r="DL19" s="167">
        <v>0</v>
      </c>
      <c r="DN19" s="167">
        <f t="shared" si="16"/>
        <v>0</v>
      </c>
    </row>
    <row r="20" spans="1:118" ht="18.75" x14ac:dyDescent="0.3">
      <c r="A20" s="80">
        <f>'NYISO A'!A20</f>
        <v>37143</v>
      </c>
      <c r="B20" s="114">
        <f>+[4]NYZoneG!$L11/16</f>
        <v>0</v>
      </c>
      <c r="C20" s="22">
        <f t="shared" si="17"/>
        <v>0</v>
      </c>
      <c r="D20" s="21">
        <f t="shared" si="18"/>
        <v>0</v>
      </c>
      <c r="E20" s="23">
        <f t="shared" si="19"/>
        <v>0</v>
      </c>
      <c r="F20" s="24">
        <f>[4]NYZoneG!$C11</f>
        <v>38</v>
      </c>
      <c r="G20" s="24">
        <f t="shared" si="0"/>
        <v>0</v>
      </c>
      <c r="H20" s="25">
        <f t="shared" si="1"/>
        <v>38</v>
      </c>
      <c r="I20" s="26">
        <f t="shared" si="2"/>
        <v>0</v>
      </c>
      <c r="J20" s="27">
        <f t="shared" si="22"/>
        <v>0</v>
      </c>
      <c r="K20" s="27">
        <f t="shared" si="4"/>
        <v>0</v>
      </c>
      <c r="L20" s="389"/>
      <c r="M20" s="28">
        <f t="shared" si="5"/>
        <v>37143</v>
      </c>
      <c r="N20" s="210">
        <v>38</v>
      </c>
      <c r="O20" s="210">
        <v>38</v>
      </c>
      <c r="P20" s="29">
        <f t="shared" si="20"/>
        <v>0</v>
      </c>
      <c r="Q20" s="213"/>
      <c r="R20" s="215">
        <f t="shared" si="6"/>
        <v>38</v>
      </c>
      <c r="S20" s="172"/>
      <c r="T20" s="172"/>
      <c r="U20" s="175"/>
      <c r="V20" s="30">
        <f t="shared" si="7"/>
        <v>37143</v>
      </c>
      <c r="W20" s="177"/>
      <c r="X20" s="221"/>
      <c r="Y20" s="177"/>
      <c r="Z20" s="178"/>
      <c r="AA20" s="177"/>
      <c r="AB20" s="178"/>
      <c r="AC20" s="177"/>
      <c r="AD20" s="221"/>
      <c r="AE20" s="177"/>
      <c r="AF20" s="221"/>
      <c r="AG20" s="177"/>
      <c r="AH20" s="221"/>
      <c r="AI20" s="372"/>
      <c r="AJ20" s="221"/>
      <c r="AK20" s="177"/>
      <c r="AL20" s="221"/>
      <c r="AM20" s="177"/>
      <c r="AN20" s="221"/>
      <c r="AO20" s="177"/>
      <c r="AP20" s="178"/>
      <c r="AQ20" s="177"/>
      <c r="AR20" s="178"/>
      <c r="AS20" s="177"/>
      <c r="AT20" s="178"/>
      <c r="AU20" s="177"/>
      <c r="AV20" s="221"/>
      <c r="AW20" s="88"/>
      <c r="AX20" s="32"/>
      <c r="AY20" s="31"/>
      <c r="AZ20" s="32"/>
      <c r="BA20" s="177"/>
      <c r="BB20" s="178"/>
      <c r="BC20" s="177"/>
      <c r="BD20" s="178"/>
      <c r="BE20" s="177"/>
      <c r="BF20" s="178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21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 t="shared" si="12"/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37143</v>
      </c>
      <c r="DL20" s="167">
        <v>0</v>
      </c>
      <c r="DN20" s="167">
        <f t="shared" si="16"/>
        <v>0</v>
      </c>
    </row>
    <row r="21" spans="1:118" ht="18.75" x14ac:dyDescent="0.3">
      <c r="A21" s="80">
        <f>'NYISO A'!A21</f>
        <v>37144</v>
      </c>
      <c r="B21" s="114">
        <f>+[4]NYZoneG!$L12/16</f>
        <v>1.2499999950052465E-13</v>
      </c>
      <c r="C21" s="35">
        <f t="shared" si="17"/>
        <v>0</v>
      </c>
      <c r="D21" s="36">
        <f t="shared" si="18"/>
        <v>0</v>
      </c>
      <c r="E21" s="23">
        <f t="shared" si="19"/>
        <v>1.2499999950052465E-13</v>
      </c>
      <c r="F21" s="24">
        <f>[4]NYZoneG!$C12</f>
        <v>40.5</v>
      </c>
      <c r="G21" s="38">
        <f t="shared" si="0"/>
        <v>0</v>
      </c>
      <c r="H21" s="39">
        <f t="shared" si="1"/>
        <v>40.5</v>
      </c>
      <c r="I21" s="36">
        <f t="shared" si="2"/>
        <v>0</v>
      </c>
      <c r="J21" s="27">
        <f t="shared" si="22"/>
        <v>0</v>
      </c>
      <c r="K21" s="40">
        <f t="shared" si="4"/>
        <v>0</v>
      </c>
      <c r="L21" s="389"/>
      <c r="M21" s="28">
        <f t="shared" si="5"/>
        <v>37144</v>
      </c>
      <c r="N21" s="210">
        <v>40.5</v>
      </c>
      <c r="O21" s="210">
        <v>40.5</v>
      </c>
      <c r="P21" s="29">
        <f t="shared" si="20"/>
        <v>0</v>
      </c>
      <c r="Q21" s="213"/>
      <c r="R21" s="215">
        <f t="shared" si="6"/>
        <v>40.5</v>
      </c>
      <c r="S21" s="172"/>
      <c r="T21" s="172"/>
      <c r="U21" s="175"/>
      <c r="V21" s="30">
        <f t="shared" si="7"/>
        <v>37144</v>
      </c>
      <c r="W21" s="177"/>
      <c r="X21" s="221"/>
      <c r="Y21" s="177"/>
      <c r="Z21" s="222"/>
      <c r="AA21" s="177"/>
      <c r="AB21" s="178"/>
      <c r="AC21" s="177"/>
      <c r="AD21" s="221"/>
      <c r="AE21" s="177"/>
      <c r="AF21" s="221"/>
      <c r="AG21" s="177"/>
      <c r="AH21" s="221"/>
      <c r="AI21" s="177"/>
      <c r="AJ21" s="178"/>
      <c r="AK21" s="177"/>
      <c r="AL21" s="221"/>
      <c r="AM21" s="177"/>
      <c r="AN21" s="221"/>
      <c r="AO21" s="177"/>
      <c r="AP21" s="178"/>
      <c r="AQ21" s="177"/>
      <c r="AR21" s="178"/>
      <c r="AS21" s="177"/>
      <c r="AT21" s="178"/>
      <c r="AU21" s="177"/>
      <c r="AV21" s="221"/>
      <c r="AW21" s="88"/>
      <c r="AX21" s="32"/>
      <c r="AY21" s="31"/>
      <c r="AZ21" s="32"/>
      <c r="BA21" s="177"/>
      <c r="BB21" s="178"/>
      <c r="BC21" s="177"/>
      <c r="BD21" s="178"/>
      <c r="BE21" s="177"/>
      <c r="BF21" s="178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21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37144</v>
      </c>
      <c r="DL21" s="167">
        <v>-49.999999999999872</v>
      </c>
      <c r="DN21" s="167">
        <f t="shared" si="16"/>
        <v>1</v>
      </c>
    </row>
    <row r="22" spans="1:118" ht="18.75" x14ac:dyDescent="0.3">
      <c r="A22" s="80">
        <f>'NYISO A'!A22</f>
        <v>37145</v>
      </c>
      <c r="B22" s="114">
        <f>+[4]NYZoneG!$L13/16</f>
        <v>1.2499999950052465E-13</v>
      </c>
      <c r="C22" s="22">
        <f t="shared" si="17"/>
        <v>0</v>
      </c>
      <c r="D22" s="21">
        <f t="shared" si="18"/>
        <v>0</v>
      </c>
      <c r="E22" s="23">
        <f t="shared" si="19"/>
        <v>1.2499999950052465E-13</v>
      </c>
      <c r="F22" s="24">
        <f>[4]NYZoneG!$C13</f>
        <v>40.5</v>
      </c>
      <c r="G22" s="24">
        <f t="shared" si="0"/>
        <v>0</v>
      </c>
      <c r="H22" s="25">
        <f t="shared" si="1"/>
        <v>40.5</v>
      </c>
      <c r="I22" s="26">
        <f t="shared" si="2"/>
        <v>0</v>
      </c>
      <c r="J22" s="27">
        <f t="shared" si="22"/>
        <v>0</v>
      </c>
      <c r="K22" s="27">
        <f t="shared" si="4"/>
        <v>0</v>
      </c>
      <c r="L22" s="390"/>
      <c r="M22" s="28">
        <f t="shared" si="5"/>
        <v>37145</v>
      </c>
      <c r="N22" s="210">
        <v>40.5</v>
      </c>
      <c r="O22" s="210">
        <v>40.5</v>
      </c>
      <c r="P22" s="29">
        <f t="shared" si="20"/>
        <v>0</v>
      </c>
      <c r="Q22" s="213"/>
      <c r="R22" s="215">
        <f t="shared" si="6"/>
        <v>40.5</v>
      </c>
      <c r="S22" s="172"/>
      <c r="T22" s="172"/>
      <c r="U22" s="175"/>
      <c r="V22" s="30">
        <f t="shared" si="7"/>
        <v>37145</v>
      </c>
      <c r="W22" s="177"/>
      <c r="X22" s="221"/>
      <c r="Y22" s="177"/>
      <c r="Z22" s="178"/>
      <c r="AA22" s="177"/>
      <c r="AB22" s="178"/>
      <c r="AC22" s="177"/>
      <c r="AD22" s="221"/>
      <c r="AE22" s="177"/>
      <c r="AF22" s="221"/>
      <c r="AG22" s="177"/>
      <c r="AH22" s="221"/>
      <c r="AI22" s="177"/>
      <c r="AJ22" s="178"/>
      <c r="AK22" s="177"/>
      <c r="AL22" s="221"/>
      <c r="AM22" s="177"/>
      <c r="AN22" s="221"/>
      <c r="AO22" s="177"/>
      <c r="AP22" s="178"/>
      <c r="AQ22" s="177"/>
      <c r="AR22" s="178"/>
      <c r="AS22" s="177"/>
      <c r="AT22" s="178"/>
      <c r="AU22" s="177"/>
      <c r="AV22" s="221"/>
      <c r="AW22" s="88"/>
      <c r="AX22" s="32"/>
      <c r="AY22" s="31"/>
      <c r="AZ22" s="32"/>
      <c r="BA22" s="177"/>
      <c r="BB22" s="178"/>
      <c r="BC22" s="177"/>
      <c r="BD22" s="178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ref="CY22:CY27" si="23">W22+Y22+AA22+AC22+AE22+AG22+AI22+AK22+AM22+AO22+AQ22+AS22+AU22+AW22+AY22+BA22+BC22+BE22+BG22+BI22+BK22+BM22+BO22+BQ22+BS22+BU22+BW22+BY22+CA22+CC22+CE22+CG22+CI22+CK22+CM22+CO22+CQ22+CS22+CU22+CW22</f>
        <v>0</v>
      </c>
      <c r="CZ22" s="34">
        <f t="shared" si="21"/>
        <v>0</v>
      </c>
      <c r="DA22" s="188">
        <f t="shared" si="9"/>
        <v>0</v>
      </c>
      <c r="DB22" s="189">
        <f t="shared" si="10"/>
        <v>37145</v>
      </c>
      <c r="DC22" s="188">
        <f t="shared" ref="DC22:DC27" si="24">ABS(W22)+ABS(Y22)+ABS(AA22)+ABS(AC22)+ABS(AE22)+ABS(AG22)+ABS(AI22)+ABS(AK22)+ABS(AM22)+ABS(AO22)+ABS(AQ22)+ABS(AS22)+ABS(AU22)+ABS(AW22)+ABS(AY22)+ABS(BA22)+ABS(BC22)+ABS(BE22)+ABS(BG22)+ABS(BI22)+ABS(BK22)+ABS(BM22)+ABS(BO22)+ABS(BQ22)+ABS(BS22)+ABS(BU22)+ABS(BW22)+ABS(BY22)+ABS(CA22)+ABS(CC22)+ABS(CE22)+ABS(CG22)+ABS(CI22)+ABS(CK22)+ABS(CM22)+ABS(CO22)+ABS(CQ22)+ABS(CS22)+ABS(CU22)+ABS(CW22)</f>
        <v>0</v>
      </c>
      <c r="DD22" s="190">
        <v>16</v>
      </c>
      <c r="DE22" s="188">
        <v>1</v>
      </c>
      <c r="DF22" s="170">
        <f t="shared" ref="DF22:DF27" si="25">(ABS(W22)*X22+ABS(Y22)*Z22+ABS(AA22)*AB22+ABS(AC22)*AD22+ABS(AE22)*AF22+ABS(AG22)*AH22+ABS(AI22)*AJ22+ABS(AK22)*AL22+ABS(AM22)*AN22+ABS(AO22)*AP22+ABS(AQ22)*AR22+ABS(AS22)*AT22+ABS(AU22)*AV22+ABS(AW22)*AX22+ABS(AY22)*AZ22+ABS(BA22)*BB22+ABS(BC22)*BD22+ABS(BE22)*BF22+ABS(BG22)*BH22+ABS(BI22)*BJ22)</f>
        <v>0</v>
      </c>
      <c r="DG22" s="170">
        <f t="shared" si="13"/>
        <v>0</v>
      </c>
      <c r="DH22" s="170">
        <f t="shared" ref="DH22:DH27" si="26">((H22-X22)*W22+(H22-Z22)*Y22+(H22-AB22)*AA22+(H22-AD22)*AC22+(H22-AF22)*AE22+(H22-AH22)*AG22+(H22-AJ22)*AI22+(H22-AL22)*AK22+(H22-AN22)*AM22+(H22-AP22)*AO22+(H22-AR22)*AQ22+(H22-AT22)*AS22+(H22-AV22)*AU22+(H22-AX22)*AW22+(H22-AZ22)*AY22+(H22-BB22)*BA22+(H22-BD22)*BC22+(H22-BF22)*BE22+(H22-BH22)*BG22+(H22-BJ22)*BI22)*DD22*DE22</f>
        <v>0</v>
      </c>
      <c r="DI22" s="170">
        <f t="shared" si="15"/>
        <v>0</v>
      </c>
      <c r="DK22" s="189">
        <v>37145</v>
      </c>
      <c r="DL22" s="167">
        <v>-49.999999999999872</v>
      </c>
      <c r="DN22" s="167">
        <f t="shared" si="16"/>
        <v>1</v>
      </c>
    </row>
    <row r="23" spans="1:118" ht="18.75" x14ac:dyDescent="0.3">
      <c r="A23" s="80">
        <f>'NYISO A'!A23</f>
        <v>37146</v>
      </c>
      <c r="B23" s="114">
        <f>+[4]NYZoneG!$L14/16</f>
        <v>1.2499999950052465E-13</v>
      </c>
      <c r="C23" s="35">
        <f t="shared" si="17"/>
        <v>0</v>
      </c>
      <c r="D23" s="36">
        <f t="shared" si="18"/>
        <v>0</v>
      </c>
      <c r="E23" s="23">
        <f t="shared" si="19"/>
        <v>1.2499999950052465E-13</v>
      </c>
      <c r="F23" s="24">
        <f>[4]NYZoneG!$C14</f>
        <v>40.5</v>
      </c>
      <c r="G23" s="38">
        <f t="shared" si="0"/>
        <v>0</v>
      </c>
      <c r="H23" s="39">
        <f t="shared" si="1"/>
        <v>40.5</v>
      </c>
      <c r="I23" s="36">
        <f t="shared" si="2"/>
        <v>0</v>
      </c>
      <c r="J23" s="27">
        <f t="shared" si="22"/>
        <v>0</v>
      </c>
      <c r="K23" s="40">
        <f t="shared" si="4"/>
        <v>0</v>
      </c>
      <c r="L23" s="390"/>
      <c r="M23" s="28">
        <f t="shared" si="5"/>
        <v>37146</v>
      </c>
      <c r="N23" s="210">
        <v>40.5</v>
      </c>
      <c r="O23" s="210">
        <v>40.5</v>
      </c>
      <c r="P23" s="29">
        <f t="shared" si="20"/>
        <v>0</v>
      </c>
      <c r="Q23" s="213"/>
      <c r="R23" s="215">
        <f t="shared" si="6"/>
        <v>40.5</v>
      </c>
      <c r="S23" s="172"/>
      <c r="T23" s="172"/>
      <c r="U23" s="175"/>
      <c r="V23" s="30">
        <f t="shared" si="7"/>
        <v>37146</v>
      </c>
      <c r="W23" s="177"/>
      <c r="X23" s="221"/>
      <c r="Y23" s="177"/>
      <c r="Z23" s="178"/>
      <c r="AA23" s="177"/>
      <c r="AB23" s="178"/>
      <c r="AC23" s="177"/>
      <c r="AD23" s="221"/>
      <c r="AE23" s="177"/>
      <c r="AF23" s="221"/>
      <c r="AG23" s="177"/>
      <c r="AH23" s="178"/>
      <c r="AI23" s="372"/>
      <c r="AJ23" s="221"/>
      <c r="AK23" s="177"/>
      <c r="AL23" s="221"/>
      <c r="AM23" s="177"/>
      <c r="AN23" s="221"/>
      <c r="AO23" s="177"/>
      <c r="AP23" s="178"/>
      <c r="AQ23" s="177"/>
      <c r="AR23" s="178"/>
      <c r="AS23" s="177"/>
      <c r="AT23" s="178"/>
      <c r="AU23" s="177"/>
      <c r="AV23" s="221"/>
      <c r="AW23" s="88"/>
      <c r="AX23" s="32"/>
      <c r="AY23" s="31"/>
      <c r="AZ23" s="32"/>
      <c r="BA23" s="177"/>
      <c r="BB23" s="178"/>
      <c r="BC23" s="177"/>
      <c r="BD23" s="178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23"/>
        <v>0</v>
      </c>
      <c r="CZ23" s="34">
        <f t="shared" si="21"/>
        <v>0</v>
      </c>
      <c r="DA23" s="188">
        <f t="shared" si="9"/>
        <v>0</v>
      </c>
      <c r="DB23" s="189">
        <f t="shared" si="10"/>
        <v>37146</v>
      </c>
      <c r="DC23" s="188">
        <f t="shared" si="24"/>
        <v>0</v>
      </c>
      <c r="DD23" s="190">
        <v>16</v>
      </c>
      <c r="DE23" s="188">
        <v>1</v>
      </c>
      <c r="DF23" s="170">
        <f t="shared" si="25"/>
        <v>0</v>
      </c>
      <c r="DG23" s="170">
        <f t="shared" si="13"/>
        <v>0</v>
      </c>
      <c r="DH23" s="170">
        <f t="shared" si="26"/>
        <v>0</v>
      </c>
      <c r="DI23" s="170">
        <f t="shared" si="15"/>
        <v>0</v>
      </c>
      <c r="DK23" s="189">
        <v>37146</v>
      </c>
      <c r="DL23" s="167">
        <v>-49.999999999999872</v>
      </c>
      <c r="DM23" s="167">
        <f>[2]NEPOOL!$L10</f>
        <v>-1189.7</v>
      </c>
      <c r="DN23" s="167">
        <f t="shared" si="16"/>
        <v>1</v>
      </c>
    </row>
    <row r="24" spans="1:118" ht="18.75" x14ac:dyDescent="0.3">
      <c r="A24" s="80">
        <f>'NYISO A'!A24</f>
        <v>37147</v>
      </c>
      <c r="B24" s="114">
        <f>+[4]NYZoneG!$L15/16</f>
        <v>1.2499999950052465E-13</v>
      </c>
      <c r="C24" s="22">
        <f t="shared" si="17"/>
        <v>0</v>
      </c>
      <c r="D24" s="21">
        <f t="shared" si="18"/>
        <v>0</v>
      </c>
      <c r="E24" s="23">
        <f t="shared" si="19"/>
        <v>1.2499999950052465E-13</v>
      </c>
      <c r="F24" s="24">
        <f>[4]NYZoneG!$C15</f>
        <v>40.5</v>
      </c>
      <c r="G24" s="24">
        <f t="shared" si="0"/>
        <v>0</v>
      </c>
      <c r="H24" s="25">
        <f t="shared" si="1"/>
        <v>40.5</v>
      </c>
      <c r="I24" s="26">
        <f t="shared" si="2"/>
        <v>0</v>
      </c>
      <c r="J24" s="27">
        <f t="shared" si="22"/>
        <v>0</v>
      </c>
      <c r="K24" s="27">
        <f t="shared" si="4"/>
        <v>0</v>
      </c>
      <c r="L24" s="390"/>
      <c r="M24" s="28">
        <f t="shared" si="5"/>
        <v>37147</v>
      </c>
      <c r="N24" s="210">
        <v>40.5</v>
      </c>
      <c r="O24" s="210">
        <v>40.5</v>
      </c>
      <c r="P24" s="29">
        <f t="shared" si="20"/>
        <v>0</v>
      </c>
      <c r="Q24" s="213"/>
      <c r="R24" s="215">
        <f t="shared" si="6"/>
        <v>40.5</v>
      </c>
      <c r="S24" s="172"/>
      <c r="T24" s="172"/>
      <c r="U24" s="175"/>
      <c r="V24" s="30">
        <f t="shared" si="7"/>
        <v>37147</v>
      </c>
      <c r="W24" s="177"/>
      <c r="X24" s="221"/>
      <c r="Y24" s="177"/>
      <c r="Z24" s="178"/>
      <c r="AA24" s="177"/>
      <c r="AB24" s="178"/>
      <c r="AC24" s="177"/>
      <c r="AD24" s="221"/>
      <c r="AE24" s="177"/>
      <c r="AF24" s="221"/>
      <c r="AG24" s="177"/>
      <c r="AH24" s="221"/>
      <c r="AI24" s="372"/>
      <c r="AJ24" s="221"/>
      <c r="AK24" s="177"/>
      <c r="AL24" s="221"/>
      <c r="AM24" s="177"/>
      <c r="AN24" s="221"/>
      <c r="AO24" s="177"/>
      <c r="AP24" s="178"/>
      <c r="AQ24" s="177"/>
      <c r="AR24" s="178"/>
      <c r="AS24" s="177"/>
      <c r="AT24" s="178"/>
      <c r="AU24" s="177"/>
      <c r="AV24" s="221"/>
      <c r="AW24" s="88"/>
      <c r="AX24" s="32"/>
      <c r="AY24" s="31"/>
      <c r="AZ24" s="32"/>
      <c r="BA24" s="177"/>
      <c r="BB24" s="178"/>
      <c r="BC24" s="177"/>
      <c r="BD24" s="178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23"/>
        <v>0</v>
      </c>
      <c r="CZ24" s="34">
        <f t="shared" si="21"/>
        <v>0</v>
      </c>
      <c r="DA24" s="188">
        <f t="shared" si="9"/>
        <v>0</v>
      </c>
      <c r="DB24" s="189">
        <f t="shared" si="10"/>
        <v>37147</v>
      </c>
      <c r="DC24" s="188">
        <f t="shared" si="24"/>
        <v>0</v>
      </c>
      <c r="DD24" s="190">
        <v>16</v>
      </c>
      <c r="DE24" s="188">
        <v>1</v>
      </c>
      <c r="DF24" s="170">
        <f t="shared" si="25"/>
        <v>0</v>
      </c>
      <c r="DG24" s="170">
        <f t="shared" si="13"/>
        <v>0</v>
      </c>
      <c r="DH24" s="170">
        <f t="shared" si="26"/>
        <v>0</v>
      </c>
      <c r="DI24" s="170">
        <f t="shared" si="15"/>
        <v>0</v>
      </c>
      <c r="DK24" s="189">
        <v>37147</v>
      </c>
      <c r="DL24" s="167">
        <v>-49.999999999999872</v>
      </c>
      <c r="DM24" s="167">
        <f>[2]NEPOOL!$L11</f>
        <v>-1189.7</v>
      </c>
      <c r="DN24" s="167">
        <f t="shared" si="16"/>
        <v>1</v>
      </c>
    </row>
    <row r="25" spans="1:118" ht="18.75" x14ac:dyDescent="0.3">
      <c r="A25" s="80">
        <f>'NYISO A'!A25</f>
        <v>37148</v>
      </c>
      <c r="B25" s="114">
        <f>+[4]NYZoneG!$L16/16</f>
        <v>1.2499999950052465E-13</v>
      </c>
      <c r="C25" s="35">
        <f t="shared" si="17"/>
        <v>0</v>
      </c>
      <c r="D25" s="36">
        <f t="shared" si="18"/>
        <v>0</v>
      </c>
      <c r="E25" s="23">
        <f t="shared" si="19"/>
        <v>1.2499999950052465E-13</v>
      </c>
      <c r="F25" s="24">
        <f>[4]NYZoneG!$C16</f>
        <v>40.5</v>
      </c>
      <c r="G25" s="38">
        <f t="shared" si="0"/>
        <v>0</v>
      </c>
      <c r="H25" s="39">
        <f t="shared" si="1"/>
        <v>40.5</v>
      </c>
      <c r="I25" s="36">
        <f t="shared" si="2"/>
        <v>0</v>
      </c>
      <c r="J25" s="27">
        <f t="shared" si="22"/>
        <v>0</v>
      </c>
      <c r="K25" s="40">
        <f t="shared" si="4"/>
        <v>0</v>
      </c>
      <c r="L25" s="390"/>
      <c r="M25" s="28">
        <f t="shared" si="5"/>
        <v>37148</v>
      </c>
      <c r="N25" s="210">
        <v>40.5</v>
      </c>
      <c r="O25" s="210">
        <v>40.5</v>
      </c>
      <c r="P25" s="29">
        <f t="shared" si="20"/>
        <v>0</v>
      </c>
      <c r="Q25" s="213"/>
      <c r="R25" s="215">
        <f t="shared" si="6"/>
        <v>40.5</v>
      </c>
      <c r="S25" s="172"/>
      <c r="T25" s="172"/>
      <c r="U25" s="175"/>
      <c r="V25" s="30">
        <f t="shared" si="7"/>
        <v>37148</v>
      </c>
      <c r="W25" s="177"/>
      <c r="X25" s="221"/>
      <c r="Y25" s="177"/>
      <c r="Z25" s="178"/>
      <c r="AA25" s="177"/>
      <c r="AB25" s="178"/>
      <c r="AC25" s="177"/>
      <c r="AD25" s="221"/>
      <c r="AE25" s="177"/>
      <c r="AF25" s="221"/>
      <c r="AG25" s="177"/>
      <c r="AH25" s="221"/>
      <c r="AI25" s="372"/>
      <c r="AJ25" s="221"/>
      <c r="AK25" s="177"/>
      <c r="AL25" s="221"/>
      <c r="AM25" s="177"/>
      <c r="AN25" s="221"/>
      <c r="AO25" s="177"/>
      <c r="AP25" s="178"/>
      <c r="AQ25" s="177"/>
      <c r="AR25" s="178"/>
      <c r="AS25" s="177"/>
      <c r="AT25" s="178"/>
      <c r="AU25" s="177"/>
      <c r="AV25" s="221"/>
      <c r="AW25" s="88"/>
      <c r="AX25" s="32"/>
      <c r="AY25" s="31"/>
      <c r="AZ25" s="32"/>
      <c r="BA25" s="177"/>
      <c r="BB25" s="178"/>
      <c r="BC25" s="177"/>
      <c r="BD25" s="178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23"/>
        <v>0</v>
      </c>
      <c r="CZ25" s="34">
        <f t="shared" si="21"/>
        <v>0</v>
      </c>
      <c r="DA25" s="188">
        <f t="shared" si="9"/>
        <v>0</v>
      </c>
      <c r="DB25" s="189">
        <f t="shared" si="10"/>
        <v>37148</v>
      </c>
      <c r="DC25" s="188">
        <f t="shared" si="24"/>
        <v>0</v>
      </c>
      <c r="DD25" s="190">
        <v>16</v>
      </c>
      <c r="DE25" s="188">
        <v>1</v>
      </c>
      <c r="DF25" s="170">
        <f t="shared" si="25"/>
        <v>0</v>
      </c>
      <c r="DG25" s="170">
        <f t="shared" si="13"/>
        <v>0</v>
      </c>
      <c r="DH25" s="170">
        <f t="shared" si="26"/>
        <v>0</v>
      </c>
      <c r="DI25" s="170">
        <f t="shared" si="15"/>
        <v>0</v>
      </c>
      <c r="DK25" s="189">
        <v>37148</v>
      </c>
      <c r="DL25" s="167">
        <v>-49.999999999999872</v>
      </c>
      <c r="DM25" s="167">
        <f>[2]NEPOOL!$L12</f>
        <v>-1189.7</v>
      </c>
      <c r="DN25" s="167">
        <f t="shared" si="16"/>
        <v>1</v>
      </c>
    </row>
    <row r="26" spans="1:118" ht="18.75" x14ac:dyDescent="0.3">
      <c r="A26" s="80">
        <f>'NYISO A'!A26</f>
        <v>37149</v>
      </c>
      <c r="B26" s="114">
        <f>+[4]NYZoneG!$L17/16</f>
        <v>0</v>
      </c>
      <c r="C26" s="22">
        <f t="shared" si="17"/>
        <v>0</v>
      </c>
      <c r="D26" s="21">
        <f t="shared" si="18"/>
        <v>0</v>
      </c>
      <c r="E26" s="23">
        <f t="shared" si="19"/>
        <v>0</v>
      </c>
      <c r="F26" s="24">
        <f>[4]NYZoneG!$C17</f>
        <v>38</v>
      </c>
      <c r="G26" s="24">
        <f t="shared" si="0"/>
        <v>0</v>
      </c>
      <c r="H26" s="25">
        <f t="shared" si="1"/>
        <v>38</v>
      </c>
      <c r="I26" s="26">
        <f t="shared" si="2"/>
        <v>0</v>
      </c>
      <c r="J26" s="27">
        <f t="shared" si="22"/>
        <v>0</v>
      </c>
      <c r="K26" s="27">
        <f t="shared" si="4"/>
        <v>0</v>
      </c>
      <c r="L26" s="390"/>
      <c r="M26" s="28">
        <f t="shared" si="5"/>
        <v>37149</v>
      </c>
      <c r="N26" s="210">
        <v>38</v>
      </c>
      <c r="O26" s="210">
        <v>38</v>
      </c>
      <c r="P26" s="29">
        <f t="shared" si="20"/>
        <v>0</v>
      </c>
      <c r="Q26" s="213"/>
      <c r="R26" s="215">
        <f t="shared" si="6"/>
        <v>38</v>
      </c>
      <c r="S26" s="172"/>
      <c r="T26" s="172"/>
      <c r="U26" s="175"/>
      <c r="V26" s="30">
        <f t="shared" si="7"/>
        <v>37149</v>
      </c>
      <c r="W26" s="177"/>
      <c r="X26" s="221"/>
      <c r="Y26" s="177"/>
      <c r="Z26" s="178"/>
      <c r="AA26" s="177"/>
      <c r="AB26" s="178"/>
      <c r="AC26" s="177"/>
      <c r="AD26" s="221"/>
      <c r="AE26" s="177"/>
      <c r="AF26" s="221"/>
      <c r="AG26" s="177"/>
      <c r="AH26" s="221"/>
      <c r="AI26" s="372"/>
      <c r="AJ26" s="221"/>
      <c r="AK26" s="177"/>
      <c r="AL26" s="221"/>
      <c r="AM26" s="177"/>
      <c r="AN26" s="221"/>
      <c r="AO26" s="177"/>
      <c r="AP26" s="178"/>
      <c r="AQ26" s="177"/>
      <c r="AR26" s="178"/>
      <c r="AS26" s="177"/>
      <c r="AT26" s="178"/>
      <c r="AU26" s="177"/>
      <c r="AV26" s="221"/>
      <c r="AW26" s="88"/>
      <c r="AX26" s="32"/>
      <c r="AY26" s="31"/>
      <c r="AZ26" s="32"/>
      <c r="BA26" s="177"/>
      <c r="BB26" s="178"/>
      <c r="BC26" s="177"/>
      <c r="BD26" s="178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23"/>
        <v>0</v>
      </c>
      <c r="CZ26" s="34">
        <f t="shared" si="21"/>
        <v>0</v>
      </c>
      <c r="DA26" s="188">
        <f t="shared" si="9"/>
        <v>0</v>
      </c>
      <c r="DB26" s="189">
        <f t="shared" si="10"/>
        <v>37149</v>
      </c>
      <c r="DC26" s="188">
        <f t="shared" si="24"/>
        <v>0</v>
      </c>
      <c r="DD26" s="190">
        <v>16</v>
      </c>
      <c r="DE26" s="188">
        <v>1</v>
      </c>
      <c r="DF26" s="170">
        <f t="shared" si="25"/>
        <v>0</v>
      </c>
      <c r="DG26" s="170">
        <f t="shared" si="13"/>
        <v>0</v>
      </c>
      <c r="DH26" s="170">
        <f t="shared" si="26"/>
        <v>0</v>
      </c>
      <c r="DI26" s="170">
        <f t="shared" si="15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6"/>
        <v>0</v>
      </c>
    </row>
    <row r="27" spans="1:118" ht="18.75" x14ac:dyDescent="0.3">
      <c r="A27" s="80">
        <f>'NYISO A'!A27</f>
        <v>37150</v>
      </c>
      <c r="B27" s="114">
        <f>+[4]NYZoneG!$L18/16</f>
        <v>0</v>
      </c>
      <c r="C27" s="35">
        <f t="shared" si="17"/>
        <v>0</v>
      </c>
      <c r="D27" s="36">
        <f t="shared" si="18"/>
        <v>0</v>
      </c>
      <c r="E27" s="23">
        <f t="shared" si="19"/>
        <v>0</v>
      </c>
      <c r="F27" s="24">
        <f>[4]NYZoneG!$C18</f>
        <v>38</v>
      </c>
      <c r="G27" s="38">
        <f t="shared" si="0"/>
        <v>0</v>
      </c>
      <c r="H27" s="39">
        <f t="shared" si="1"/>
        <v>38</v>
      </c>
      <c r="I27" s="36">
        <f t="shared" si="2"/>
        <v>0</v>
      </c>
      <c r="J27" s="27">
        <f t="shared" si="22"/>
        <v>0</v>
      </c>
      <c r="K27" s="40">
        <f t="shared" si="4"/>
        <v>0</v>
      </c>
      <c r="L27" s="390"/>
      <c r="M27" s="28">
        <f t="shared" si="5"/>
        <v>37150</v>
      </c>
      <c r="N27" s="210">
        <v>38</v>
      </c>
      <c r="O27" s="210">
        <v>38</v>
      </c>
      <c r="P27" s="29">
        <f t="shared" si="20"/>
        <v>0</v>
      </c>
      <c r="Q27" s="213"/>
      <c r="R27" s="215">
        <f t="shared" si="6"/>
        <v>38</v>
      </c>
      <c r="S27" s="172"/>
      <c r="T27" s="172"/>
      <c r="U27" s="175"/>
      <c r="V27" s="30">
        <f t="shared" si="7"/>
        <v>37150</v>
      </c>
      <c r="W27" s="177"/>
      <c r="X27" s="221"/>
      <c r="Y27" s="177"/>
      <c r="Z27" s="178"/>
      <c r="AA27" s="177"/>
      <c r="AB27" s="178"/>
      <c r="AC27" s="177"/>
      <c r="AD27" s="221"/>
      <c r="AE27" s="177"/>
      <c r="AF27" s="221"/>
      <c r="AG27" s="177"/>
      <c r="AH27" s="221"/>
      <c r="AI27" s="372"/>
      <c r="AJ27" s="221"/>
      <c r="AK27" s="177"/>
      <c r="AL27" s="221"/>
      <c r="AM27" s="177"/>
      <c r="AN27" s="221"/>
      <c r="AO27" s="177"/>
      <c r="AP27" s="178"/>
      <c r="AQ27" s="177"/>
      <c r="AR27" s="178"/>
      <c r="AS27" s="177"/>
      <c r="AT27" s="178"/>
      <c r="AU27" s="372"/>
      <c r="AV27" s="373"/>
      <c r="AW27" s="88"/>
      <c r="AX27" s="32"/>
      <c r="AY27" s="31"/>
      <c r="AZ27" s="32"/>
      <c r="BA27" s="177"/>
      <c r="BB27" s="178"/>
      <c r="BC27" s="177"/>
      <c r="BD27" s="178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23"/>
        <v>0</v>
      </c>
      <c r="CZ27" s="34">
        <f t="shared" si="21"/>
        <v>0</v>
      </c>
      <c r="DA27" s="188">
        <f t="shared" si="9"/>
        <v>0</v>
      </c>
      <c r="DB27" s="189">
        <f t="shared" si="10"/>
        <v>37150</v>
      </c>
      <c r="DC27" s="188">
        <f t="shared" si="24"/>
        <v>0</v>
      </c>
      <c r="DD27" s="190">
        <v>16</v>
      </c>
      <c r="DE27" s="188">
        <v>1</v>
      </c>
      <c r="DF27" s="170">
        <f t="shared" si="25"/>
        <v>0</v>
      </c>
      <c r="DG27" s="170">
        <f t="shared" si="13"/>
        <v>0</v>
      </c>
      <c r="DH27" s="170">
        <f t="shared" si="26"/>
        <v>0</v>
      </c>
      <c r="DI27" s="170">
        <f t="shared" si="15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6"/>
        <v>0</v>
      </c>
    </row>
    <row r="28" spans="1:118" ht="18.75" x14ac:dyDescent="0.3">
      <c r="A28" s="80">
        <f>'NYISO A'!A28</f>
        <v>37151</v>
      </c>
      <c r="B28" s="114">
        <f>+[4]NYZoneG!$L19/16</f>
        <v>1.2499999950052465E-13</v>
      </c>
      <c r="C28" s="22">
        <f t="shared" si="17"/>
        <v>0</v>
      </c>
      <c r="D28" s="21">
        <f t="shared" si="18"/>
        <v>0</v>
      </c>
      <c r="E28" s="23">
        <f t="shared" si="19"/>
        <v>1.2499999950052465E-13</v>
      </c>
      <c r="F28" s="24">
        <f>[4]NYZoneG!$C19</f>
        <v>40.5</v>
      </c>
      <c r="G28" s="24">
        <f t="shared" si="0"/>
        <v>0</v>
      </c>
      <c r="H28" s="25">
        <f t="shared" si="1"/>
        <v>40.5</v>
      </c>
      <c r="I28" s="26">
        <f t="shared" si="2"/>
        <v>0</v>
      </c>
      <c r="J28" s="27">
        <f t="shared" si="22"/>
        <v>0</v>
      </c>
      <c r="K28" s="27">
        <f t="shared" si="4"/>
        <v>0</v>
      </c>
      <c r="L28" s="172"/>
      <c r="M28" s="28">
        <f t="shared" si="5"/>
        <v>37151</v>
      </c>
      <c r="N28" s="210">
        <v>40.5</v>
      </c>
      <c r="O28" s="210">
        <v>40.5</v>
      </c>
      <c r="P28" s="29">
        <f t="shared" si="20"/>
        <v>0</v>
      </c>
      <c r="Q28" s="213"/>
      <c r="R28" s="215">
        <f t="shared" si="6"/>
        <v>40.5</v>
      </c>
      <c r="S28" s="172"/>
      <c r="T28" s="172"/>
      <c r="U28" s="175"/>
      <c r="V28" s="30">
        <f t="shared" si="7"/>
        <v>37151</v>
      </c>
      <c r="W28" s="177"/>
      <c r="X28" s="221"/>
      <c r="Y28" s="177"/>
      <c r="Z28" s="178"/>
      <c r="AA28" s="177"/>
      <c r="AB28" s="178"/>
      <c r="AC28" s="177"/>
      <c r="AD28" s="221"/>
      <c r="AE28" s="177"/>
      <c r="AF28" s="221"/>
      <c r="AG28" s="177"/>
      <c r="AH28" s="221"/>
      <c r="AI28" s="177"/>
      <c r="AJ28" s="178"/>
      <c r="AK28" s="177"/>
      <c r="AL28" s="221"/>
      <c r="AM28" s="177"/>
      <c r="AN28" s="221"/>
      <c r="AO28" s="177"/>
      <c r="AP28" s="178"/>
      <c r="AQ28" s="177"/>
      <c r="AR28" s="178"/>
      <c r="AS28" s="177"/>
      <c r="AT28" s="178"/>
      <c r="AU28" s="372"/>
      <c r="AV28" s="373"/>
      <c r="AW28" s="88"/>
      <c r="AX28" s="32"/>
      <c r="AY28" s="31"/>
      <c r="AZ28" s="32"/>
      <c r="BA28" s="177"/>
      <c r="BB28" s="178"/>
      <c r="BC28" s="177"/>
      <c r="BD28" s="178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ref="CY28:CY45" si="27">W28+Y28+AA28+AC28+AE28+AG28+AI28+AK28+AM28+AO28+AQ28+AS28+AU28+AW28+AY28+BA28+BC28+BE28+BG28+BI28+BK28+BM28+BO28+BQ28+BS28+BU28+BW28+BY28+CA28+CC28+CE28+CG28+CI28+CK28+CM28+CO28+CQ28+CS28+CU28+CW28</f>
        <v>0</v>
      </c>
      <c r="CZ28" s="34">
        <f t="shared" si="21"/>
        <v>0</v>
      </c>
      <c r="DA28" s="188">
        <f t="shared" si="9"/>
        <v>0</v>
      </c>
      <c r="DB28" s="189">
        <f t="shared" si="10"/>
        <v>37151</v>
      </c>
      <c r="DC28" s="188">
        <f t="shared" ref="DC28:DC45" si="28">ABS(W28)+ABS(Y28)+ABS(AA28)+ABS(AC28)+ABS(AE28)+ABS(AG28)+ABS(AI28)+ABS(AK28)+ABS(AM28)+ABS(AO28)+ABS(AQ28)+ABS(AS28)+ABS(AU28)+ABS(AW28)+ABS(AY28)+ABS(BA28)+ABS(BC28)+ABS(BE28)+ABS(BG28)+ABS(BI28)+ABS(BK28)+ABS(BM28)+ABS(BO28)+ABS(BQ28)+ABS(BS28)+ABS(BU28)+ABS(BW28)+ABS(BY28)+ABS(CA28)+ABS(CC28)+ABS(CE28)+ABS(CG28)+ABS(CI28)+ABS(CK28)+ABS(CM28)+ABS(CO28)+ABS(CQ28)+ABS(CS28)+ABS(CU28)+ABS(CW28)</f>
        <v>0</v>
      </c>
      <c r="DD28" s="190">
        <v>16</v>
      </c>
      <c r="DE28" s="188">
        <v>1</v>
      </c>
      <c r="DF28" s="170">
        <f t="shared" ref="DF28:DF44" si="29">(ABS(W28)*X28+ABS(Y28)*Z28+ABS(AA28)*AB28+ABS(AC28)*AD28+ABS(AE28)*AF28+ABS(AG28)*AH28+ABS(AI28)*AJ28+ABS(AK28)*AL28+ABS(AM28)*AN28+ABS(AO28)*AP28+ABS(AQ28)*AR28+ABS(AS28)*AT28+ABS(AU28)*AV28+ABS(AW28)*AX28+ABS(AY28)*AZ28+ABS(BA28)*BB28+ABS(BC28)*BD28+ABS(BE28)*BF28+ABS(BG28)*BH28+ABS(BI28)*BJ28)</f>
        <v>0</v>
      </c>
      <c r="DG28" s="170">
        <f t="shared" si="13"/>
        <v>0</v>
      </c>
      <c r="DH28" s="170">
        <f t="shared" ref="DH28:DH44" si="30">((H28-X28)*W28+(H28-Z28)*Y28+(H28-AB28)*AA28+(H28-AD28)*AC28+(H28-AF28)*AE28+(H28-AH28)*AG28+(H28-AJ28)*AI28+(H28-AL28)*AK28+(H28-AN28)*AM28+(H28-AP28)*AO28+(H28-AR28)*AQ28+(H28-AT28)*AS28+(H28-AV28)*AU28+(H28-AX28)*AW28+(H28-AZ28)*AY28+(H28-BB28)*BA28+(H28-BD28)*BC28+(H28-BF28)*BE28+(H28-BH28)*BG28+(H28-BJ28)*BI28)*DD28*DE28</f>
        <v>0</v>
      </c>
      <c r="DI28" s="170">
        <f t="shared" si="15"/>
        <v>0</v>
      </c>
      <c r="DK28" s="189">
        <v>37151</v>
      </c>
      <c r="DL28" s="167">
        <v>-49.999999999999872</v>
      </c>
      <c r="DM28" s="167">
        <f>[2]NEPOOL!$L15</f>
        <v>0</v>
      </c>
      <c r="DN28" s="167">
        <f t="shared" si="16"/>
        <v>1</v>
      </c>
    </row>
    <row r="29" spans="1:118" ht="18.75" x14ac:dyDescent="0.3">
      <c r="A29" s="80">
        <f>'NYISO A'!A29</f>
        <v>37152</v>
      </c>
      <c r="B29" s="114">
        <f>+[4]NYZoneG!$L20/16</f>
        <v>0</v>
      </c>
      <c r="C29" s="35">
        <f t="shared" si="17"/>
        <v>0</v>
      </c>
      <c r="D29" s="36">
        <f t="shared" si="18"/>
        <v>0</v>
      </c>
      <c r="E29" s="23">
        <f t="shared" si="19"/>
        <v>0</v>
      </c>
      <c r="F29" s="24">
        <f>[4]NYZoneG!$C20</f>
        <v>40.5</v>
      </c>
      <c r="G29" s="38">
        <f t="shared" si="0"/>
        <v>0</v>
      </c>
      <c r="H29" s="39">
        <f t="shared" si="1"/>
        <v>40.5</v>
      </c>
      <c r="I29" s="36">
        <f t="shared" si="2"/>
        <v>0</v>
      </c>
      <c r="J29" s="27">
        <f t="shared" si="22"/>
        <v>0</v>
      </c>
      <c r="K29" s="40">
        <f t="shared" si="4"/>
        <v>0</v>
      </c>
      <c r="L29" s="172"/>
      <c r="M29" s="28">
        <f t="shared" si="5"/>
        <v>37152</v>
      </c>
      <c r="N29" s="210">
        <v>40.5</v>
      </c>
      <c r="O29" s="210">
        <v>40.5</v>
      </c>
      <c r="P29" s="29">
        <f t="shared" si="20"/>
        <v>0</v>
      </c>
      <c r="Q29" s="213"/>
      <c r="R29" s="215">
        <f t="shared" si="6"/>
        <v>40.5</v>
      </c>
      <c r="S29" s="172"/>
      <c r="T29" s="172"/>
      <c r="U29" s="175"/>
      <c r="V29" s="30">
        <f t="shared" si="7"/>
        <v>37152</v>
      </c>
      <c r="W29" s="177"/>
      <c r="X29" s="221"/>
      <c r="Y29" s="177"/>
      <c r="Z29" s="221"/>
      <c r="AA29" s="177"/>
      <c r="AB29" s="178"/>
      <c r="AC29" s="177"/>
      <c r="AD29" s="221"/>
      <c r="AE29" s="177"/>
      <c r="AF29" s="221"/>
      <c r="AG29" s="177"/>
      <c r="AH29" s="221"/>
      <c r="AI29" s="177"/>
      <c r="AJ29" s="178"/>
      <c r="AK29" s="177"/>
      <c r="AL29" s="221"/>
      <c r="AM29" s="177"/>
      <c r="AN29" s="221"/>
      <c r="AO29" s="177"/>
      <c r="AP29" s="178"/>
      <c r="AQ29" s="177"/>
      <c r="AR29" s="178"/>
      <c r="AS29" s="177"/>
      <c r="AT29" s="178"/>
      <c r="AU29" s="372"/>
      <c r="AV29" s="373"/>
      <c r="AW29" s="88"/>
      <c r="AX29" s="32"/>
      <c r="AY29" s="31"/>
      <c r="AZ29" s="32"/>
      <c r="BA29" s="177"/>
      <c r="BB29" s="178"/>
      <c r="BC29" s="177"/>
      <c r="BD29" s="178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27"/>
        <v>0</v>
      </c>
      <c r="CZ29" s="34">
        <f t="shared" si="21"/>
        <v>0</v>
      </c>
      <c r="DA29" s="188">
        <f t="shared" si="9"/>
        <v>0</v>
      </c>
      <c r="DB29" s="189">
        <f t="shared" si="10"/>
        <v>37152</v>
      </c>
      <c r="DC29" s="188">
        <f t="shared" si="28"/>
        <v>0</v>
      </c>
      <c r="DD29" s="190">
        <v>16</v>
      </c>
      <c r="DE29" s="188">
        <v>1</v>
      </c>
      <c r="DF29" s="170">
        <f t="shared" si="29"/>
        <v>0</v>
      </c>
      <c r="DG29" s="170">
        <f t="shared" si="13"/>
        <v>0</v>
      </c>
      <c r="DH29" s="170">
        <f t="shared" si="30"/>
        <v>0</v>
      </c>
      <c r="DI29" s="170">
        <f t="shared" si="15"/>
        <v>0</v>
      </c>
      <c r="DK29" s="189">
        <v>37152</v>
      </c>
      <c r="DL29" s="167">
        <v>-50</v>
      </c>
      <c r="DM29" s="167">
        <f>[2]NEPOOL!$L16</f>
        <v>-1189.7</v>
      </c>
      <c r="DN29" s="167">
        <f t="shared" si="16"/>
        <v>1</v>
      </c>
    </row>
    <row r="30" spans="1:118" ht="18.75" x14ac:dyDescent="0.3">
      <c r="A30" s="80">
        <f>'NYISO A'!A30</f>
        <v>37153</v>
      </c>
      <c r="B30" s="114">
        <f>+[4]NYZoneG!$L21/16</f>
        <v>2.499999990010493E-13</v>
      </c>
      <c r="C30" s="22">
        <f t="shared" si="17"/>
        <v>0</v>
      </c>
      <c r="D30" s="21">
        <f t="shared" si="18"/>
        <v>0</v>
      </c>
      <c r="E30" s="23">
        <f t="shared" si="19"/>
        <v>2.499999990010493E-13</v>
      </c>
      <c r="F30" s="24">
        <f>[4]NYZoneG!$C21</f>
        <v>40.5</v>
      </c>
      <c r="G30" s="24">
        <f t="shared" si="0"/>
        <v>0</v>
      </c>
      <c r="H30" s="25">
        <f t="shared" si="1"/>
        <v>40.5</v>
      </c>
      <c r="I30" s="26">
        <f t="shared" si="2"/>
        <v>0</v>
      </c>
      <c r="J30" s="27">
        <f t="shared" si="22"/>
        <v>0</v>
      </c>
      <c r="K30" s="27">
        <f t="shared" si="4"/>
        <v>0</v>
      </c>
      <c r="L30" s="388"/>
      <c r="M30" s="28">
        <f t="shared" si="5"/>
        <v>37153</v>
      </c>
      <c r="N30" s="210">
        <v>40.5</v>
      </c>
      <c r="O30" s="210">
        <v>40.5</v>
      </c>
      <c r="P30" s="29">
        <f t="shared" si="20"/>
        <v>0</v>
      </c>
      <c r="Q30" s="213"/>
      <c r="R30" s="215">
        <f t="shared" si="6"/>
        <v>40.5</v>
      </c>
      <c r="S30" s="172"/>
      <c r="T30" s="172"/>
      <c r="U30" s="175"/>
      <c r="V30" s="30">
        <f t="shared" si="7"/>
        <v>37153</v>
      </c>
      <c r="W30" s="177"/>
      <c r="X30" s="221"/>
      <c r="Y30" s="177"/>
      <c r="Z30" s="178"/>
      <c r="AA30" s="177"/>
      <c r="AB30" s="178"/>
      <c r="AC30" s="177"/>
      <c r="AD30" s="221"/>
      <c r="AE30" s="177"/>
      <c r="AF30" s="221"/>
      <c r="AG30" s="177"/>
      <c r="AH30" s="178"/>
      <c r="AI30" s="372"/>
      <c r="AJ30" s="221"/>
      <c r="AK30" s="177"/>
      <c r="AL30" s="221"/>
      <c r="AM30" s="177"/>
      <c r="AN30" s="221"/>
      <c r="AO30" s="177"/>
      <c r="AP30" s="178"/>
      <c r="AQ30" s="177"/>
      <c r="AR30" s="178"/>
      <c r="AS30" s="177"/>
      <c r="AT30" s="178"/>
      <c r="AU30" s="372"/>
      <c r="AV30" s="373"/>
      <c r="AW30" s="88"/>
      <c r="AX30" s="32"/>
      <c r="AY30" s="31"/>
      <c r="AZ30" s="32"/>
      <c r="BA30" s="177"/>
      <c r="BB30" s="178"/>
      <c r="BC30" s="177"/>
      <c r="BD30" s="178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ref="CY30:CY35" si="31">W30+Y30+AA30+AC30+AE30+AG30+AI30+AK30+AM30+AO30+AQ30+AS30+AU30+AW30+AY30+BA30+BC30+BE30+BG30+BI30+BK30+BM30+BO30+BQ30+BS30+BU30+BW30+BY30+CA30+CC30+CE30+CG30+CI30+CK30+CM30+CO30+CQ30+CS30+CU30+CW30</f>
        <v>0</v>
      </c>
      <c r="CZ30" s="34">
        <f t="shared" si="21"/>
        <v>0</v>
      </c>
      <c r="DA30" s="188">
        <f t="shared" si="9"/>
        <v>0</v>
      </c>
      <c r="DB30" s="189">
        <f t="shared" si="10"/>
        <v>37153</v>
      </c>
      <c r="DC30" s="188">
        <f t="shared" ref="DC30:DC35" si="32">ABS(W30)+ABS(Y30)+ABS(AA30)+ABS(AC30)+ABS(AE30)+ABS(AG30)+ABS(AI30)+ABS(AK30)+ABS(AM30)+ABS(AO30)+ABS(AQ30)+ABS(AS30)+ABS(AU30)+ABS(AW30)+ABS(AY30)+ABS(BA30)+ABS(BC30)+ABS(BE30)+ABS(BG30)+ABS(BI30)+ABS(BK30)+ABS(BM30)+ABS(BO30)+ABS(BQ30)+ABS(BS30)+ABS(BU30)+ABS(BW30)+ABS(BY30)+ABS(CA30)+ABS(CC30)+ABS(CE30)+ABS(CG30)+ABS(CI30)+ABS(CK30)+ABS(CM30)+ABS(CO30)+ABS(CQ30)+ABS(CS30)+ABS(CU30)+ABS(CW30)</f>
        <v>0</v>
      </c>
      <c r="DD30" s="190">
        <v>16</v>
      </c>
      <c r="DE30" s="188">
        <v>1</v>
      </c>
      <c r="DF30" s="170">
        <f t="shared" ref="DF30:DF35" si="33">(ABS(W30)*X30+ABS(Y30)*Z30+ABS(AA30)*AB30+ABS(AC30)*AD30+ABS(AE30)*AF30+ABS(AG30)*AH30+ABS(AI30)*AJ30+ABS(AK30)*AL30+ABS(AM30)*AN30+ABS(AO30)*AP30+ABS(AQ30)*AR30+ABS(AS30)*AT30+ABS(AU30)*AV30+ABS(AW30)*AX30+ABS(AY30)*AZ30+ABS(BA30)*BB30+ABS(BC30)*BD30+ABS(BE30)*BF30+ABS(BG30)*BH30+ABS(BI30)*BJ30)</f>
        <v>0</v>
      </c>
      <c r="DG30" s="170">
        <f t="shared" si="13"/>
        <v>0</v>
      </c>
      <c r="DH30" s="170">
        <f t="shared" ref="DH30:DH35" si="34">((H30-X30)*W30+(H30-Z30)*Y30+(H30-AB30)*AA30+(H30-AD30)*AC30+(H30-AF30)*AE30+(H30-AH30)*AG30+(H30-AJ30)*AI30+(H30-AL30)*AK30+(H30-AN30)*AM30+(H30-AP30)*AO30+(H30-AR30)*AQ30+(H30-AT30)*AS30+(H30-AV30)*AU30+(H30-AX30)*AW30+(H30-AZ30)*AY30+(H30-BB30)*BA30+(H30-BD30)*BC30+(H30-BF30)*BE30+(H30-BH30)*BG30+(H30-BJ30)*BI30)*DD30*DE30</f>
        <v>0</v>
      </c>
      <c r="DI30" s="170">
        <f t="shared" si="15"/>
        <v>0</v>
      </c>
      <c r="DK30" s="189">
        <v>37153</v>
      </c>
      <c r="DL30" s="167">
        <v>-49.999999999999751</v>
      </c>
      <c r="DM30" s="167">
        <f>[2]NEPOOL!$L17</f>
        <v>-1189.7</v>
      </c>
      <c r="DN30" s="167">
        <f t="shared" si="16"/>
        <v>1</v>
      </c>
    </row>
    <row r="31" spans="1:118" ht="18.75" x14ac:dyDescent="0.3">
      <c r="A31" s="80">
        <f>'NYISO A'!A31</f>
        <v>37154</v>
      </c>
      <c r="B31" s="114">
        <f>+[4]NYZoneG!$L22/16</f>
        <v>2.499999990010493E-13</v>
      </c>
      <c r="C31" s="35">
        <f t="shared" si="17"/>
        <v>0</v>
      </c>
      <c r="D31" s="36">
        <f t="shared" si="18"/>
        <v>0</v>
      </c>
      <c r="E31" s="23">
        <f t="shared" si="19"/>
        <v>2.499999990010493E-13</v>
      </c>
      <c r="F31" s="24">
        <f>[4]NYZoneG!$C22</f>
        <v>40.5</v>
      </c>
      <c r="G31" s="38">
        <f t="shared" si="0"/>
        <v>0</v>
      </c>
      <c r="H31" s="39">
        <f t="shared" si="1"/>
        <v>40.5</v>
      </c>
      <c r="I31" s="36">
        <f t="shared" si="2"/>
        <v>0</v>
      </c>
      <c r="J31" s="27">
        <f t="shared" si="22"/>
        <v>0</v>
      </c>
      <c r="K31" s="40">
        <f t="shared" si="4"/>
        <v>0</v>
      </c>
      <c r="L31" s="388"/>
      <c r="M31" s="28">
        <f t="shared" si="5"/>
        <v>37154</v>
      </c>
      <c r="N31" s="210">
        <v>40.5</v>
      </c>
      <c r="O31" s="210">
        <v>40.5</v>
      </c>
      <c r="P31" s="29">
        <f t="shared" si="20"/>
        <v>0</v>
      </c>
      <c r="Q31" s="213"/>
      <c r="R31" s="215">
        <f t="shared" si="6"/>
        <v>40.5</v>
      </c>
      <c r="S31" s="172"/>
      <c r="T31" s="172"/>
      <c r="U31" s="175"/>
      <c r="V31" s="30">
        <f t="shared" si="7"/>
        <v>37154</v>
      </c>
      <c r="W31" s="177"/>
      <c r="X31" s="221"/>
      <c r="Y31" s="177"/>
      <c r="Z31" s="178"/>
      <c r="AA31" s="177"/>
      <c r="AB31" s="178"/>
      <c r="AC31" s="177"/>
      <c r="AD31" s="221"/>
      <c r="AE31" s="177"/>
      <c r="AF31" s="221"/>
      <c r="AG31" s="177"/>
      <c r="AH31" s="221"/>
      <c r="AI31" s="372"/>
      <c r="AJ31" s="221"/>
      <c r="AK31" s="177"/>
      <c r="AL31" s="221"/>
      <c r="AM31" s="177"/>
      <c r="AN31" s="221"/>
      <c r="AO31" s="177"/>
      <c r="AP31" s="178"/>
      <c r="AQ31" s="177"/>
      <c r="AR31" s="178"/>
      <c r="AS31" s="177"/>
      <c r="AT31" s="178"/>
      <c r="AU31" s="177"/>
      <c r="AV31" s="178"/>
      <c r="AW31" s="88"/>
      <c r="AX31" s="32"/>
      <c r="AY31" s="31"/>
      <c r="AZ31" s="32"/>
      <c r="BA31" s="177"/>
      <c r="BB31" s="178"/>
      <c r="BC31" s="177"/>
      <c r="BD31" s="178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31"/>
        <v>0</v>
      </c>
      <c r="CZ31" s="34">
        <f t="shared" si="21"/>
        <v>0</v>
      </c>
      <c r="DA31" s="188">
        <f t="shared" si="9"/>
        <v>0</v>
      </c>
      <c r="DB31" s="189">
        <f t="shared" si="10"/>
        <v>37154</v>
      </c>
      <c r="DC31" s="188">
        <f t="shared" si="32"/>
        <v>0</v>
      </c>
      <c r="DD31" s="190">
        <v>16</v>
      </c>
      <c r="DE31" s="188">
        <v>1</v>
      </c>
      <c r="DF31" s="170">
        <f t="shared" si="33"/>
        <v>0</v>
      </c>
      <c r="DG31" s="170">
        <f t="shared" si="13"/>
        <v>0</v>
      </c>
      <c r="DH31" s="170">
        <f t="shared" si="34"/>
        <v>0</v>
      </c>
      <c r="DI31" s="170">
        <f t="shared" si="15"/>
        <v>0</v>
      </c>
      <c r="DK31" s="189">
        <v>37154</v>
      </c>
      <c r="DL31" s="167">
        <v>-49.999999999999751</v>
      </c>
      <c r="DM31" s="167">
        <f>[2]NEPOOL!$L18</f>
        <v>-1189.7</v>
      </c>
      <c r="DN31" s="167">
        <f t="shared" si="16"/>
        <v>1</v>
      </c>
    </row>
    <row r="32" spans="1:118" ht="18.75" x14ac:dyDescent="0.3">
      <c r="A32" s="80">
        <f>'NYISO A'!A32</f>
        <v>37155</v>
      </c>
      <c r="B32" s="114">
        <f>+[4]NYZoneG!$L23/16</f>
        <v>2.499999990010493E-13</v>
      </c>
      <c r="C32" s="22">
        <f t="shared" si="17"/>
        <v>0</v>
      </c>
      <c r="D32" s="21">
        <f t="shared" si="18"/>
        <v>0</v>
      </c>
      <c r="E32" s="23">
        <f t="shared" si="19"/>
        <v>2.499999990010493E-13</v>
      </c>
      <c r="F32" s="24">
        <f>[4]NYZoneG!$C23</f>
        <v>40.5</v>
      </c>
      <c r="G32" s="24">
        <f t="shared" si="0"/>
        <v>0</v>
      </c>
      <c r="H32" s="25">
        <f t="shared" si="1"/>
        <v>40.5</v>
      </c>
      <c r="I32" s="26">
        <f t="shared" si="2"/>
        <v>0</v>
      </c>
      <c r="J32" s="27">
        <f t="shared" si="22"/>
        <v>0</v>
      </c>
      <c r="K32" s="27">
        <f t="shared" si="4"/>
        <v>0</v>
      </c>
      <c r="L32" s="388"/>
      <c r="M32" s="28">
        <f t="shared" si="5"/>
        <v>37155</v>
      </c>
      <c r="N32" s="210">
        <v>40.5</v>
      </c>
      <c r="O32" s="210">
        <v>40.5</v>
      </c>
      <c r="P32" s="29">
        <f t="shared" si="20"/>
        <v>0</v>
      </c>
      <c r="Q32" s="213"/>
      <c r="R32" s="215">
        <f t="shared" si="6"/>
        <v>40.5</v>
      </c>
      <c r="S32" s="172"/>
      <c r="T32" s="172"/>
      <c r="U32" s="175"/>
      <c r="V32" s="30">
        <f t="shared" si="7"/>
        <v>37155</v>
      </c>
      <c r="W32" s="177"/>
      <c r="X32" s="221"/>
      <c r="Y32" s="177"/>
      <c r="Z32" s="178"/>
      <c r="AA32" s="177"/>
      <c r="AB32" s="178"/>
      <c r="AC32" s="177"/>
      <c r="AD32" s="221"/>
      <c r="AE32" s="177"/>
      <c r="AF32" s="221"/>
      <c r="AG32" s="177"/>
      <c r="AH32" s="221"/>
      <c r="AI32" s="372"/>
      <c r="AJ32" s="221"/>
      <c r="AK32" s="177"/>
      <c r="AL32" s="221"/>
      <c r="AM32" s="177"/>
      <c r="AN32" s="221"/>
      <c r="AO32" s="177"/>
      <c r="AP32" s="178"/>
      <c r="AQ32" s="177"/>
      <c r="AR32" s="178"/>
      <c r="AS32" s="177"/>
      <c r="AT32" s="178"/>
      <c r="AU32" s="372"/>
      <c r="AV32" s="373"/>
      <c r="AW32" s="88"/>
      <c r="AX32" s="32"/>
      <c r="AY32" s="31"/>
      <c r="AZ32" s="32"/>
      <c r="BA32" s="177"/>
      <c r="BB32" s="178"/>
      <c r="BC32" s="177"/>
      <c r="BD32" s="178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31"/>
        <v>0</v>
      </c>
      <c r="CZ32" s="34">
        <f t="shared" si="21"/>
        <v>0</v>
      </c>
      <c r="DA32" s="188">
        <f t="shared" si="9"/>
        <v>0</v>
      </c>
      <c r="DB32" s="189">
        <f t="shared" si="10"/>
        <v>37155</v>
      </c>
      <c r="DC32" s="188">
        <f t="shared" si="32"/>
        <v>0</v>
      </c>
      <c r="DD32" s="190">
        <v>16</v>
      </c>
      <c r="DE32" s="188">
        <v>1</v>
      </c>
      <c r="DF32" s="170">
        <f t="shared" si="33"/>
        <v>0</v>
      </c>
      <c r="DG32" s="170">
        <f t="shared" si="13"/>
        <v>0</v>
      </c>
      <c r="DH32" s="170">
        <f t="shared" si="34"/>
        <v>0</v>
      </c>
      <c r="DI32" s="170">
        <f t="shared" si="15"/>
        <v>0</v>
      </c>
      <c r="DK32" s="189">
        <v>37155</v>
      </c>
      <c r="DL32" s="167">
        <v>-49.999999999999751</v>
      </c>
      <c r="DM32" s="167">
        <f>[2]NEPOOL!$L19</f>
        <v>-1189.7</v>
      </c>
      <c r="DN32" s="167">
        <f t="shared" si="16"/>
        <v>1</v>
      </c>
    </row>
    <row r="33" spans="1:124" ht="18.75" x14ac:dyDescent="0.3">
      <c r="A33" s="80">
        <f>'NYISO A'!A33</f>
        <v>37156</v>
      </c>
      <c r="B33" s="114">
        <f>+[4]NYZoneG!$L24/16</f>
        <v>0</v>
      </c>
      <c r="C33" s="35">
        <f t="shared" si="17"/>
        <v>0</v>
      </c>
      <c r="D33" s="36">
        <f t="shared" si="18"/>
        <v>0</v>
      </c>
      <c r="E33" s="23">
        <f t="shared" si="19"/>
        <v>0</v>
      </c>
      <c r="F33" s="24">
        <f>[4]NYZoneG!$C24</f>
        <v>38</v>
      </c>
      <c r="G33" s="38">
        <f t="shared" si="0"/>
        <v>0</v>
      </c>
      <c r="H33" s="39">
        <f t="shared" si="1"/>
        <v>38</v>
      </c>
      <c r="I33" s="36">
        <f t="shared" si="2"/>
        <v>0</v>
      </c>
      <c r="J33" s="27">
        <f t="shared" si="22"/>
        <v>0</v>
      </c>
      <c r="K33" s="40">
        <f t="shared" si="4"/>
        <v>0</v>
      </c>
      <c r="L33" s="388"/>
      <c r="M33" s="28">
        <f t="shared" si="5"/>
        <v>37156</v>
      </c>
      <c r="N33" s="210">
        <v>38</v>
      </c>
      <c r="O33" s="210">
        <v>38</v>
      </c>
      <c r="P33" s="29">
        <f t="shared" si="20"/>
        <v>0</v>
      </c>
      <c r="Q33" s="213"/>
      <c r="R33" s="215">
        <f t="shared" si="6"/>
        <v>38</v>
      </c>
      <c r="S33" s="172"/>
      <c r="T33" s="172"/>
      <c r="U33" s="175"/>
      <c r="V33" s="30">
        <f t="shared" si="7"/>
        <v>37156</v>
      </c>
      <c r="W33" s="177"/>
      <c r="X33" s="221"/>
      <c r="Y33" s="177"/>
      <c r="Z33" s="178"/>
      <c r="AA33" s="177"/>
      <c r="AB33" s="178"/>
      <c r="AC33" s="177"/>
      <c r="AD33" s="221"/>
      <c r="AE33" s="177"/>
      <c r="AF33" s="221"/>
      <c r="AG33" s="177"/>
      <c r="AH33" s="221"/>
      <c r="AI33" s="372"/>
      <c r="AJ33" s="221"/>
      <c r="AK33" s="177"/>
      <c r="AL33" s="221"/>
      <c r="AM33" s="177"/>
      <c r="AN33" s="221"/>
      <c r="AO33" s="177"/>
      <c r="AP33" s="178"/>
      <c r="AQ33" s="177"/>
      <c r="AR33" s="178"/>
      <c r="AS33" s="177"/>
      <c r="AT33" s="178"/>
      <c r="AU33" s="372"/>
      <c r="AV33" s="373"/>
      <c r="AW33" s="88"/>
      <c r="AX33" s="32"/>
      <c r="AY33" s="31"/>
      <c r="AZ33" s="32"/>
      <c r="BA33" s="177"/>
      <c r="BB33" s="178"/>
      <c r="BC33" s="177"/>
      <c r="BD33" s="178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31"/>
        <v>0</v>
      </c>
      <c r="CZ33" s="34">
        <f t="shared" si="21"/>
        <v>0</v>
      </c>
      <c r="DA33" s="188">
        <f t="shared" si="9"/>
        <v>0</v>
      </c>
      <c r="DB33" s="189">
        <f t="shared" si="10"/>
        <v>37156</v>
      </c>
      <c r="DC33" s="188">
        <f t="shared" si="32"/>
        <v>0</v>
      </c>
      <c r="DD33" s="190">
        <v>16</v>
      </c>
      <c r="DE33" s="188">
        <v>1</v>
      </c>
      <c r="DF33" s="170">
        <f t="shared" si="33"/>
        <v>0</v>
      </c>
      <c r="DG33" s="170">
        <f t="shared" si="13"/>
        <v>0</v>
      </c>
      <c r="DH33" s="170">
        <f t="shared" si="34"/>
        <v>0</v>
      </c>
      <c r="DI33" s="170">
        <f t="shared" si="15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6"/>
        <v>0</v>
      </c>
    </row>
    <row r="34" spans="1:124" ht="18.75" x14ac:dyDescent="0.3">
      <c r="A34" s="80">
        <f>'NYISO A'!A34</f>
        <v>37157</v>
      </c>
      <c r="B34" s="114">
        <f>+[4]NYZoneG!$L25/16</f>
        <v>0</v>
      </c>
      <c r="C34" s="22">
        <f t="shared" si="17"/>
        <v>0</v>
      </c>
      <c r="D34" s="21">
        <f t="shared" si="18"/>
        <v>0</v>
      </c>
      <c r="E34" s="23">
        <f t="shared" si="19"/>
        <v>0</v>
      </c>
      <c r="F34" s="24">
        <f>[4]NYZoneG!$C25</f>
        <v>38</v>
      </c>
      <c r="G34" s="24">
        <f t="shared" si="0"/>
        <v>0</v>
      </c>
      <c r="H34" s="25">
        <f t="shared" si="1"/>
        <v>38</v>
      </c>
      <c r="I34" s="26">
        <f t="shared" si="2"/>
        <v>0</v>
      </c>
      <c r="J34" s="27">
        <f t="shared" si="22"/>
        <v>0</v>
      </c>
      <c r="K34" s="27">
        <f t="shared" si="4"/>
        <v>0</v>
      </c>
      <c r="L34" s="172"/>
      <c r="M34" s="28">
        <f t="shared" si="5"/>
        <v>37157</v>
      </c>
      <c r="N34" s="210">
        <v>38</v>
      </c>
      <c r="O34" s="210">
        <v>38</v>
      </c>
      <c r="P34" s="29">
        <f t="shared" si="20"/>
        <v>0</v>
      </c>
      <c r="Q34" s="213"/>
      <c r="R34" s="215">
        <f t="shared" si="6"/>
        <v>38</v>
      </c>
      <c r="S34" s="172"/>
      <c r="T34" s="172"/>
      <c r="U34" s="175"/>
      <c r="V34" s="30">
        <f t="shared" si="7"/>
        <v>37157</v>
      </c>
      <c r="W34" s="177"/>
      <c r="X34" s="221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372"/>
      <c r="AJ34" s="221"/>
      <c r="AK34" s="177"/>
      <c r="AL34" s="221"/>
      <c r="AM34" s="177"/>
      <c r="AN34" s="221"/>
      <c r="AO34" s="177"/>
      <c r="AP34" s="178"/>
      <c r="AQ34" s="177"/>
      <c r="AR34" s="178"/>
      <c r="AS34" s="177"/>
      <c r="AT34" s="178"/>
      <c r="AU34" s="372"/>
      <c r="AV34" s="373"/>
      <c r="AW34" s="88"/>
      <c r="AX34" s="32"/>
      <c r="AY34" s="31"/>
      <c r="AZ34" s="32"/>
      <c r="BA34" s="177"/>
      <c r="BB34" s="178"/>
      <c r="BC34" s="177"/>
      <c r="BD34" s="178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31"/>
        <v>0</v>
      </c>
      <c r="CZ34" s="34">
        <f t="shared" si="21"/>
        <v>0</v>
      </c>
      <c r="DA34" s="188">
        <f t="shared" si="9"/>
        <v>0</v>
      </c>
      <c r="DB34" s="189">
        <f t="shared" si="10"/>
        <v>37157</v>
      </c>
      <c r="DC34" s="188">
        <f t="shared" si="32"/>
        <v>0</v>
      </c>
      <c r="DD34" s="190">
        <v>16</v>
      </c>
      <c r="DE34" s="188">
        <v>1</v>
      </c>
      <c r="DF34" s="170">
        <f t="shared" si="33"/>
        <v>0</v>
      </c>
      <c r="DG34" s="170">
        <f t="shared" si="13"/>
        <v>0</v>
      </c>
      <c r="DH34" s="170">
        <f t="shared" si="34"/>
        <v>0</v>
      </c>
      <c r="DI34" s="170">
        <f t="shared" si="15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6"/>
        <v>0</v>
      </c>
    </row>
    <row r="35" spans="1:124" ht="18.75" x14ac:dyDescent="0.3">
      <c r="A35" s="80">
        <f>'NYISO A'!A35</f>
        <v>37158</v>
      </c>
      <c r="B35" s="114">
        <f>+[4]NYZoneG!$L26/16</f>
        <v>2.499999990010493E-13</v>
      </c>
      <c r="C35" s="35">
        <f t="shared" si="17"/>
        <v>0</v>
      </c>
      <c r="D35" s="36">
        <f t="shared" si="18"/>
        <v>0</v>
      </c>
      <c r="E35" s="23">
        <f t="shared" si="19"/>
        <v>2.499999990010493E-13</v>
      </c>
      <c r="F35" s="24">
        <f>[4]NYZoneG!$C26</f>
        <v>40.5</v>
      </c>
      <c r="G35" s="38">
        <f t="shared" si="0"/>
        <v>0</v>
      </c>
      <c r="H35" s="39">
        <f t="shared" si="1"/>
        <v>40.5</v>
      </c>
      <c r="I35" s="36">
        <f t="shared" si="2"/>
        <v>0</v>
      </c>
      <c r="J35" s="27">
        <f t="shared" si="22"/>
        <v>0</v>
      </c>
      <c r="K35" s="40">
        <f t="shared" si="4"/>
        <v>0</v>
      </c>
      <c r="L35" s="172"/>
      <c r="M35" s="28">
        <f t="shared" si="5"/>
        <v>37158</v>
      </c>
      <c r="N35" s="210">
        <v>40.5</v>
      </c>
      <c r="O35" s="210">
        <v>40.5</v>
      </c>
      <c r="P35" s="29">
        <f t="shared" si="20"/>
        <v>0</v>
      </c>
      <c r="Q35" s="213"/>
      <c r="R35" s="215">
        <f t="shared" si="6"/>
        <v>40.5</v>
      </c>
      <c r="S35" s="172"/>
      <c r="T35" s="172"/>
      <c r="U35" s="175"/>
      <c r="V35" s="30">
        <f t="shared" si="7"/>
        <v>37158</v>
      </c>
      <c r="W35" s="177"/>
      <c r="X35" s="221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221"/>
      <c r="AM35" s="177"/>
      <c r="AN35" s="221"/>
      <c r="AO35" s="177"/>
      <c r="AP35" s="178"/>
      <c r="AQ35" s="177"/>
      <c r="AR35" s="178"/>
      <c r="AS35" s="177"/>
      <c r="AT35" s="178"/>
      <c r="AU35" s="177"/>
      <c r="AV35" s="178"/>
      <c r="AW35" s="88"/>
      <c r="AX35" s="32"/>
      <c r="AY35" s="31"/>
      <c r="AZ35" s="32"/>
      <c r="BA35" s="177"/>
      <c r="BB35" s="178"/>
      <c r="BC35" s="177"/>
      <c r="BD35" s="178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31"/>
        <v>0</v>
      </c>
      <c r="CZ35" s="34">
        <f t="shared" si="21"/>
        <v>0</v>
      </c>
      <c r="DA35" s="188">
        <f t="shared" si="9"/>
        <v>0</v>
      </c>
      <c r="DB35" s="189">
        <f t="shared" si="10"/>
        <v>37158</v>
      </c>
      <c r="DC35" s="188">
        <f t="shared" si="32"/>
        <v>0</v>
      </c>
      <c r="DD35" s="190">
        <v>16</v>
      </c>
      <c r="DE35" s="188">
        <v>1</v>
      </c>
      <c r="DF35" s="170">
        <f t="shared" si="33"/>
        <v>0</v>
      </c>
      <c r="DG35" s="170">
        <f t="shared" si="13"/>
        <v>0</v>
      </c>
      <c r="DH35" s="170">
        <f t="shared" si="34"/>
        <v>0</v>
      </c>
      <c r="DI35" s="170">
        <f t="shared" si="15"/>
        <v>0</v>
      </c>
      <c r="DK35" s="189">
        <v>37158</v>
      </c>
      <c r="DL35" s="167">
        <v>-49.999999999999751</v>
      </c>
      <c r="DM35" s="167">
        <f>[2]NEPOOL!$L22</f>
        <v>0</v>
      </c>
      <c r="DN35" s="167">
        <f t="shared" si="16"/>
        <v>1</v>
      </c>
    </row>
    <row r="36" spans="1:124" ht="18.75" x14ac:dyDescent="0.3">
      <c r="A36" s="80">
        <f>'NYISO A'!A36</f>
        <v>37159</v>
      </c>
      <c r="B36" s="114">
        <f>+[4]NYZoneG!$L27/16</f>
        <v>2.499999990010493E-13</v>
      </c>
      <c r="C36" s="22">
        <f t="shared" si="17"/>
        <v>0</v>
      </c>
      <c r="D36" s="21">
        <f t="shared" si="18"/>
        <v>0</v>
      </c>
      <c r="E36" s="23">
        <f t="shared" si="19"/>
        <v>2.499999990010493E-13</v>
      </c>
      <c r="F36" s="24">
        <f>[4]NYZoneG!$C27</f>
        <v>40.5</v>
      </c>
      <c r="G36" s="24">
        <f t="shared" si="0"/>
        <v>0</v>
      </c>
      <c r="H36" s="25">
        <f t="shared" si="1"/>
        <v>40.5</v>
      </c>
      <c r="I36" s="26">
        <f t="shared" si="2"/>
        <v>0</v>
      </c>
      <c r="J36" s="27">
        <f t="shared" si="22"/>
        <v>0</v>
      </c>
      <c r="K36" s="27">
        <f t="shared" si="4"/>
        <v>0</v>
      </c>
      <c r="L36" s="172"/>
      <c r="M36" s="28">
        <f t="shared" si="5"/>
        <v>37159</v>
      </c>
      <c r="N36" s="210">
        <v>40.5</v>
      </c>
      <c r="O36" s="210">
        <v>40.5</v>
      </c>
      <c r="P36" s="29">
        <f t="shared" si="20"/>
        <v>0</v>
      </c>
      <c r="Q36" s="213"/>
      <c r="R36" s="215">
        <f t="shared" si="6"/>
        <v>40.5</v>
      </c>
      <c r="S36" s="172"/>
      <c r="T36" s="172"/>
      <c r="U36" s="175"/>
      <c r="V36" s="30">
        <f t="shared" si="7"/>
        <v>37159</v>
      </c>
      <c r="W36" s="177"/>
      <c r="X36" s="221"/>
      <c r="Y36" s="177"/>
      <c r="Z36" s="221"/>
      <c r="AA36" s="177"/>
      <c r="AB36" s="178"/>
      <c r="AC36" s="177"/>
      <c r="AD36" s="221"/>
      <c r="AE36" s="177"/>
      <c r="AF36" s="221"/>
      <c r="AG36" s="177"/>
      <c r="AH36" s="221"/>
      <c r="AI36" s="177"/>
      <c r="AJ36" s="178"/>
      <c r="AK36" s="177"/>
      <c r="AL36" s="221"/>
      <c r="AM36" s="177"/>
      <c r="AN36" s="221"/>
      <c r="AO36" s="177"/>
      <c r="AP36" s="178"/>
      <c r="AQ36" s="177"/>
      <c r="AR36" s="178"/>
      <c r="AS36" s="177"/>
      <c r="AT36" s="178"/>
      <c r="AU36" s="177"/>
      <c r="AV36" s="178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27"/>
        <v>0</v>
      </c>
      <c r="CZ36" s="34">
        <f t="shared" si="21"/>
        <v>0</v>
      </c>
      <c r="DA36" s="188">
        <f t="shared" si="9"/>
        <v>0</v>
      </c>
      <c r="DB36" s="189">
        <f t="shared" si="10"/>
        <v>37159</v>
      </c>
      <c r="DC36" s="188">
        <f t="shared" si="28"/>
        <v>0</v>
      </c>
      <c r="DD36" s="190">
        <v>16</v>
      </c>
      <c r="DE36" s="188">
        <v>1</v>
      </c>
      <c r="DF36" s="170">
        <f t="shared" si="29"/>
        <v>0</v>
      </c>
      <c r="DG36" s="170">
        <f t="shared" si="13"/>
        <v>0</v>
      </c>
      <c r="DH36" s="170">
        <f t="shared" si="30"/>
        <v>0</v>
      </c>
      <c r="DI36" s="170">
        <f t="shared" si="15"/>
        <v>0</v>
      </c>
      <c r="DK36" s="189">
        <v>37159</v>
      </c>
      <c r="DL36" s="167">
        <v>-49.999999999999751</v>
      </c>
      <c r="DM36" s="167">
        <f>[2]NEPOOL!$L23</f>
        <v>-1189.7</v>
      </c>
      <c r="DN36" s="167">
        <f t="shared" si="16"/>
        <v>1</v>
      </c>
    </row>
    <row r="37" spans="1:124" ht="18.75" x14ac:dyDescent="0.3">
      <c r="A37" s="80">
        <f>'NYISO A'!A37</f>
        <v>37160</v>
      </c>
      <c r="B37" s="114">
        <f>+[4]NYZoneG!$L28/16</f>
        <v>2.499999990010493E-13</v>
      </c>
      <c r="C37" s="35">
        <f t="shared" si="17"/>
        <v>0</v>
      </c>
      <c r="D37" s="36">
        <f t="shared" si="18"/>
        <v>0</v>
      </c>
      <c r="E37" s="23">
        <f t="shared" si="19"/>
        <v>2.499999990010493E-13</v>
      </c>
      <c r="F37" s="24">
        <f>[4]NYZoneG!$C28</f>
        <v>40.5</v>
      </c>
      <c r="G37" s="38">
        <f t="shared" si="0"/>
        <v>0</v>
      </c>
      <c r="H37" s="39">
        <f t="shared" si="1"/>
        <v>40.5</v>
      </c>
      <c r="I37" s="36">
        <f t="shared" si="2"/>
        <v>0</v>
      </c>
      <c r="J37" s="27">
        <f t="shared" si="22"/>
        <v>0</v>
      </c>
      <c r="K37" s="40">
        <f t="shared" si="4"/>
        <v>0</v>
      </c>
      <c r="L37" s="172"/>
      <c r="M37" s="28">
        <f t="shared" si="5"/>
        <v>37160</v>
      </c>
      <c r="N37" s="210">
        <v>40.5</v>
      </c>
      <c r="O37" s="210">
        <v>40.5</v>
      </c>
      <c r="P37" s="29">
        <f t="shared" si="20"/>
        <v>0</v>
      </c>
      <c r="Q37" s="213"/>
      <c r="R37" s="215">
        <f t="shared" si="6"/>
        <v>40.5</v>
      </c>
      <c r="S37" s="172"/>
      <c r="T37" s="172"/>
      <c r="U37" s="175"/>
      <c r="V37" s="30">
        <f t="shared" si="7"/>
        <v>37160</v>
      </c>
      <c r="W37" s="177"/>
      <c r="X37" s="221"/>
      <c r="Y37" s="177"/>
      <c r="Z37" s="178"/>
      <c r="AA37" s="177"/>
      <c r="AB37" s="178"/>
      <c r="AC37" s="177"/>
      <c r="AD37" s="221"/>
      <c r="AE37" s="177"/>
      <c r="AF37" s="221"/>
      <c r="AG37" s="177"/>
      <c r="AH37" s="221"/>
      <c r="AI37" s="372"/>
      <c r="AJ37" s="221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177"/>
      <c r="AV37" s="178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7"/>
        <v>0</v>
      </c>
      <c r="CZ37" s="34">
        <f t="shared" si="21"/>
        <v>0</v>
      </c>
      <c r="DA37" s="188">
        <f t="shared" si="9"/>
        <v>0</v>
      </c>
      <c r="DB37" s="189">
        <f t="shared" si="10"/>
        <v>37160</v>
      </c>
      <c r="DC37" s="188">
        <f t="shared" si="28"/>
        <v>0</v>
      </c>
      <c r="DD37" s="190">
        <v>16</v>
      </c>
      <c r="DE37" s="188">
        <v>1</v>
      </c>
      <c r="DF37" s="170">
        <f t="shared" si="29"/>
        <v>0</v>
      </c>
      <c r="DG37" s="170">
        <f t="shared" si="13"/>
        <v>0</v>
      </c>
      <c r="DH37" s="170">
        <f t="shared" si="30"/>
        <v>0</v>
      </c>
      <c r="DI37" s="170">
        <f t="shared" si="15"/>
        <v>0</v>
      </c>
      <c r="DK37" s="189">
        <v>37160</v>
      </c>
      <c r="DL37" s="167">
        <v>-49.999999999999751</v>
      </c>
      <c r="DM37" s="167">
        <f>[2]NEPOOL!$L24</f>
        <v>-1189.7</v>
      </c>
      <c r="DN37" s="167">
        <f t="shared" si="16"/>
        <v>1</v>
      </c>
    </row>
    <row r="38" spans="1:124" ht="18.75" x14ac:dyDescent="0.3">
      <c r="A38" s="80">
        <f>'NYISO A'!A38</f>
        <v>37161</v>
      </c>
      <c r="B38" s="114">
        <f>+[4]NYZoneG!$L29/16</f>
        <v>2.499999990010493E-13</v>
      </c>
      <c r="C38" s="22">
        <f t="shared" si="17"/>
        <v>0</v>
      </c>
      <c r="D38" s="21">
        <f t="shared" si="18"/>
        <v>0</v>
      </c>
      <c r="E38" s="23">
        <f t="shared" si="19"/>
        <v>2.499999990010493E-13</v>
      </c>
      <c r="F38" s="24">
        <f>[4]NYZoneG!$C29</f>
        <v>40.5</v>
      </c>
      <c r="G38" s="24">
        <f t="shared" si="0"/>
        <v>0</v>
      </c>
      <c r="H38" s="25">
        <f t="shared" si="1"/>
        <v>40.5</v>
      </c>
      <c r="I38" s="26">
        <f t="shared" si="2"/>
        <v>0</v>
      </c>
      <c r="J38" s="27">
        <f t="shared" si="22"/>
        <v>0</v>
      </c>
      <c r="K38" s="27">
        <f t="shared" si="4"/>
        <v>0</v>
      </c>
      <c r="L38" s="172"/>
      <c r="M38" s="28">
        <f t="shared" si="5"/>
        <v>37161</v>
      </c>
      <c r="N38" s="210">
        <v>40.5</v>
      </c>
      <c r="O38" s="210">
        <v>40.5</v>
      </c>
      <c r="P38" s="29">
        <f t="shared" si="20"/>
        <v>0</v>
      </c>
      <c r="Q38" s="213"/>
      <c r="R38" s="215">
        <f t="shared" si="6"/>
        <v>40.5</v>
      </c>
      <c r="S38" s="172"/>
      <c r="T38" s="172"/>
      <c r="U38" s="175"/>
      <c r="V38" s="30">
        <f t="shared" si="7"/>
        <v>37161</v>
      </c>
      <c r="W38" s="177"/>
      <c r="X38" s="221"/>
      <c r="Y38" s="177"/>
      <c r="Z38" s="178"/>
      <c r="AA38" s="177"/>
      <c r="AB38" s="178"/>
      <c r="AC38" s="177"/>
      <c r="AD38" s="221"/>
      <c r="AE38" s="177"/>
      <c r="AF38" s="221"/>
      <c r="AG38" s="177"/>
      <c r="AH38" s="221"/>
      <c r="AI38" s="372"/>
      <c r="AJ38" s="221"/>
      <c r="AK38" s="177"/>
      <c r="AL38" s="178"/>
      <c r="AM38" s="177"/>
      <c r="AN38" s="178"/>
      <c r="AO38" s="177"/>
      <c r="AP38" s="178"/>
      <c r="AQ38" s="177"/>
      <c r="AR38" s="178"/>
      <c r="AS38" s="177"/>
      <c r="AT38" s="178"/>
      <c r="AU38" s="177"/>
      <c r="AV38" s="178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7"/>
        <v>0</v>
      </c>
      <c r="CZ38" s="34">
        <f t="shared" si="21"/>
        <v>0</v>
      </c>
      <c r="DA38" s="188">
        <f t="shared" si="9"/>
        <v>0</v>
      </c>
      <c r="DB38" s="189">
        <f t="shared" si="10"/>
        <v>37161</v>
      </c>
      <c r="DC38" s="188">
        <f t="shared" si="28"/>
        <v>0</v>
      </c>
      <c r="DD38" s="190">
        <v>16</v>
      </c>
      <c r="DE38" s="188">
        <v>1</v>
      </c>
      <c r="DF38" s="170">
        <f t="shared" si="29"/>
        <v>0</v>
      </c>
      <c r="DG38" s="170">
        <f t="shared" si="13"/>
        <v>0</v>
      </c>
      <c r="DH38" s="170">
        <f t="shared" si="30"/>
        <v>0</v>
      </c>
      <c r="DI38" s="170">
        <f t="shared" si="15"/>
        <v>0</v>
      </c>
      <c r="DK38" s="189">
        <v>37161</v>
      </c>
      <c r="DL38" s="167">
        <v>-49.999999999999751</v>
      </c>
      <c r="DM38" s="167">
        <f>[2]NEPOOL!$L25</f>
        <v>-1189.7</v>
      </c>
      <c r="DN38" s="167">
        <f t="shared" si="16"/>
        <v>1</v>
      </c>
    </row>
    <row r="39" spans="1:124" ht="18.75" x14ac:dyDescent="0.3">
      <c r="A39" s="80">
        <f>'NYISO A'!A39</f>
        <v>37162</v>
      </c>
      <c r="B39" s="114">
        <f>+[4]NYZoneG!$L30/16</f>
        <v>2.499999990010493E-13</v>
      </c>
      <c r="C39" s="35">
        <f t="shared" si="17"/>
        <v>0</v>
      </c>
      <c r="D39" s="36">
        <f t="shared" si="18"/>
        <v>0</v>
      </c>
      <c r="E39" s="23">
        <f t="shared" si="19"/>
        <v>2.499999990010493E-13</v>
      </c>
      <c r="F39" s="24">
        <f>[4]NYZoneG!$C30</f>
        <v>40.5</v>
      </c>
      <c r="G39" s="38">
        <f t="shared" si="0"/>
        <v>0</v>
      </c>
      <c r="H39" s="39">
        <f t="shared" si="1"/>
        <v>40.5</v>
      </c>
      <c r="I39" s="36">
        <f t="shared" si="2"/>
        <v>0</v>
      </c>
      <c r="J39" s="27">
        <f t="shared" si="22"/>
        <v>0</v>
      </c>
      <c r="K39" s="40">
        <f t="shared" si="4"/>
        <v>0</v>
      </c>
      <c r="L39" s="172"/>
      <c r="M39" s="28">
        <f t="shared" si="5"/>
        <v>37162</v>
      </c>
      <c r="N39" s="210">
        <v>40.5</v>
      </c>
      <c r="O39" s="210">
        <v>40.5</v>
      </c>
      <c r="P39" s="29">
        <f t="shared" si="20"/>
        <v>0</v>
      </c>
      <c r="Q39" s="213"/>
      <c r="R39" s="215">
        <f t="shared" si="6"/>
        <v>40.5</v>
      </c>
      <c r="S39" s="172"/>
      <c r="T39" s="172"/>
      <c r="U39" s="175"/>
      <c r="V39" s="30">
        <f t="shared" si="7"/>
        <v>37162</v>
      </c>
      <c r="W39" s="177"/>
      <c r="X39" s="221"/>
      <c r="Y39" s="177"/>
      <c r="Z39" s="178"/>
      <c r="AA39" s="177"/>
      <c r="AB39" s="178"/>
      <c r="AC39" s="177"/>
      <c r="AD39" s="221"/>
      <c r="AE39" s="177"/>
      <c r="AF39" s="221"/>
      <c r="AG39" s="177"/>
      <c r="AH39" s="221"/>
      <c r="AI39" s="372"/>
      <c r="AJ39" s="221"/>
      <c r="AK39" s="177"/>
      <c r="AL39" s="178"/>
      <c r="AM39" s="177"/>
      <c r="AN39" s="221"/>
      <c r="AO39" s="177"/>
      <c r="AP39" s="178"/>
      <c r="AQ39" s="177"/>
      <c r="AR39" s="178"/>
      <c r="AS39" s="177"/>
      <c r="AT39" s="178"/>
      <c r="AU39" s="177"/>
      <c r="AV39" s="178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7"/>
        <v>0</v>
      </c>
      <c r="CZ39" s="34">
        <f t="shared" si="21"/>
        <v>0</v>
      </c>
      <c r="DA39" s="188">
        <f t="shared" si="9"/>
        <v>0</v>
      </c>
      <c r="DB39" s="189">
        <f t="shared" si="10"/>
        <v>37162</v>
      </c>
      <c r="DC39" s="188">
        <f t="shared" si="28"/>
        <v>0</v>
      </c>
      <c r="DD39" s="190">
        <v>16</v>
      </c>
      <c r="DE39" s="188">
        <v>1</v>
      </c>
      <c r="DF39" s="170">
        <f t="shared" si="29"/>
        <v>0</v>
      </c>
      <c r="DG39" s="170">
        <f t="shared" si="13"/>
        <v>0</v>
      </c>
      <c r="DH39" s="170">
        <f t="shared" si="30"/>
        <v>0</v>
      </c>
      <c r="DI39" s="170">
        <f t="shared" si="15"/>
        <v>0</v>
      </c>
      <c r="DK39" s="189">
        <v>37162</v>
      </c>
      <c r="DL39" s="167">
        <v>-49.999999999999751</v>
      </c>
      <c r="DM39" s="167">
        <f>[2]NEPOOL!$L26</f>
        <v>-1189.7</v>
      </c>
      <c r="DN39" s="167">
        <f t="shared" si="16"/>
        <v>1</v>
      </c>
    </row>
    <row r="40" spans="1:124" ht="18.75" x14ac:dyDescent="0.3">
      <c r="A40" s="80">
        <f>'NYISO A'!A40</f>
        <v>37163</v>
      </c>
      <c r="B40" s="114">
        <f>+[4]NYZoneG!$L31/16</f>
        <v>0</v>
      </c>
      <c r="C40" s="22">
        <f t="shared" si="17"/>
        <v>0</v>
      </c>
      <c r="D40" s="21">
        <f t="shared" si="18"/>
        <v>0</v>
      </c>
      <c r="E40" s="23">
        <f t="shared" si="19"/>
        <v>0</v>
      </c>
      <c r="F40" s="24">
        <f>[4]NYZoneG!$C31</f>
        <v>38</v>
      </c>
      <c r="G40" s="24">
        <f t="shared" si="0"/>
        <v>0</v>
      </c>
      <c r="H40" s="25">
        <f t="shared" si="1"/>
        <v>38</v>
      </c>
      <c r="I40" s="26">
        <f t="shared" si="2"/>
        <v>0</v>
      </c>
      <c r="J40" s="27">
        <f t="shared" si="22"/>
        <v>0</v>
      </c>
      <c r="K40" s="27">
        <f t="shared" si="4"/>
        <v>0</v>
      </c>
      <c r="L40" s="172"/>
      <c r="M40" s="28">
        <f t="shared" si="5"/>
        <v>37163</v>
      </c>
      <c r="N40" s="210">
        <v>38</v>
      </c>
      <c r="O40" s="210">
        <v>38</v>
      </c>
      <c r="P40" s="29">
        <f t="shared" si="20"/>
        <v>0</v>
      </c>
      <c r="Q40" s="213"/>
      <c r="R40" s="215">
        <f t="shared" si="6"/>
        <v>38</v>
      </c>
      <c r="S40" s="172"/>
      <c r="T40" s="172"/>
      <c r="U40" s="175"/>
      <c r="V40" s="30">
        <f t="shared" si="7"/>
        <v>37163</v>
      </c>
      <c r="W40" s="177"/>
      <c r="X40" s="221"/>
      <c r="Y40" s="177"/>
      <c r="Z40" s="178"/>
      <c r="AA40" s="177"/>
      <c r="AB40" s="178"/>
      <c r="AC40" s="177"/>
      <c r="AD40" s="221"/>
      <c r="AE40" s="177"/>
      <c r="AF40" s="221"/>
      <c r="AG40" s="177"/>
      <c r="AH40" s="221"/>
      <c r="AI40" s="372"/>
      <c r="AJ40" s="221"/>
      <c r="AK40" s="177"/>
      <c r="AL40" s="178"/>
      <c r="AM40" s="177"/>
      <c r="AN40" s="221"/>
      <c r="AO40" s="177"/>
      <c r="AP40" s="178"/>
      <c r="AQ40" s="177"/>
      <c r="AR40" s="178"/>
      <c r="AS40" s="177"/>
      <c r="AT40" s="178"/>
      <c r="AU40" s="177"/>
      <c r="AV40" s="178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7"/>
        <v>0</v>
      </c>
      <c r="CZ40" s="34">
        <f t="shared" si="21"/>
        <v>0</v>
      </c>
      <c r="DA40" s="188">
        <f t="shared" si="9"/>
        <v>0</v>
      </c>
      <c r="DB40" s="189">
        <f t="shared" si="10"/>
        <v>37163</v>
      </c>
      <c r="DC40" s="188">
        <f t="shared" si="28"/>
        <v>0</v>
      </c>
      <c r="DD40" s="190">
        <v>16</v>
      </c>
      <c r="DE40" s="188">
        <v>1</v>
      </c>
      <c r="DF40" s="170">
        <f t="shared" si="29"/>
        <v>0</v>
      </c>
      <c r="DG40" s="170">
        <f t="shared" si="13"/>
        <v>0</v>
      </c>
      <c r="DH40" s="170">
        <f t="shared" si="30"/>
        <v>0</v>
      </c>
      <c r="DI40" s="170">
        <f t="shared" si="15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6"/>
        <v>0</v>
      </c>
    </row>
    <row r="41" spans="1:124" ht="18.75" x14ac:dyDescent="0.3">
      <c r="A41" s="80">
        <f>'NYISO A'!A41</f>
        <v>37164</v>
      </c>
      <c r="B41" s="114">
        <f>+[4]NYZoneG!$L32/16</f>
        <v>0</v>
      </c>
      <c r="C41" s="35">
        <f t="shared" si="17"/>
        <v>0</v>
      </c>
      <c r="D41" s="36">
        <f t="shared" si="18"/>
        <v>0</v>
      </c>
      <c r="E41" s="23">
        <f t="shared" si="19"/>
        <v>0</v>
      </c>
      <c r="F41" s="24">
        <f>[4]NYZoneG!$C32</f>
        <v>38</v>
      </c>
      <c r="G41" s="38">
        <f t="shared" si="0"/>
        <v>0</v>
      </c>
      <c r="H41" s="39">
        <f t="shared" si="1"/>
        <v>38</v>
      </c>
      <c r="I41" s="36">
        <f t="shared" si="2"/>
        <v>0</v>
      </c>
      <c r="J41" s="27">
        <f t="shared" si="22"/>
        <v>0</v>
      </c>
      <c r="K41" s="40">
        <f t="shared" si="4"/>
        <v>0</v>
      </c>
      <c r="L41" s="172"/>
      <c r="M41" s="28">
        <f t="shared" si="5"/>
        <v>37164</v>
      </c>
      <c r="N41" s="210">
        <v>38</v>
      </c>
      <c r="O41" s="210">
        <v>38</v>
      </c>
      <c r="P41" s="29">
        <f t="shared" si="20"/>
        <v>0</v>
      </c>
      <c r="Q41" s="213"/>
      <c r="R41" s="215">
        <f t="shared" si="6"/>
        <v>38</v>
      </c>
      <c r="S41" s="172"/>
      <c r="T41" s="172"/>
      <c r="U41" s="175"/>
      <c r="V41" s="30">
        <f t="shared" si="7"/>
        <v>37164</v>
      </c>
      <c r="W41" s="177"/>
      <c r="X41" s="221"/>
      <c r="Y41" s="177"/>
      <c r="Z41" s="178"/>
      <c r="AA41" s="177"/>
      <c r="AB41" s="178"/>
      <c r="AC41" s="177"/>
      <c r="AD41" s="221"/>
      <c r="AE41" s="177"/>
      <c r="AF41" s="221"/>
      <c r="AG41" s="177"/>
      <c r="AH41" s="221"/>
      <c r="AI41" s="372"/>
      <c r="AJ41" s="221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177"/>
      <c r="AV41" s="178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7"/>
        <v>0</v>
      </c>
      <c r="CZ41" s="34">
        <f t="shared" si="21"/>
        <v>0</v>
      </c>
      <c r="DA41" s="188">
        <f t="shared" si="9"/>
        <v>0</v>
      </c>
      <c r="DB41" s="189">
        <f t="shared" si="10"/>
        <v>37164</v>
      </c>
      <c r="DC41" s="188">
        <f t="shared" si="28"/>
        <v>0</v>
      </c>
      <c r="DD41" s="190">
        <v>16</v>
      </c>
      <c r="DE41" s="188">
        <v>1</v>
      </c>
      <c r="DF41" s="170">
        <f t="shared" si="29"/>
        <v>0</v>
      </c>
      <c r="DG41" s="170">
        <f t="shared" si="13"/>
        <v>0</v>
      </c>
      <c r="DH41" s="170">
        <f t="shared" si="30"/>
        <v>0</v>
      </c>
      <c r="DI41" s="170">
        <f t="shared" si="15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6"/>
        <v>0</v>
      </c>
    </row>
    <row r="42" spans="1:124" ht="18" customHeight="1" x14ac:dyDescent="0.3">
      <c r="A42" s="80">
        <f>'NYISO A'!A42</f>
        <v>37165</v>
      </c>
      <c r="B42" s="114">
        <f>+[4]NYZoneG!$L33/16</f>
        <v>-1142.265625</v>
      </c>
      <c r="C42" s="22">
        <f t="shared" si="17"/>
        <v>0</v>
      </c>
      <c r="D42" s="21">
        <f t="shared" si="18"/>
        <v>0</v>
      </c>
      <c r="E42" s="23">
        <f t="shared" si="19"/>
        <v>-1142.265625</v>
      </c>
      <c r="F42" s="24">
        <f>[4]NYZoneG!$C33</f>
        <v>41</v>
      </c>
      <c r="G42" s="24">
        <f t="shared" si="0"/>
        <v>0.5</v>
      </c>
      <c r="H42" s="25">
        <f t="shared" si="1"/>
        <v>41.5</v>
      </c>
      <c r="I42" s="26">
        <f t="shared" si="2"/>
        <v>-9138.125</v>
      </c>
      <c r="J42" s="27">
        <f t="shared" si="22"/>
        <v>0</v>
      </c>
      <c r="K42" s="27">
        <f t="shared" si="4"/>
        <v>-9138.125</v>
      </c>
      <c r="L42" s="172"/>
      <c r="M42" s="28">
        <f t="shared" si="5"/>
        <v>37165</v>
      </c>
      <c r="N42" s="210">
        <v>41.5</v>
      </c>
      <c r="O42" s="210">
        <v>41.5</v>
      </c>
      <c r="P42" s="29">
        <f t="shared" si="20"/>
        <v>0.5</v>
      </c>
      <c r="Q42" s="213"/>
      <c r="R42" s="215">
        <f t="shared" si="6"/>
        <v>41.5</v>
      </c>
      <c r="S42" s="172"/>
      <c r="T42" s="172"/>
      <c r="U42" s="175"/>
      <c r="V42" s="30">
        <f t="shared" si="7"/>
        <v>37165</v>
      </c>
      <c r="W42" s="177"/>
      <c r="X42" s="221"/>
      <c r="Y42" s="177"/>
      <c r="Z42" s="178"/>
      <c r="AA42" s="177"/>
      <c r="AB42" s="178"/>
      <c r="AC42" s="177"/>
      <c r="AD42" s="221"/>
      <c r="AE42" s="177"/>
      <c r="AF42" s="221"/>
      <c r="AG42" s="177"/>
      <c r="AH42" s="221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7"/>
        <v>0</v>
      </c>
      <c r="CZ42" s="34">
        <f t="shared" si="21"/>
        <v>0</v>
      </c>
      <c r="DA42" s="188">
        <f t="shared" si="9"/>
        <v>0</v>
      </c>
      <c r="DB42" s="189">
        <f t="shared" si="10"/>
        <v>37165</v>
      </c>
      <c r="DC42" s="188">
        <f t="shared" si="28"/>
        <v>0</v>
      </c>
      <c r="DD42" s="190">
        <v>16</v>
      </c>
      <c r="DE42" s="188">
        <v>1</v>
      </c>
      <c r="DF42" s="170">
        <f t="shared" si="29"/>
        <v>0</v>
      </c>
      <c r="DG42" s="170">
        <f t="shared" si="13"/>
        <v>0</v>
      </c>
      <c r="DH42" s="170">
        <f t="shared" si="30"/>
        <v>0</v>
      </c>
      <c r="DI42" s="170">
        <f t="shared" si="15"/>
        <v>0</v>
      </c>
      <c r="DK42" s="189">
        <v>37165</v>
      </c>
      <c r="DL42" s="167">
        <v>-2292.265625</v>
      </c>
      <c r="DM42" s="167">
        <f>[2]NEPOOL!$L29</f>
        <v>-1189.7</v>
      </c>
      <c r="DN42" s="167">
        <f t="shared" si="16"/>
        <v>1</v>
      </c>
      <c r="DS42" s="172"/>
      <c r="DT42" s="172"/>
    </row>
    <row r="43" spans="1:124" ht="19.5" thickBot="1" x14ac:dyDescent="0.35">
      <c r="A43" s="80">
        <f>'NYISO A'!A43</f>
        <v>37195</v>
      </c>
      <c r="B43" s="114">
        <f>+[4]NYZoneG!$L34</f>
        <v>0</v>
      </c>
      <c r="C43" s="35">
        <f>CY43*16</f>
        <v>0</v>
      </c>
      <c r="D43" s="36">
        <f t="shared" si="18"/>
        <v>0</v>
      </c>
      <c r="E43" s="37">
        <f t="shared" si="19"/>
        <v>0</v>
      </c>
      <c r="F43" s="24">
        <f>[4]NYZoneG!$C34</f>
        <v>41</v>
      </c>
      <c r="G43" s="38">
        <f t="shared" si="0"/>
        <v>-3</v>
      </c>
      <c r="H43" s="39">
        <f t="shared" si="1"/>
        <v>38</v>
      </c>
      <c r="I43" s="36">
        <f>B43*G43</f>
        <v>0</v>
      </c>
      <c r="J43" s="40">
        <f t="shared" si="22"/>
        <v>0</v>
      </c>
      <c r="K43" s="40">
        <f t="shared" si="4"/>
        <v>0</v>
      </c>
      <c r="L43" s="320"/>
      <c r="M43" s="28">
        <f t="shared" si="5"/>
        <v>37195</v>
      </c>
      <c r="N43" s="210">
        <v>38</v>
      </c>
      <c r="O43" s="210">
        <v>38</v>
      </c>
      <c r="P43" s="29">
        <f t="shared" si="20"/>
        <v>-3</v>
      </c>
      <c r="Q43" s="213"/>
      <c r="R43" s="215">
        <f t="shared" si="6"/>
        <v>38</v>
      </c>
      <c r="S43" s="172"/>
      <c r="T43" s="172"/>
      <c r="U43" s="175"/>
      <c r="V43" s="28">
        <f t="shared" si="7"/>
        <v>37195</v>
      </c>
      <c r="W43" s="177"/>
      <c r="X43" s="221"/>
      <c r="Y43" s="177"/>
      <c r="Z43" s="221"/>
      <c r="AA43" s="177"/>
      <c r="AB43" s="221"/>
      <c r="AC43" s="177"/>
      <c r="AD43" s="221"/>
      <c r="AE43" s="227"/>
      <c r="AF43" s="221"/>
      <c r="AG43" s="177"/>
      <c r="AH43" s="221"/>
      <c r="AI43" s="177"/>
      <c r="AJ43" s="178"/>
      <c r="AK43" s="227"/>
      <c r="AL43" s="228"/>
      <c r="AM43" s="177"/>
      <c r="AN43" s="228"/>
      <c r="AO43" s="227"/>
      <c r="AP43" s="228"/>
      <c r="AQ43" s="227"/>
      <c r="AR43" s="178"/>
      <c r="AS43" s="227"/>
      <c r="AT43" s="178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7"/>
        <v>0</v>
      </c>
      <c r="CZ43" s="236">
        <f t="shared" si="21"/>
        <v>0</v>
      </c>
      <c r="DA43" s="188">
        <f t="shared" si="9"/>
        <v>0</v>
      </c>
      <c r="DB43" s="189">
        <f t="shared" si="10"/>
        <v>37195</v>
      </c>
      <c r="DC43" s="188">
        <f t="shared" si="28"/>
        <v>0</v>
      </c>
      <c r="DD43" s="190">
        <f>16</f>
        <v>16</v>
      </c>
      <c r="DE43" s="188">
        <v>1</v>
      </c>
      <c r="DF43" s="170">
        <f t="shared" si="29"/>
        <v>0</v>
      </c>
      <c r="DG43" s="170">
        <f t="shared" si="13"/>
        <v>0</v>
      </c>
      <c r="DH43" s="170">
        <f t="shared" si="30"/>
        <v>0</v>
      </c>
      <c r="DI43" s="170">
        <f t="shared" si="15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7">
        <f>+[4]NYZoneG!$L35/16/DR44</f>
        <v>-49.52448962983631</v>
      </c>
      <c r="C44" s="120">
        <f t="shared" si="17"/>
        <v>0</v>
      </c>
      <c r="D44" s="115">
        <f t="shared" si="18"/>
        <v>0</v>
      </c>
      <c r="E44" s="116">
        <f t="shared" si="19"/>
        <v>-49.52448962983631</v>
      </c>
      <c r="F44" s="138">
        <f>[4]NYZoneG!$C35</f>
        <v>41</v>
      </c>
      <c r="G44" s="141">
        <f t="shared" si="0"/>
        <v>0.5</v>
      </c>
      <c r="H44" s="135">
        <f t="shared" si="1"/>
        <v>41.5</v>
      </c>
      <c r="I44" s="272">
        <f t="shared" ref="I44:I56" si="35">B44*G44*DD44*DR44</f>
        <v>-8320.1142578125</v>
      </c>
      <c r="J44" s="275">
        <f>(DH44+DI44)*$DR44</f>
        <v>0</v>
      </c>
      <c r="K44" s="272">
        <f t="shared" si="4"/>
        <v>-8320.1142578125</v>
      </c>
      <c r="L44" s="172"/>
      <c r="M44" s="130">
        <f t="shared" si="5"/>
        <v>37196</v>
      </c>
      <c r="N44" s="211">
        <v>41.5</v>
      </c>
      <c r="O44" s="211">
        <v>41.5</v>
      </c>
      <c r="P44" s="131">
        <f t="shared" ref="P44:P56" si="36">AVERAGE(N44:O44)-F44</f>
        <v>0.5</v>
      </c>
      <c r="Q44" s="216"/>
      <c r="R44" s="214">
        <f t="shared" si="6"/>
        <v>41.5</v>
      </c>
      <c r="S44" s="172"/>
      <c r="T44" s="172"/>
      <c r="U44" s="176"/>
      <c r="V44" s="238">
        <f t="shared" si="7"/>
        <v>37196</v>
      </c>
      <c r="W44" s="243"/>
      <c r="X44" s="243"/>
      <c r="Y44" s="243"/>
      <c r="Z44" s="244"/>
      <c r="AA44" s="243"/>
      <c r="AB44" s="244"/>
      <c r="AC44" s="243"/>
      <c r="AD44" s="244"/>
      <c r="AE44" s="243"/>
      <c r="AF44" s="244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7"/>
        <v>0</v>
      </c>
      <c r="CZ44" s="105">
        <f t="shared" si="21"/>
        <v>0</v>
      </c>
      <c r="DA44" s="188">
        <f t="shared" si="9"/>
        <v>0</v>
      </c>
      <c r="DB44" s="189">
        <f t="shared" si="10"/>
        <v>37196</v>
      </c>
      <c r="DC44" s="188">
        <f t="shared" si="28"/>
        <v>0</v>
      </c>
      <c r="DD44" s="190">
        <f>16</f>
        <v>16</v>
      </c>
      <c r="DE44" s="188">
        <v>1</v>
      </c>
      <c r="DF44" s="170">
        <f t="shared" si="29"/>
        <v>0</v>
      </c>
      <c r="DG44" s="170">
        <f t="shared" si="13"/>
        <v>0</v>
      </c>
      <c r="DH44" s="170">
        <f t="shared" si="30"/>
        <v>0</v>
      </c>
      <c r="DI44" s="170">
        <f t="shared" si="15"/>
        <v>0</v>
      </c>
      <c r="DK44" s="189">
        <v>37196</v>
      </c>
      <c r="DL44" s="167">
        <v>-99.52448962983631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+[4]NYZoneG!$L36/16/DR45</f>
        <v>-49.380010986328124</v>
      </c>
      <c r="C45" s="85">
        <f t="shared" ref="C45:C56" si="37">CY45</f>
        <v>-50</v>
      </c>
      <c r="D45" s="106">
        <f t="shared" si="18"/>
        <v>0</v>
      </c>
      <c r="E45" s="122">
        <f t="shared" ref="E45:E56" si="38">B45+C45+D45</f>
        <v>-99.380010986328131</v>
      </c>
      <c r="F45" s="139">
        <f>[4]NYZoneG!$C36</f>
        <v>41</v>
      </c>
      <c r="G45" s="142">
        <f t="shared" si="0"/>
        <v>0.5</v>
      </c>
      <c r="H45" s="136">
        <f t="shared" si="1"/>
        <v>41.5</v>
      </c>
      <c r="I45" s="270">
        <f t="shared" si="35"/>
        <v>-7900.8017578125</v>
      </c>
      <c r="J45" s="276">
        <f t="shared" ref="J45:J56" si="39">(DH45+DI45)*$DR45</f>
        <v>-9600.0000000000218</v>
      </c>
      <c r="K45" s="273">
        <f t="shared" si="4"/>
        <v>-17500.801757812522</v>
      </c>
      <c r="L45" s="172"/>
      <c r="M45" s="132">
        <f t="shared" si="5"/>
        <v>37226</v>
      </c>
      <c r="N45" s="210">
        <v>41.5</v>
      </c>
      <c r="O45" s="210">
        <v>41.5</v>
      </c>
      <c r="P45" s="29">
        <f t="shared" si="36"/>
        <v>0.5</v>
      </c>
      <c r="Q45" s="213"/>
      <c r="R45" s="215">
        <f t="shared" si="6"/>
        <v>41.5</v>
      </c>
      <c r="S45" s="172"/>
      <c r="T45" s="172"/>
      <c r="U45" s="176"/>
      <c r="V45" s="237">
        <f t="shared" si="7"/>
        <v>37226</v>
      </c>
      <c r="W45" s="245">
        <v>-50</v>
      </c>
      <c r="X45" s="246">
        <v>40.9</v>
      </c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7"/>
        <v>-50</v>
      </c>
      <c r="CZ45" s="34">
        <f t="shared" si="21"/>
        <v>40.9</v>
      </c>
      <c r="DB45" s="189">
        <f t="shared" si="10"/>
        <v>37226</v>
      </c>
      <c r="DC45" s="188">
        <f t="shared" si="28"/>
        <v>50</v>
      </c>
      <c r="DD45" s="190">
        <f>16</f>
        <v>16</v>
      </c>
      <c r="DE45" s="188">
        <v>1</v>
      </c>
      <c r="DF45" s="170">
        <f t="shared" ref="DF45:DF60" si="4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2045</v>
      </c>
      <c r="DG45" s="170">
        <f t="shared" ref="DG45:DG60" si="4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60" si="4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-480.00000000000114</v>
      </c>
      <c r="DI45" s="170">
        <f t="shared" ref="DI45:DI60" si="4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37165</v>
      </c>
      <c r="DL45" s="167">
        <v>49.552150560461953</v>
      </c>
      <c r="DN45" s="167">
        <v>1</v>
      </c>
      <c r="DR45" s="192">
        <f>+VLOOKUP(A45,'NET P&amp;L'!$AH$6:$AK$31,2)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+[4]NYZoneG!$L37/16/DR46</f>
        <v>-1.1363636318229514E-13</v>
      </c>
      <c r="C46" s="85">
        <f t="shared" si="37"/>
        <v>0</v>
      </c>
      <c r="D46" s="106">
        <f t="shared" si="18"/>
        <v>0</v>
      </c>
      <c r="E46" s="122">
        <f t="shared" si="38"/>
        <v>-1.1363636318229514E-13</v>
      </c>
      <c r="F46" s="139">
        <f>[4]NYZoneG!$C37</f>
        <v>47</v>
      </c>
      <c r="G46" s="142">
        <f t="shared" si="0"/>
        <v>-4.5</v>
      </c>
      <c r="H46" s="136">
        <f t="shared" si="1"/>
        <v>42.5</v>
      </c>
      <c r="I46" s="270">
        <f t="shared" si="35"/>
        <v>1.7999999928075552E-10</v>
      </c>
      <c r="J46" s="276">
        <f t="shared" si="39"/>
        <v>0</v>
      </c>
      <c r="K46" s="273">
        <f t="shared" si="4"/>
        <v>1.7999999928075552E-10</v>
      </c>
      <c r="L46" s="172"/>
      <c r="M46" s="132">
        <f t="shared" si="5"/>
        <v>37257</v>
      </c>
      <c r="N46" s="210">
        <v>42.5</v>
      </c>
      <c r="O46" s="210">
        <v>42.5</v>
      </c>
      <c r="P46" s="29">
        <f t="shared" si="36"/>
        <v>-4.5</v>
      </c>
      <c r="Q46" s="213"/>
      <c r="R46" s="215">
        <f t="shared" si="6"/>
        <v>42.5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ref="CY46:CY56" si="44">W46+Y46+AA46+AC46+AE46+AG46+AI46+AK46+AM46+AO46+AQ46+AS46+AU46+AW46+AY46+BA46+BC46+BE46+BG46+BI46+BK46+BM46+BO46+BQ46+BS46+BU46+BW46+BY46+CA46+CC46+CE46+CG46+CI46+CK46+CM46+CO46+CQ46+CS46+CU46+CW46</f>
        <v>0</v>
      </c>
      <c r="CZ46" s="34">
        <f t="shared" si="21"/>
        <v>0</v>
      </c>
      <c r="DB46" s="189">
        <f t="shared" si="10"/>
        <v>37257</v>
      </c>
      <c r="DC46" s="188">
        <f t="shared" ref="DC46:DC56" si="45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0</v>
      </c>
      <c r="DD46" s="190">
        <f>16</f>
        <v>16</v>
      </c>
      <c r="DE46" s="188">
        <v>1</v>
      </c>
      <c r="DF46" s="170">
        <f t="shared" si="40"/>
        <v>0</v>
      </c>
      <c r="DG46" s="170">
        <f t="shared" si="41"/>
        <v>0</v>
      </c>
      <c r="DH46" s="170">
        <f t="shared" si="42"/>
        <v>0</v>
      </c>
      <c r="DI46" s="170">
        <f t="shared" si="43"/>
        <v>0</v>
      </c>
      <c r="DK46" s="189">
        <v>37165</v>
      </c>
      <c r="DL46" s="167">
        <v>49.552150560461953</v>
      </c>
      <c r="DN46" s="167">
        <v>1</v>
      </c>
      <c r="DR46" s="192">
        <f>+VLOOKUP(A46,'NET P&amp;L'!$AH$6:$AK$31,2)</f>
        <v>22</v>
      </c>
    </row>
    <row r="47" spans="1:124" ht="18.75" x14ac:dyDescent="0.3">
      <c r="A47" s="145">
        <f>'NYISO A'!A47</f>
        <v>37288</v>
      </c>
      <c r="B47" s="118">
        <f>+[4]NYZoneG!$L38/16/DR47</f>
        <v>1.2499999950052465E-13</v>
      </c>
      <c r="C47" s="85">
        <f t="shared" si="37"/>
        <v>0</v>
      </c>
      <c r="D47" s="106">
        <f t="shared" si="18"/>
        <v>0</v>
      </c>
      <c r="E47" s="122">
        <f t="shared" si="38"/>
        <v>1.2499999950052465E-13</v>
      </c>
      <c r="F47" s="139">
        <f>[4]NYZoneG!$C38</f>
        <v>47</v>
      </c>
      <c r="G47" s="142">
        <f t="shared" si="0"/>
        <v>0.25</v>
      </c>
      <c r="H47" s="136">
        <f t="shared" si="1"/>
        <v>47.25</v>
      </c>
      <c r="I47" s="270">
        <f t="shared" si="35"/>
        <v>9.999999960041972E-12</v>
      </c>
      <c r="J47" s="276">
        <f t="shared" si="39"/>
        <v>0</v>
      </c>
      <c r="K47" s="273">
        <f t="shared" si="4"/>
        <v>9.999999960041972E-12</v>
      </c>
      <c r="L47" s="172"/>
      <c r="M47" s="132">
        <f t="shared" si="5"/>
        <v>37288</v>
      </c>
      <c r="N47" s="210">
        <v>47.25</v>
      </c>
      <c r="O47" s="210">
        <v>47.25</v>
      </c>
      <c r="P47" s="29">
        <f t="shared" si="36"/>
        <v>0.25</v>
      </c>
      <c r="Q47" s="213"/>
      <c r="R47" s="215">
        <f t="shared" si="6"/>
        <v>47.25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44"/>
        <v>0</v>
      </c>
      <c r="CZ47" s="34">
        <f t="shared" si="21"/>
        <v>0</v>
      </c>
      <c r="DB47" s="189">
        <f t="shared" si="10"/>
        <v>37288</v>
      </c>
      <c r="DC47" s="188">
        <f t="shared" si="45"/>
        <v>0</v>
      </c>
      <c r="DD47" s="190">
        <f>16</f>
        <v>16</v>
      </c>
      <c r="DE47" s="188">
        <v>1</v>
      </c>
      <c r="DF47" s="170">
        <f t="shared" si="40"/>
        <v>0</v>
      </c>
      <c r="DG47" s="170">
        <f t="shared" si="41"/>
        <v>0</v>
      </c>
      <c r="DH47" s="170">
        <f t="shared" si="42"/>
        <v>0</v>
      </c>
      <c r="DI47" s="170">
        <f t="shared" si="43"/>
        <v>0</v>
      </c>
      <c r="DK47" s="189">
        <v>37165</v>
      </c>
      <c r="DL47" s="167">
        <v>49.552150560461953</v>
      </c>
      <c r="DN47" s="167">
        <v>1</v>
      </c>
      <c r="DR47" s="192">
        <f>+VLOOKUP(A47,'NET P&amp;L'!$AH$6:$AK$31,2)</f>
        <v>20</v>
      </c>
    </row>
    <row r="48" spans="1:124" ht="18.75" x14ac:dyDescent="0.3">
      <c r="A48" s="145">
        <f>'NYISO A'!A48</f>
        <v>37316</v>
      </c>
      <c r="B48" s="118">
        <f>+[4]NYZoneG!$L39/16/DR48</f>
        <v>5.952380928596412E-14</v>
      </c>
      <c r="C48" s="85">
        <f t="shared" si="37"/>
        <v>0</v>
      </c>
      <c r="D48" s="106">
        <f t="shared" si="18"/>
        <v>0</v>
      </c>
      <c r="E48" s="122">
        <f t="shared" si="38"/>
        <v>5.952380928596412E-14</v>
      </c>
      <c r="F48" s="139">
        <f>[4]NYZoneG!$C39</f>
        <v>41.5</v>
      </c>
      <c r="G48" s="142">
        <f t="shared" si="0"/>
        <v>5.75</v>
      </c>
      <c r="H48" s="136">
        <f t="shared" si="1"/>
        <v>47.25</v>
      </c>
      <c r="I48" s="270">
        <f t="shared" si="35"/>
        <v>1.1499999954048268E-10</v>
      </c>
      <c r="J48" s="276">
        <f t="shared" si="39"/>
        <v>0</v>
      </c>
      <c r="K48" s="273">
        <f t="shared" si="4"/>
        <v>1.1499999954048268E-10</v>
      </c>
      <c r="L48" s="172"/>
      <c r="M48" s="132">
        <f t="shared" si="5"/>
        <v>37316</v>
      </c>
      <c r="N48" s="210">
        <v>47.25</v>
      </c>
      <c r="O48" s="210">
        <v>47.25</v>
      </c>
      <c r="P48" s="29">
        <f t="shared" si="36"/>
        <v>5.75</v>
      </c>
      <c r="Q48" s="213"/>
      <c r="R48" s="215">
        <f t="shared" si="6"/>
        <v>47.25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44"/>
        <v>0</v>
      </c>
      <c r="CZ48" s="34">
        <f t="shared" si="21"/>
        <v>0</v>
      </c>
      <c r="DB48" s="189">
        <f t="shared" si="10"/>
        <v>37316</v>
      </c>
      <c r="DC48" s="188">
        <f t="shared" si="45"/>
        <v>0</v>
      </c>
      <c r="DD48" s="190">
        <f>16</f>
        <v>16</v>
      </c>
      <c r="DE48" s="188">
        <v>1</v>
      </c>
      <c r="DF48" s="170">
        <f t="shared" si="40"/>
        <v>0</v>
      </c>
      <c r="DG48" s="170">
        <f t="shared" si="41"/>
        <v>0</v>
      </c>
      <c r="DH48" s="170">
        <f t="shared" si="42"/>
        <v>0</v>
      </c>
      <c r="DI48" s="170">
        <f t="shared" si="43"/>
        <v>0</v>
      </c>
      <c r="DK48" s="189">
        <v>37165</v>
      </c>
      <c r="DL48" s="167">
        <v>49.552150560461953</v>
      </c>
      <c r="DN48" s="167">
        <v>1</v>
      </c>
      <c r="DR48" s="192">
        <f>+VLOOKUP(A48,'NET P&amp;L'!$AH$6:$AK$31,2)</f>
        <v>21</v>
      </c>
    </row>
    <row r="49" spans="1:122" ht="18.75" x14ac:dyDescent="0.3">
      <c r="A49" s="145">
        <f>'NYISO A'!A49</f>
        <v>37347</v>
      </c>
      <c r="B49" s="118">
        <f>+[4]NYZoneG!$L40/16/DR49</f>
        <v>1.1363636318229514E-13</v>
      </c>
      <c r="C49" s="85">
        <f t="shared" si="37"/>
        <v>0</v>
      </c>
      <c r="D49" s="106">
        <f t="shared" si="18"/>
        <v>0</v>
      </c>
      <c r="E49" s="122">
        <f t="shared" si="38"/>
        <v>1.1363636318229514E-13</v>
      </c>
      <c r="F49" s="139">
        <f>[4]NYZoneG!$C40</f>
        <v>40.5</v>
      </c>
      <c r="G49" s="142">
        <f t="shared" si="0"/>
        <v>70.5</v>
      </c>
      <c r="H49" s="136">
        <f t="shared" si="1"/>
        <v>111</v>
      </c>
      <c r="I49" s="270">
        <f t="shared" si="35"/>
        <v>2.8199999887318361E-9</v>
      </c>
      <c r="J49" s="276">
        <f t="shared" si="39"/>
        <v>0</v>
      </c>
      <c r="K49" s="273">
        <f t="shared" si="4"/>
        <v>2.8199999887318361E-9</v>
      </c>
      <c r="L49" s="172"/>
      <c r="M49" s="132">
        <f t="shared" si="5"/>
        <v>37347</v>
      </c>
      <c r="N49" s="210">
        <v>111</v>
      </c>
      <c r="O49" s="210">
        <v>111</v>
      </c>
      <c r="P49" s="29">
        <f t="shared" si="36"/>
        <v>70.5</v>
      </c>
      <c r="Q49" s="213"/>
      <c r="R49" s="215">
        <f t="shared" si="6"/>
        <v>111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44"/>
        <v>0</v>
      </c>
      <c r="CZ49" s="34">
        <f t="shared" si="21"/>
        <v>0</v>
      </c>
      <c r="DB49" s="189">
        <f t="shared" si="10"/>
        <v>37347</v>
      </c>
      <c r="DC49" s="188">
        <f t="shared" si="45"/>
        <v>0</v>
      </c>
      <c r="DD49" s="190">
        <f>16</f>
        <v>16</v>
      </c>
      <c r="DE49" s="188">
        <v>1</v>
      </c>
      <c r="DF49" s="170">
        <f t="shared" si="40"/>
        <v>0</v>
      </c>
      <c r="DG49" s="170">
        <f t="shared" si="41"/>
        <v>0</v>
      </c>
      <c r="DH49" s="170">
        <f t="shared" si="42"/>
        <v>0</v>
      </c>
      <c r="DI49" s="170">
        <f t="shared" si="43"/>
        <v>0</v>
      </c>
      <c r="DK49" s="189">
        <v>37165</v>
      </c>
      <c r="DL49" s="167">
        <v>49.552150560461953</v>
      </c>
      <c r="DN49" s="167">
        <v>1</v>
      </c>
      <c r="DR49" s="192">
        <f>+VLOOKUP(A49,'NET P&amp;L'!$AH$6:$AK$31,2)</f>
        <v>22</v>
      </c>
    </row>
    <row r="50" spans="1:122" ht="18.75" x14ac:dyDescent="0.3">
      <c r="A50" s="145">
        <f>'NYISO A'!A50</f>
        <v>37377</v>
      </c>
      <c r="B50" s="118">
        <f>+[4]NYZoneG!$L41/16/DR50</f>
        <v>48.67932683771307</v>
      </c>
      <c r="C50" s="85">
        <f t="shared" si="37"/>
        <v>0</v>
      </c>
      <c r="D50" s="106">
        <f t="shared" si="18"/>
        <v>0</v>
      </c>
      <c r="E50" s="122">
        <f t="shared" si="38"/>
        <v>48.67932683771307</v>
      </c>
      <c r="F50" s="139">
        <f>[4]NYZoneG!$C41</f>
        <v>43</v>
      </c>
      <c r="G50" s="142">
        <f t="shared" si="0"/>
        <v>0</v>
      </c>
      <c r="H50" s="136">
        <f t="shared" si="1"/>
        <v>43</v>
      </c>
      <c r="I50" s="270">
        <f t="shared" si="35"/>
        <v>0</v>
      </c>
      <c r="J50" s="276">
        <f t="shared" si="39"/>
        <v>0</v>
      </c>
      <c r="K50" s="273">
        <f t="shared" si="4"/>
        <v>0</v>
      </c>
      <c r="L50" s="172"/>
      <c r="M50" s="132">
        <f t="shared" si="5"/>
        <v>37377</v>
      </c>
      <c r="N50" s="210">
        <v>43</v>
      </c>
      <c r="O50" s="210">
        <v>43</v>
      </c>
      <c r="P50" s="29">
        <f t="shared" si="36"/>
        <v>0</v>
      </c>
      <c r="Q50" s="213"/>
      <c r="R50" s="215">
        <f t="shared" si="6"/>
        <v>43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44"/>
        <v>0</v>
      </c>
      <c r="CZ50" s="34">
        <f t="shared" si="21"/>
        <v>0</v>
      </c>
      <c r="DB50" s="189">
        <f t="shared" si="10"/>
        <v>37377</v>
      </c>
      <c r="DC50" s="188">
        <f t="shared" si="45"/>
        <v>0</v>
      </c>
      <c r="DD50" s="190">
        <f>16</f>
        <v>16</v>
      </c>
      <c r="DE50" s="188">
        <v>1</v>
      </c>
      <c r="DF50" s="170">
        <f t="shared" si="40"/>
        <v>0</v>
      </c>
      <c r="DG50" s="170">
        <f t="shared" si="41"/>
        <v>0</v>
      </c>
      <c r="DH50" s="170">
        <f t="shared" si="42"/>
        <v>0</v>
      </c>
      <c r="DI50" s="170">
        <f t="shared" si="43"/>
        <v>0</v>
      </c>
      <c r="DK50" s="189">
        <v>37165</v>
      </c>
      <c r="DL50" s="167">
        <v>49.552150560461953</v>
      </c>
      <c r="DN50" s="167">
        <v>1</v>
      </c>
      <c r="DR50" s="192">
        <f>+VLOOKUP(A50,'NET P&amp;L'!$AH$6:$AK$31,2)</f>
        <v>22</v>
      </c>
    </row>
    <row r="51" spans="1:122" ht="18.75" x14ac:dyDescent="0.3">
      <c r="A51" s="145">
        <f>'NYISO A'!A51</f>
        <v>37408</v>
      </c>
      <c r="B51" s="118">
        <f>+[4]NYZoneG!$L42/16/DR51</f>
        <v>97.058081054687506</v>
      </c>
      <c r="C51" s="85">
        <f t="shared" si="37"/>
        <v>0</v>
      </c>
      <c r="D51" s="106">
        <f t="shared" si="18"/>
        <v>0</v>
      </c>
      <c r="E51" s="122">
        <f t="shared" si="38"/>
        <v>97.058081054687506</v>
      </c>
      <c r="F51" s="139">
        <f>[4]NYZoneG!$C42</f>
        <v>52</v>
      </c>
      <c r="G51" s="142">
        <f t="shared" si="0"/>
        <v>-0.5</v>
      </c>
      <c r="H51" s="136">
        <f t="shared" si="1"/>
        <v>51.5</v>
      </c>
      <c r="I51" s="270">
        <f t="shared" si="35"/>
        <v>-15529.29296875</v>
      </c>
      <c r="J51" s="276">
        <f t="shared" si="39"/>
        <v>0</v>
      </c>
      <c r="K51" s="273">
        <f t="shared" si="4"/>
        <v>-15529.29296875</v>
      </c>
      <c r="L51" s="172"/>
      <c r="M51" s="132">
        <f t="shared" si="5"/>
        <v>37408</v>
      </c>
      <c r="N51" s="210">
        <v>51.5</v>
      </c>
      <c r="O51" s="210">
        <v>51.5</v>
      </c>
      <c r="P51" s="29">
        <f t="shared" si="36"/>
        <v>-0.5</v>
      </c>
      <c r="Q51" s="213"/>
      <c r="R51" s="215">
        <f t="shared" si="6"/>
        <v>51.5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44"/>
        <v>0</v>
      </c>
      <c r="CZ51" s="34">
        <f t="shared" si="21"/>
        <v>0</v>
      </c>
      <c r="DB51" s="189">
        <f t="shared" si="10"/>
        <v>37408</v>
      </c>
      <c r="DC51" s="188">
        <f t="shared" si="45"/>
        <v>0</v>
      </c>
      <c r="DD51" s="190">
        <f>16</f>
        <v>16</v>
      </c>
      <c r="DE51" s="188">
        <v>1</v>
      </c>
      <c r="DF51" s="170">
        <f t="shared" si="40"/>
        <v>0</v>
      </c>
      <c r="DG51" s="170">
        <f t="shared" si="41"/>
        <v>0</v>
      </c>
      <c r="DH51" s="170">
        <f t="shared" si="42"/>
        <v>0</v>
      </c>
      <c r="DI51" s="170">
        <f t="shared" si="43"/>
        <v>0</v>
      </c>
      <c r="DK51" s="189">
        <v>37165</v>
      </c>
      <c r="DL51" s="167">
        <v>49.552150560461953</v>
      </c>
      <c r="DN51" s="167">
        <v>1</v>
      </c>
      <c r="DR51" s="192">
        <f>+VLOOKUP(A51,'NET P&amp;L'!$AH$6:$AK$31,2)</f>
        <v>20</v>
      </c>
    </row>
    <row r="52" spans="1:122" ht="18.75" x14ac:dyDescent="0.3">
      <c r="A52" s="145">
        <f>'NYISO A'!A52</f>
        <v>37438</v>
      </c>
      <c r="B52" s="118">
        <f>+[4]NYZoneG!$L43/16/DR52</f>
        <v>-48.378856312144883</v>
      </c>
      <c r="C52" s="85">
        <f t="shared" si="37"/>
        <v>0</v>
      </c>
      <c r="D52" s="106">
        <f t="shared" si="18"/>
        <v>0</v>
      </c>
      <c r="E52" s="122">
        <f t="shared" si="38"/>
        <v>-48.378856312144883</v>
      </c>
      <c r="F52" s="139">
        <f>[4]NYZoneG!$C43</f>
        <v>74</v>
      </c>
      <c r="G52" s="142">
        <f t="shared" si="0"/>
        <v>0</v>
      </c>
      <c r="H52" s="136">
        <f t="shared" si="1"/>
        <v>74</v>
      </c>
      <c r="I52" s="270">
        <f t="shared" si="35"/>
        <v>0</v>
      </c>
      <c r="J52" s="276">
        <f t="shared" si="39"/>
        <v>0</v>
      </c>
      <c r="K52" s="273">
        <f t="shared" si="4"/>
        <v>0</v>
      </c>
      <c r="L52" s="172"/>
      <c r="M52" s="132">
        <f t="shared" si="5"/>
        <v>37438</v>
      </c>
      <c r="N52" s="210">
        <v>74</v>
      </c>
      <c r="O52" s="210">
        <v>74</v>
      </c>
      <c r="P52" s="29">
        <f t="shared" si="36"/>
        <v>0</v>
      </c>
      <c r="Q52" s="213"/>
      <c r="R52" s="215">
        <f t="shared" si="6"/>
        <v>74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44"/>
        <v>0</v>
      </c>
      <c r="CZ52" s="34">
        <f t="shared" si="21"/>
        <v>0</v>
      </c>
      <c r="DB52" s="189">
        <f t="shared" si="10"/>
        <v>37438</v>
      </c>
      <c r="DC52" s="188">
        <f t="shared" si="45"/>
        <v>0</v>
      </c>
      <c r="DD52" s="190">
        <f>16</f>
        <v>16</v>
      </c>
      <c r="DE52" s="188">
        <v>1</v>
      </c>
      <c r="DF52" s="170">
        <f t="shared" si="40"/>
        <v>0</v>
      </c>
      <c r="DG52" s="170">
        <f t="shared" si="41"/>
        <v>0</v>
      </c>
      <c r="DH52" s="170">
        <f t="shared" si="42"/>
        <v>0</v>
      </c>
      <c r="DI52" s="170">
        <f t="shared" si="43"/>
        <v>0</v>
      </c>
      <c r="DK52" s="189">
        <v>37165</v>
      </c>
      <c r="DL52" s="167">
        <v>49.552150560461953</v>
      </c>
      <c r="DN52" s="167">
        <v>1</v>
      </c>
      <c r="DR52" s="192">
        <f>+VLOOKUP(A52,'NET P&amp;L'!$AH$6:$AK$31,2)</f>
        <v>22</v>
      </c>
    </row>
    <row r="53" spans="1:122" ht="18.75" x14ac:dyDescent="0.3">
      <c r="A53" s="145">
        <f>'NYISO A'!A53</f>
        <v>37469</v>
      </c>
      <c r="B53" s="118">
        <f>+[4]NYZoneG!$L44/16/DR53</f>
        <v>-48.211231578480117</v>
      </c>
      <c r="C53" s="85">
        <f t="shared" si="37"/>
        <v>0</v>
      </c>
      <c r="D53" s="106">
        <f t="shared" si="18"/>
        <v>0</v>
      </c>
      <c r="E53" s="122">
        <f t="shared" si="38"/>
        <v>-48.211231578480117</v>
      </c>
      <c r="F53" s="139">
        <f>[4]NYZoneG!$C44</f>
        <v>74</v>
      </c>
      <c r="G53" s="142">
        <f t="shared" si="0"/>
        <v>0</v>
      </c>
      <c r="H53" s="136">
        <f t="shared" si="1"/>
        <v>74</v>
      </c>
      <c r="I53" s="270">
        <f t="shared" si="35"/>
        <v>0</v>
      </c>
      <c r="J53" s="276">
        <f t="shared" si="39"/>
        <v>0</v>
      </c>
      <c r="K53" s="273">
        <f t="shared" si="4"/>
        <v>0</v>
      </c>
      <c r="L53" s="172"/>
      <c r="M53" s="132">
        <f t="shared" si="5"/>
        <v>37469</v>
      </c>
      <c r="N53" s="210">
        <v>74</v>
      </c>
      <c r="O53" s="210">
        <v>74</v>
      </c>
      <c r="P53" s="29">
        <f t="shared" si="36"/>
        <v>0</v>
      </c>
      <c r="Q53" s="213"/>
      <c r="R53" s="215">
        <f t="shared" si="6"/>
        <v>74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44"/>
        <v>0</v>
      </c>
      <c r="CZ53" s="34">
        <f t="shared" si="21"/>
        <v>0</v>
      </c>
      <c r="DB53" s="189">
        <f t="shared" si="10"/>
        <v>37469</v>
      </c>
      <c r="DC53" s="188">
        <f t="shared" si="45"/>
        <v>0</v>
      </c>
      <c r="DD53" s="190">
        <f>16</f>
        <v>16</v>
      </c>
      <c r="DE53" s="188">
        <v>1</v>
      </c>
      <c r="DF53" s="170">
        <f t="shared" si="40"/>
        <v>0</v>
      </c>
      <c r="DG53" s="170">
        <f t="shared" si="41"/>
        <v>0</v>
      </c>
      <c r="DH53" s="170">
        <f t="shared" si="42"/>
        <v>0</v>
      </c>
      <c r="DI53" s="170">
        <f t="shared" si="43"/>
        <v>0</v>
      </c>
      <c r="DK53" s="189">
        <v>37165</v>
      </c>
      <c r="DL53" s="167">
        <v>49.552150560461953</v>
      </c>
      <c r="DN53" s="167">
        <v>1</v>
      </c>
      <c r="DR53" s="192">
        <f>+VLOOKUP(A53,'NET P&amp;L'!$AH$6:$AK$31,2)</f>
        <v>22</v>
      </c>
    </row>
    <row r="54" spans="1:122" ht="18.75" x14ac:dyDescent="0.3">
      <c r="A54" s="145">
        <f>'NYISO A'!A54</f>
        <v>37500</v>
      </c>
      <c r="B54" s="118">
        <f>+[4]NYZoneG!$L45/16/DR54</f>
        <v>6.2499999750262325E-14</v>
      </c>
      <c r="C54" s="85">
        <f t="shared" si="37"/>
        <v>0</v>
      </c>
      <c r="D54" s="106">
        <f t="shared" si="18"/>
        <v>0</v>
      </c>
      <c r="E54" s="122">
        <f t="shared" si="38"/>
        <v>6.2499999750262325E-14</v>
      </c>
      <c r="F54" s="139">
        <f>[4]NYZoneG!$C45</f>
        <v>40.75</v>
      </c>
      <c r="G54" s="142">
        <f t="shared" si="0"/>
        <v>30.25</v>
      </c>
      <c r="H54" s="136">
        <f t="shared" si="1"/>
        <v>71</v>
      </c>
      <c r="I54" s="270">
        <f t="shared" si="35"/>
        <v>6.0499999758253931E-10</v>
      </c>
      <c r="J54" s="276">
        <f t="shared" si="39"/>
        <v>0</v>
      </c>
      <c r="K54" s="273">
        <f t="shared" si="4"/>
        <v>6.0499999758253931E-10</v>
      </c>
      <c r="L54" s="172"/>
      <c r="M54" s="132">
        <f t="shared" si="5"/>
        <v>37500</v>
      </c>
      <c r="N54" s="210">
        <v>71</v>
      </c>
      <c r="O54" s="210">
        <v>71</v>
      </c>
      <c r="P54" s="29">
        <f t="shared" si="36"/>
        <v>30.25</v>
      </c>
      <c r="Q54" s="213"/>
      <c r="R54" s="215">
        <f t="shared" si="6"/>
        <v>71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44"/>
        <v>0</v>
      </c>
      <c r="CZ54" s="34">
        <f t="shared" si="21"/>
        <v>0</v>
      </c>
      <c r="DB54" s="189">
        <f t="shared" si="10"/>
        <v>37500</v>
      </c>
      <c r="DC54" s="188">
        <f t="shared" si="45"/>
        <v>0</v>
      </c>
      <c r="DD54" s="190">
        <f>16</f>
        <v>16</v>
      </c>
      <c r="DE54" s="188">
        <v>1</v>
      </c>
      <c r="DF54" s="170">
        <f t="shared" si="40"/>
        <v>0</v>
      </c>
      <c r="DG54" s="170">
        <f t="shared" si="41"/>
        <v>0</v>
      </c>
      <c r="DH54" s="170">
        <f t="shared" si="42"/>
        <v>0</v>
      </c>
      <c r="DI54" s="170">
        <f t="shared" si="43"/>
        <v>0</v>
      </c>
      <c r="DK54" s="189">
        <v>37165</v>
      </c>
      <c r="DL54" s="167">
        <v>49.552150560461953</v>
      </c>
      <c r="DN54" s="167">
        <v>1</v>
      </c>
      <c r="DR54" s="192">
        <f>+VLOOKUP(A54,'NET P&amp;L'!$AH$6:$AK$31,2)</f>
        <v>20</v>
      </c>
    </row>
    <row r="55" spans="1:122" ht="18.75" x14ac:dyDescent="0.3">
      <c r="A55" s="145">
        <f>'NYISO A'!A55</f>
        <v>37530</v>
      </c>
      <c r="B55" s="118">
        <f>+[4]NYZoneG!$L46/16/DR55</f>
        <v>-47.896786897078805</v>
      </c>
      <c r="C55" s="85">
        <f t="shared" si="37"/>
        <v>0</v>
      </c>
      <c r="D55" s="106">
        <f t="shared" si="18"/>
        <v>0</v>
      </c>
      <c r="E55" s="122">
        <f t="shared" si="38"/>
        <v>-47.896786897078805</v>
      </c>
      <c r="F55" s="139">
        <f>[4]NYZoneG!$C46</f>
        <v>40.75</v>
      </c>
      <c r="G55" s="142">
        <f t="shared" si="0"/>
        <v>1.5</v>
      </c>
      <c r="H55" s="136">
        <f t="shared" si="1"/>
        <v>42.25</v>
      </c>
      <c r="I55" s="270">
        <f t="shared" si="35"/>
        <v>-26439.0263671875</v>
      </c>
      <c r="J55" s="276">
        <f t="shared" si="39"/>
        <v>0</v>
      </c>
      <c r="K55" s="273">
        <f t="shared" si="4"/>
        <v>-26439.0263671875</v>
      </c>
      <c r="L55" s="172"/>
      <c r="M55" s="132">
        <f t="shared" si="5"/>
        <v>37530</v>
      </c>
      <c r="N55" s="210">
        <v>42.25</v>
      </c>
      <c r="O55" s="210">
        <v>42.25</v>
      </c>
      <c r="P55" s="29">
        <f t="shared" si="36"/>
        <v>1.5</v>
      </c>
      <c r="Q55" s="213"/>
      <c r="R55" s="215">
        <f t="shared" si="6"/>
        <v>42.25</v>
      </c>
      <c r="S55" s="172"/>
      <c r="T55" s="172"/>
      <c r="U55" s="176"/>
      <c r="V55" s="237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44"/>
        <v>0</v>
      </c>
      <c r="CZ55" s="34">
        <f t="shared" si="21"/>
        <v>0</v>
      </c>
      <c r="DB55" s="189">
        <f t="shared" si="10"/>
        <v>37530</v>
      </c>
      <c r="DC55" s="188">
        <f t="shared" si="45"/>
        <v>0</v>
      </c>
      <c r="DD55" s="190">
        <f>16</f>
        <v>16</v>
      </c>
      <c r="DE55" s="188">
        <v>1</v>
      </c>
      <c r="DF55" s="170">
        <f t="shared" si="40"/>
        <v>0</v>
      </c>
      <c r="DG55" s="170">
        <f t="shared" si="41"/>
        <v>0</v>
      </c>
      <c r="DH55" s="170">
        <f t="shared" si="42"/>
        <v>0</v>
      </c>
      <c r="DI55" s="170">
        <f t="shared" si="43"/>
        <v>0</v>
      </c>
      <c r="DK55" s="189">
        <v>37165</v>
      </c>
      <c r="DL55" s="167">
        <v>49.552150560461953</v>
      </c>
      <c r="DN55" s="167">
        <v>1</v>
      </c>
      <c r="DR55" s="192">
        <f>+VLOOKUP(A55,'NET P&amp;L'!$AH$6:$AK$31,2)</f>
        <v>23</v>
      </c>
    </row>
    <row r="56" spans="1:122" ht="18.75" x14ac:dyDescent="0.3">
      <c r="A56" s="145">
        <f>'NYISO A'!A56</f>
        <v>37561</v>
      </c>
      <c r="B56" s="118">
        <f>+[4]NYZoneG!$L47/16/DR56</f>
        <v>-47.73703308105469</v>
      </c>
      <c r="C56" s="85">
        <f t="shared" si="37"/>
        <v>0</v>
      </c>
      <c r="D56" s="106">
        <f t="shared" si="18"/>
        <v>0</v>
      </c>
      <c r="E56" s="122">
        <f t="shared" si="38"/>
        <v>-47.73703308105469</v>
      </c>
      <c r="F56" s="139">
        <f>[4]NYZoneG!$C47</f>
        <v>40.75</v>
      </c>
      <c r="G56" s="142">
        <f t="shared" si="0"/>
        <v>1.5</v>
      </c>
      <c r="H56" s="136">
        <f t="shared" si="1"/>
        <v>42.25</v>
      </c>
      <c r="I56" s="270">
        <f t="shared" si="35"/>
        <v>-22913.775878906254</v>
      </c>
      <c r="J56" s="276">
        <f t="shared" si="39"/>
        <v>0</v>
      </c>
      <c r="K56" s="273">
        <f t="shared" si="4"/>
        <v>-22913.775878906254</v>
      </c>
      <c r="L56" s="183"/>
      <c r="M56" s="132">
        <f t="shared" si="5"/>
        <v>37561</v>
      </c>
      <c r="N56" s="210">
        <v>42.25</v>
      </c>
      <c r="O56" s="210">
        <v>42.25</v>
      </c>
      <c r="P56" s="29">
        <f t="shared" si="36"/>
        <v>1.5</v>
      </c>
      <c r="Q56" s="213"/>
      <c r="R56" s="215">
        <f t="shared" si="6"/>
        <v>42.25</v>
      </c>
      <c r="S56" s="183"/>
      <c r="T56" s="183"/>
      <c r="U56" s="428"/>
      <c r="V56" s="132">
        <f t="shared" si="7"/>
        <v>37561</v>
      </c>
      <c r="W56" s="429"/>
      <c r="X56" s="430"/>
      <c r="Y56" s="429"/>
      <c r="Z56" s="430"/>
      <c r="AA56" s="429"/>
      <c r="AB56" s="430"/>
      <c r="AC56" s="227"/>
      <c r="AD56" s="228"/>
      <c r="AE56" s="227"/>
      <c r="AF56" s="228"/>
      <c r="AG56" s="227"/>
      <c r="AH56" s="228"/>
      <c r="AI56" s="227"/>
      <c r="AJ56" s="228"/>
      <c r="AK56" s="227"/>
      <c r="AL56" s="228"/>
      <c r="AM56" s="227"/>
      <c r="AN56" s="228"/>
      <c r="AO56" s="227"/>
      <c r="AP56" s="228"/>
      <c r="AQ56" s="227"/>
      <c r="AR56" s="228"/>
      <c r="AS56" s="227"/>
      <c r="AT56" s="229"/>
      <c r="AU56" s="230"/>
      <c r="AV56" s="231"/>
      <c r="AW56" s="232"/>
      <c r="AX56" s="233"/>
      <c r="AY56" s="234"/>
      <c r="AZ56" s="233"/>
      <c r="BA56" s="234"/>
      <c r="BB56" s="233"/>
      <c r="BC56" s="234"/>
      <c r="BD56" s="233"/>
      <c r="BE56" s="234"/>
      <c r="BF56" s="233"/>
      <c r="BG56" s="234"/>
      <c r="BH56" s="233"/>
      <c r="BI56" s="234"/>
      <c r="BJ56" s="233"/>
      <c r="BK56" s="234"/>
      <c r="BL56" s="233"/>
      <c r="BM56" s="234"/>
      <c r="BN56" s="233"/>
      <c r="BO56" s="234"/>
      <c r="BP56" s="233"/>
      <c r="BQ56" s="234"/>
      <c r="BR56" s="233"/>
      <c r="BS56" s="234"/>
      <c r="BT56" s="233"/>
      <c r="BU56" s="234"/>
      <c r="BV56" s="233"/>
      <c r="BW56" s="234"/>
      <c r="BX56" s="233"/>
      <c r="BY56" s="234"/>
      <c r="BZ56" s="233"/>
      <c r="CA56" s="234"/>
      <c r="CB56" s="233"/>
      <c r="CC56" s="234"/>
      <c r="CD56" s="233"/>
      <c r="CE56" s="234"/>
      <c r="CF56" s="233"/>
      <c r="CG56" s="234"/>
      <c r="CH56" s="233"/>
      <c r="CI56" s="234"/>
      <c r="CJ56" s="233"/>
      <c r="CK56" s="234"/>
      <c r="CL56" s="233"/>
      <c r="CM56" s="234"/>
      <c r="CN56" s="233"/>
      <c r="CO56" s="234"/>
      <c r="CP56" s="233"/>
      <c r="CQ56" s="234"/>
      <c r="CR56" s="233"/>
      <c r="CS56" s="234"/>
      <c r="CT56" s="233"/>
      <c r="CU56" s="234"/>
      <c r="CV56" s="233"/>
      <c r="CW56" s="234"/>
      <c r="CX56" s="233"/>
      <c r="CY56" s="235">
        <f t="shared" si="44"/>
        <v>0</v>
      </c>
      <c r="CZ56" s="236">
        <f t="shared" si="21"/>
        <v>0</v>
      </c>
      <c r="DA56" s="179"/>
      <c r="DB56" s="415">
        <f t="shared" si="10"/>
        <v>37561</v>
      </c>
      <c r="DC56" s="416">
        <f t="shared" si="45"/>
        <v>0</v>
      </c>
      <c r="DD56" s="190">
        <f>16</f>
        <v>16</v>
      </c>
      <c r="DE56" s="416">
        <v>1</v>
      </c>
      <c r="DF56" s="170">
        <f t="shared" si="40"/>
        <v>0</v>
      </c>
      <c r="DG56" s="170">
        <f t="shared" si="41"/>
        <v>0</v>
      </c>
      <c r="DH56" s="170">
        <f t="shared" si="42"/>
        <v>0</v>
      </c>
      <c r="DI56" s="170">
        <f t="shared" si="43"/>
        <v>0</v>
      </c>
      <c r="DK56" s="189">
        <v>37165</v>
      </c>
      <c r="DL56" s="167">
        <v>49.552150560461953</v>
      </c>
      <c r="DN56" s="167">
        <v>1</v>
      </c>
      <c r="DO56" s="179"/>
      <c r="DP56" s="179"/>
      <c r="DQ56" s="179"/>
      <c r="DR56" s="192">
        <f>+VLOOKUP(A56,'NET P&amp;L'!$AH$6:$AK$31,2)</f>
        <v>20</v>
      </c>
    </row>
    <row r="57" spans="1:122" ht="18.75" x14ac:dyDescent="0.3">
      <c r="A57" s="145">
        <f>'NYISO A'!A57</f>
        <v>37591</v>
      </c>
      <c r="B57" s="118">
        <v>-48</v>
      </c>
      <c r="C57" s="85">
        <f>CY57</f>
        <v>0</v>
      </c>
      <c r="D57" s="106">
        <f t="shared" si="18"/>
        <v>0</v>
      </c>
      <c r="E57" s="122">
        <f>B57+C57+D57</f>
        <v>-48</v>
      </c>
      <c r="F57" s="139">
        <v>40.75</v>
      </c>
      <c r="G57" s="142">
        <f>IF($Q$9,Q57,P57)</f>
        <v>1.5</v>
      </c>
      <c r="H57" s="136">
        <f>F57+G57</f>
        <v>42.25</v>
      </c>
      <c r="I57" s="270">
        <f>B57*G57*DD57*DR57</f>
        <v>-24192</v>
      </c>
      <c r="J57" s="276">
        <f>(DH57+DI57)*$DR57</f>
        <v>0</v>
      </c>
      <c r="K57" s="273">
        <f>I57+J57</f>
        <v>-24192</v>
      </c>
      <c r="L57" s="183"/>
      <c r="M57" s="132">
        <f>A57</f>
        <v>37591</v>
      </c>
      <c r="N57" s="210">
        <v>42.25</v>
      </c>
      <c r="O57" s="210">
        <v>42.25</v>
      </c>
      <c r="P57" s="29">
        <f>AVERAGE(N57:O57)-F57</f>
        <v>1.5</v>
      </c>
      <c r="Q57" s="213"/>
      <c r="R57" s="215">
        <f>H57</f>
        <v>42.25</v>
      </c>
      <c r="S57" s="183"/>
      <c r="T57" s="183"/>
      <c r="U57" s="428"/>
      <c r="V57" s="132">
        <f>A57</f>
        <v>37591</v>
      </c>
      <c r="W57" s="429"/>
      <c r="X57" s="430"/>
      <c r="Y57" s="429"/>
      <c r="Z57" s="430"/>
      <c r="AA57" s="429"/>
      <c r="AB57" s="430"/>
      <c r="AC57" s="227"/>
      <c r="AD57" s="228"/>
      <c r="AE57" s="227"/>
      <c r="AF57" s="228"/>
      <c r="AG57" s="227"/>
      <c r="AH57" s="228"/>
      <c r="AI57" s="227"/>
      <c r="AJ57" s="228"/>
      <c r="AK57" s="227"/>
      <c r="AL57" s="228"/>
      <c r="AM57" s="227"/>
      <c r="AN57" s="228"/>
      <c r="AO57" s="227"/>
      <c r="AP57" s="228"/>
      <c r="AQ57" s="227"/>
      <c r="AR57" s="228"/>
      <c r="AS57" s="227"/>
      <c r="AT57" s="229"/>
      <c r="AU57" s="230"/>
      <c r="AV57" s="231"/>
      <c r="AW57" s="232"/>
      <c r="AX57" s="233"/>
      <c r="AY57" s="234"/>
      <c r="AZ57" s="233"/>
      <c r="BA57" s="234"/>
      <c r="BB57" s="233"/>
      <c r="BC57" s="234"/>
      <c r="BD57" s="233"/>
      <c r="BE57" s="234"/>
      <c r="BF57" s="233"/>
      <c r="BG57" s="234"/>
      <c r="BH57" s="233"/>
      <c r="BI57" s="234"/>
      <c r="BJ57" s="233"/>
      <c r="BK57" s="234"/>
      <c r="BL57" s="233"/>
      <c r="BM57" s="234"/>
      <c r="BN57" s="233"/>
      <c r="BO57" s="234"/>
      <c r="BP57" s="233"/>
      <c r="BQ57" s="234"/>
      <c r="BR57" s="233"/>
      <c r="BS57" s="234"/>
      <c r="BT57" s="233"/>
      <c r="BU57" s="234"/>
      <c r="BV57" s="233"/>
      <c r="BW57" s="234"/>
      <c r="BX57" s="233"/>
      <c r="BY57" s="234"/>
      <c r="BZ57" s="233"/>
      <c r="CA57" s="234"/>
      <c r="CB57" s="233"/>
      <c r="CC57" s="234"/>
      <c r="CD57" s="233"/>
      <c r="CE57" s="234"/>
      <c r="CF57" s="233"/>
      <c r="CG57" s="234"/>
      <c r="CH57" s="233"/>
      <c r="CI57" s="234"/>
      <c r="CJ57" s="233"/>
      <c r="CK57" s="234"/>
      <c r="CL57" s="233"/>
      <c r="CM57" s="234"/>
      <c r="CN57" s="233"/>
      <c r="CO57" s="234"/>
      <c r="CP57" s="233"/>
      <c r="CQ57" s="234"/>
      <c r="CR57" s="233"/>
      <c r="CS57" s="234"/>
      <c r="CT57" s="233"/>
      <c r="CU57" s="234"/>
      <c r="CV57" s="233"/>
      <c r="CW57" s="234"/>
      <c r="CX57" s="233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0</v>
      </c>
      <c r="DD57" s="190">
        <f>16</f>
        <v>16</v>
      </c>
      <c r="DE57" s="416">
        <v>1</v>
      </c>
      <c r="DF57" s="170">
        <f t="shared" si="40"/>
        <v>0</v>
      </c>
      <c r="DG57" s="170">
        <f t="shared" si="41"/>
        <v>0</v>
      </c>
      <c r="DH57" s="170">
        <f t="shared" si="42"/>
        <v>0</v>
      </c>
      <c r="DI57" s="170">
        <f t="shared" si="43"/>
        <v>0</v>
      </c>
      <c r="DK57" s="189">
        <v>37165</v>
      </c>
      <c r="DL57" s="167">
        <v>49.552150560461953</v>
      </c>
      <c r="DN57" s="167">
        <v>1</v>
      </c>
      <c r="DO57" s="179"/>
      <c r="DP57" s="179"/>
      <c r="DQ57" s="179"/>
      <c r="DR57" s="192">
        <f>+VLOOKUP(A57,'NET P&amp;L'!$AH$6:$AK$31,2)</f>
        <v>21</v>
      </c>
    </row>
    <row r="58" spans="1:122" ht="18.75" x14ac:dyDescent="0.3">
      <c r="A58" s="145">
        <f>'NYISO A'!A58</f>
        <v>37622</v>
      </c>
      <c r="B58" s="118">
        <f>+[4]NYZoneG!$L49/16/DR58</f>
        <v>0</v>
      </c>
      <c r="C58" s="85">
        <f>CY58</f>
        <v>0</v>
      </c>
      <c r="D58" s="106">
        <f t="shared" si="18"/>
        <v>0</v>
      </c>
      <c r="E58" s="122">
        <f>B58+C58+D58</f>
        <v>0</v>
      </c>
      <c r="F58" s="139">
        <f>[4]NYZoneG!$C49</f>
        <v>0</v>
      </c>
      <c r="G58" s="142">
        <f>IF($Q$9,Q58,P58)</f>
        <v>55.5</v>
      </c>
      <c r="H58" s="136">
        <f>F58+G58</f>
        <v>55.5</v>
      </c>
      <c r="I58" s="270">
        <f>B58*G58*DD58*DR58</f>
        <v>0</v>
      </c>
      <c r="J58" s="276">
        <f>(DH58+DI58)*$DR58</f>
        <v>0</v>
      </c>
      <c r="K58" s="273">
        <f>I58+J58</f>
        <v>0</v>
      </c>
      <c r="L58" s="183"/>
      <c r="M58" s="132">
        <f>A58</f>
        <v>37622</v>
      </c>
      <c r="N58" s="210">
        <v>55.5</v>
      </c>
      <c r="O58" s="210">
        <v>55.5</v>
      </c>
      <c r="P58" s="29">
        <f>AVERAGE(N58:O58)-F58</f>
        <v>55.5</v>
      </c>
      <c r="Q58" s="213"/>
      <c r="R58" s="215">
        <f>H58</f>
        <v>55.5</v>
      </c>
      <c r="S58" s="183"/>
      <c r="T58" s="183"/>
      <c r="U58" s="428"/>
      <c r="V58" s="132">
        <f>A58</f>
        <v>37622</v>
      </c>
      <c r="W58" s="429"/>
      <c r="X58" s="430"/>
      <c r="Y58" s="429"/>
      <c r="Z58" s="430"/>
      <c r="AA58" s="429"/>
      <c r="AB58" s="430"/>
      <c r="AC58" s="227"/>
      <c r="AD58" s="228"/>
      <c r="AE58" s="227"/>
      <c r="AF58" s="228"/>
      <c r="AG58" s="227"/>
      <c r="AH58" s="228"/>
      <c r="AI58" s="227"/>
      <c r="AJ58" s="228"/>
      <c r="AK58" s="227"/>
      <c r="AL58" s="228"/>
      <c r="AM58" s="227"/>
      <c r="AN58" s="228"/>
      <c r="AO58" s="227"/>
      <c r="AP58" s="228"/>
      <c r="AQ58" s="227"/>
      <c r="AR58" s="228"/>
      <c r="AS58" s="227"/>
      <c r="AT58" s="229"/>
      <c r="AU58" s="230"/>
      <c r="AV58" s="231"/>
      <c r="AW58" s="232"/>
      <c r="AX58" s="233"/>
      <c r="AY58" s="234"/>
      <c r="AZ58" s="233"/>
      <c r="BA58" s="234"/>
      <c r="BB58" s="233"/>
      <c r="BC58" s="234"/>
      <c r="BD58" s="233"/>
      <c r="BE58" s="234"/>
      <c r="BF58" s="233"/>
      <c r="BG58" s="234"/>
      <c r="BH58" s="233"/>
      <c r="BI58" s="234"/>
      <c r="BJ58" s="233"/>
      <c r="BK58" s="234"/>
      <c r="BL58" s="233"/>
      <c r="BM58" s="234"/>
      <c r="BN58" s="233"/>
      <c r="BO58" s="234"/>
      <c r="BP58" s="233"/>
      <c r="BQ58" s="234"/>
      <c r="BR58" s="233"/>
      <c r="BS58" s="234"/>
      <c r="BT58" s="233"/>
      <c r="BU58" s="234"/>
      <c r="BV58" s="233"/>
      <c r="BW58" s="234"/>
      <c r="BX58" s="233"/>
      <c r="BY58" s="234"/>
      <c r="BZ58" s="233"/>
      <c r="CA58" s="234"/>
      <c r="CB58" s="233"/>
      <c r="CC58" s="234"/>
      <c r="CD58" s="233"/>
      <c r="CE58" s="234"/>
      <c r="CF58" s="233"/>
      <c r="CG58" s="234"/>
      <c r="CH58" s="233"/>
      <c r="CI58" s="234"/>
      <c r="CJ58" s="233"/>
      <c r="CK58" s="234"/>
      <c r="CL58" s="233"/>
      <c r="CM58" s="234"/>
      <c r="CN58" s="233"/>
      <c r="CO58" s="234"/>
      <c r="CP58" s="233"/>
      <c r="CQ58" s="234"/>
      <c r="CR58" s="233"/>
      <c r="CS58" s="234"/>
      <c r="CT58" s="233"/>
      <c r="CU58" s="234"/>
      <c r="CV58" s="233"/>
      <c r="CW58" s="234"/>
      <c r="CX58" s="233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f>16</f>
        <v>16</v>
      </c>
      <c r="DE58" s="416">
        <v>1</v>
      </c>
      <c r="DF58" s="170">
        <f t="shared" si="40"/>
        <v>0</v>
      </c>
      <c r="DG58" s="170">
        <f t="shared" si="41"/>
        <v>0</v>
      </c>
      <c r="DH58" s="170">
        <f t="shared" si="42"/>
        <v>0</v>
      </c>
      <c r="DI58" s="170">
        <f t="shared" si="43"/>
        <v>0</v>
      </c>
      <c r="DK58" s="189">
        <v>37165</v>
      </c>
      <c r="DL58" s="167">
        <v>49.552150560461953</v>
      </c>
      <c r="DN58" s="167">
        <v>1</v>
      </c>
      <c r="DO58" s="179"/>
      <c r="DP58" s="179"/>
      <c r="DQ58" s="179"/>
      <c r="DR58" s="192">
        <f>+VLOOKUP(A58,'NET P&amp;L'!$AH$6:$AK$31,2)</f>
        <v>21</v>
      </c>
    </row>
    <row r="59" spans="1:122" ht="18.75" x14ac:dyDescent="0.3">
      <c r="A59" s="145">
        <f>'NYISO A'!A59</f>
        <v>37653</v>
      </c>
      <c r="B59" s="118">
        <f>+[4]NYZoneG!$L50/16/DR59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[4]NYZoneG!$C50</f>
        <v>0</v>
      </c>
      <c r="G59" s="142">
        <f>IF($Q$9,Q59,P59)</f>
        <v>55.5</v>
      </c>
      <c r="H59" s="136">
        <f>F59+G59</f>
        <v>55.5</v>
      </c>
      <c r="I59" s="270">
        <f>B59*G59*DD59*DR59</f>
        <v>0</v>
      </c>
      <c r="J59" s="276">
        <f>(DH59+DI59)*$DR59</f>
        <v>0</v>
      </c>
      <c r="K59" s="273">
        <f>I59+J59</f>
        <v>0</v>
      </c>
      <c r="L59" s="183"/>
      <c r="M59" s="132">
        <f>A59</f>
        <v>37653</v>
      </c>
      <c r="N59" s="210">
        <v>55.5</v>
      </c>
      <c r="O59" s="210">
        <v>55.5</v>
      </c>
      <c r="P59" s="29">
        <f>AVERAGE(N59:O59)-F59</f>
        <v>55.5</v>
      </c>
      <c r="Q59" s="213"/>
      <c r="R59" s="215">
        <f>H59</f>
        <v>55.5</v>
      </c>
      <c r="S59" s="183"/>
      <c r="T59" s="183"/>
      <c r="U59" s="428"/>
      <c r="V59" s="132">
        <f>A59</f>
        <v>37653</v>
      </c>
      <c r="W59" s="429"/>
      <c r="X59" s="430"/>
      <c r="Y59" s="429"/>
      <c r="Z59" s="430"/>
      <c r="AA59" s="429"/>
      <c r="AB59" s="430"/>
      <c r="AC59" s="227"/>
      <c r="AD59" s="228"/>
      <c r="AE59" s="227"/>
      <c r="AF59" s="228"/>
      <c r="AG59" s="227"/>
      <c r="AH59" s="228"/>
      <c r="AI59" s="227"/>
      <c r="AJ59" s="228"/>
      <c r="AK59" s="227"/>
      <c r="AL59" s="228"/>
      <c r="AM59" s="227"/>
      <c r="AN59" s="228"/>
      <c r="AO59" s="227"/>
      <c r="AP59" s="228"/>
      <c r="AQ59" s="227"/>
      <c r="AR59" s="228"/>
      <c r="AS59" s="227"/>
      <c r="AT59" s="229"/>
      <c r="AU59" s="230"/>
      <c r="AV59" s="231"/>
      <c r="AW59" s="232"/>
      <c r="AX59" s="233"/>
      <c r="AY59" s="234"/>
      <c r="AZ59" s="233"/>
      <c r="BA59" s="234"/>
      <c r="BB59" s="233"/>
      <c r="BC59" s="234"/>
      <c r="BD59" s="233"/>
      <c r="BE59" s="234"/>
      <c r="BF59" s="233"/>
      <c r="BG59" s="234"/>
      <c r="BH59" s="233"/>
      <c r="BI59" s="234"/>
      <c r="BJ59" s="233"/>
      <c r="BK59" s="234"/>
      <c r="BL59" s="233"/>
      <c r="BM59" s="234"/>
      <c r="BN59" s="233"/>
      <c r="BO59" s="234"/>
      <c r="BP59" s="233"/>
      <c r="BQ59" s="234"/>
      <c r="BR59" s="233"/>
      <c r="BS59" s="234"/>
      <c r="BT59" s="233"/>
      <c r="BU59" s="234"/>
      <c r="BV59" s="233"/>
      <c r="BW59" s="234"/>
      <c r="BX59" s="233"/>
      <c r="BY59" s="234"/>
      <c r="BZ59" s="233"/>
      <c r="CA59" s="234"/>
      <c r="CB59" s="233"/>
      <c r="CC59" s="234"/>
      <c r="CD59" s="233"/>
      <c r="CE59" s="234"/>
      <c r="CF59" s="233"/>
      <c r="CG59" s="234"/>
      <c r="CH59" s="233"/>
      <c r="CI59" s="234"/>
      <c r="CJ59" s="233"/>
      <c r="CK59" s="234"/>
      <c r="CL59" s="233"/>
      <c r="CM59" s="234"/>
      <c r="CN59" s="233"/>
      <c r="CO59" s="234"/>
      <c r="CP59" s="233"/>
      <c r="CQ59" s="234"/>
      <c r="CR59" s="233"/>
      <c r="CS59" s="234"/>
      <c r="CT59" s="233"/>
      <c r="CU59" s="234"/>
      <c r="CV59" s="233"/>
      <c r="CW59" s="234"/>
      <c r="CX59" s="233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f>16</f>
        <v>16</v>
      </c>
      <c r="DE59" s="416">
        <v>1</v>
      </c>
      <c r="DF59" s="170">
        <f t="shared" si="40"/>
        <v>0</v>
      </c>
      <c r="DG59" s="170">
        <f t="shared" si="41"/>
        <v>0</v>
      </c>
      <c r="DH59" s="170">
        <f t="shared" si="42"/>
        <v>0</v>
      </c>
      <c r="DI59" s="170">
        <f t="shared" si="43"/>
        <v>0</v>
      </c>
      <c r="DK59" s="189">
        <v>37165</v>
      </c>
      <c r="DL59" s="167">
        <v>49.552150560461953</v>
      </c>
      <c r="DN59" s="167">
        <v>1</v>
      </c>
      <c r="DO59" s="179"/>
      <c r="DP59" s="179"/>
      <c r="DQ59" s="179"/>
      <c r="DR59" s="192">
        <v>22</v>
      </c>
    </row>
    <row r="60" spans="1:122" ht="16.5" customHeight="1" thickBot="1" x14ac:dyDescent="0.35">
      <c r="A60" s="146">
        <f>'NYISO A'!A60</f>
        <v>37681</v>
      </c>
      <c r="B60" s="119">
        <f>+[4]NYZoneG!$L51/16/DR60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[4]NYZoneG!$C51</f>
        <v>0</v>
      </c>
      <c r="G60" s="143">
        <f>IF($Q$9,Q60,P60)</f>
        <v>55.5</v>
      </c>
      <c r="H60" s="137">
        <f>F60+G60</f>
        <v>55.5</v>
      </c>
      <c r="I60" s="271">
        <f>B60*G60*DD60*DR60</f>
        <v>0</v>
      </c>
      <c r="J60" s="277">
        <f>(DH60+DI60)*$DR60</f>
        <v>0</v>
      </c>
      <c r="K60" s="274">
        <f>I60+J60</f>
        <v>0</v>
      </c>
      <c r="L60" s="183"/>
      <c r="M60" s="133">
        <f>A60</f>
        <v>37681</v>
      </c>
      <c r="N60" s="212">
        <v>55.5</v>
      </c>
      <c r="O60" s="212">
        <v>55.5</v>
      </c>
      <c r="P60" s="134">
        <f>AVERAGE(N60:O60)-F60</f>
        <v>55.5</v>
      </c>
      <c r="Q60" s="217"/>
      <c r="R60" s="218">
        <f>H60</f>
        <v>55.5</v>
      </c>
      <c r="S60" s="183"/>
      <c r="T60" s="183"/>
      <c r="U60" s="428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f>16</f>
        <v>16</v>
      </c>
      <c r="DE60" s="416">
        <v>1</v>
      </c>
      <c r="DF60" s="170">
        <f t="shared" si="40"/>
        <v>0</v>
      </c>
      <c r="DG60" s="170">
        <f t="shared" si="41"/>
        <v>0</v>
      </c>
      <c r="DH60" s="170">
        <f t="shared" si="42"/>
        <v>0</v>
      </c>
      <c r="DI60" s="170">
        <f t="shared" si="43"/>
        <v>0</v>
      </c>
      <c r="DK60" s="189">
        <v>37165</v>
      </c>
      <c r="DL60" s="167">
        <v>49.552150560461953</v>
      </c>
      <c r="DN60" s="167">
        <v>1</v>
      </c>
      <c r="DO60" s="179"/>
      <c r="DP60" s="179"/>
      <c r="DQ60" s="179"/>
      <c r="DR60" s="192">
        <v>20</v>
      </c>
    </row>
    <row r="61" spans="1:122" hidden="1" x14ac:dyDescent="0.25">
      <c r="A61" s="172"/>
      <c r="B61" s="172"/>
      <c r="E61" s="184"/>
      <c r="L61" s="172"/>
      <c r="N61" s="172"/>
      <c r="O61" s="172"/>
      <c r="DL61" s="167">
        <v>0</v>
      </c>
      <c r="DR61" s="179"/>
    </row>
    <row r="62" spans="1:122" ht="16.5" thickBot="1" x14ac:dyDescent="0.3">
      <c r="A62" s="172"/>
      <c r="B62" s="172"/>
      <c r="E62" s="184"/>
      <c r="L62" s="172"/>
      <c r="N62" s="172"/>
      <c r="O62" s="172"/>
      <c r="DA62" s="167">
        <f>SUM(DA12:DA61)</f>
        <v>0</v>
      </c>
      <c r="DR62" s="179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85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5" thickBot="1" x14ac:dyDescent="0.3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204"/>
      <c r="O67" s="204"/>
      <c r="P67" s="199"/>
      <c r="Q67" s="200">
        <v>50</v>
      </c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5" thickBot="1" x14ac:dyDescent="0.3">
      <c r="A69" s="64" t="s">
        <v>45</v>
      </c>
      <c r="B69" s="65">
        <f t="shared" ref="B69:K69" si="46">B66*B67</f>
        <v>0</v>
      </c>
      <c r="C69" s="66">
        <f t="shared" si="46"/>
        <v>0</v>
      </c>
      <c r="D69" s="66">
        <f t="shared" si="46"/>
        <v>0</v>
      </c>
      <c r="E69" s="66">
        <f t="shared" si="46"/>
        <v>0</v>
      </c>
      <c r="F69" s="67">
        <f t="shared" si="46"/>
        <v>0</v>
      </c>
      <c r="G69" s="65">
        <f t="shared" si="46"/>
        <v>0</v>
      </c>
      <c r="H69" s="66">
        <f t="shared" si="46"/>
        <v>0</v>
      </c>
      <c r="I69" s="66">
        <f t="shared" si="46"/>
        <v>0</v>
      </c>
      <c r="J69" s="66">
        <f t="shared" si="46"/>
        <v>0</v>
      </c>
      <c r="K69" s="67">
        <f t="shared" si="46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47">-V66*V67</f>
        <v>0</v>
      </c>
      <c r="W69" s="66">
        <f t="shared" si="47"/>
        <v>0</v>
      </c>
      <c r="X69" s="66">
        <f t="shared" si="47"/>
        <v>0</v>
      </c>
      <c r="Y69" s="66">
        <f t="shared" si="47"/>
        <v>0</v>
      </c>
      <c r="Z69" s="67">
        <f t="shared" si="47"/>
        <v>0</v>
      </c>
      <c r="AA69" s="65">
        <f t="shared" si="47"/>
        <v>0</v>
      </c>
      <c r="AB69" s="66">
        <f t="shared" si="47"/>
        <v>0</v>
      </c>
      <c r="AC69" s="66">
        <f t="shared" si="47"/>
        <v>0</v>
      </c>
      <c r="AD69" s="66">
        <f t="shared" si="47"/>
        <v>0</v>
      </c>
      <c r="AE69" s="67">
        <f t="shared" si="47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2.75" x14ac:dyDescent="0.2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172">
        <f>($H$12-I65)*I69*16</f>
        <v>0</v>
      </c>
      <c r="J71" s="172">
        <f>($H$12-J65)*J69*16</f>
        <v>0</v>
      </c>
      <c r="K71" s="172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48">V69*($H$12-V65)*16</f>
        <v>0</v>
      </c>
      <c r="W71" s="172">
        <f t="shared" si="48"/>
        <v>0</v>
      </c>
      <c r="X71" s="172">
        <f t="shared" si="48"/>
        <v>0</v>
      </c>
      <c r="Y71" s="172">
        <f t="shared" si="48"/>
        <v>0</v>
      </c>
      <c r="Z71" s="172">
        <f t="shared" si="48"/>
        <v>0</v>
      </c>
      <c r="AA71" s="172">
        <f t="shared" si="48"/>
        <v>0</v>
      </c>
      <c r="AB71" s="172">
        <f t="shared" si="48"/>
        <v>0</v>
      </c>
      <c r="AC71" s="172">
        <f t="shared" si="48"/>
        <v>0</v>
      </c>
      <c r="AD71" s="172">
        <f t="shared" si="48"/>
        <v>0</v>
      </c>
      <c r="AE71" s="172">
        <f t="shared" si="48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25">
      <c r="B74" s="180"/>
      <c r="C74" s="181"/>
      <c r="D74" s="181"/>
      <c r="E74" s="181"/>
      <c r="F74" s="182"/>
    </row>
    <row r="75" spans="1:42" x14ac:dyDescent="0.25">
      <c r="B75" s="176"/>
      <c r="C75" s="176"/>
      <c r="D75" s="176"/>
      <c r="E75" s="176"/>
      <c r="F75" s="176"/>
    </row>
    <row r="76" spans="1:42" x14ac:dyDescent="0.25">
      <c r="B76" s="176"/>
      <c r="C76" s="176"/>
      <c r="D76" s="176"/>
      <c r="E76" s="176"/>
      <c r="F76" s="176"/>
    </row>
    <row r="77" spans="1:42" ht="12" customHeight="1" x14ac:dyDescent="0.25">
      <c r="B77" s="176"/>
      <c r="C77" s="176"/>
      <c r="D77" s="176"/>
      <c r="E77" s="176"/>
      <c r="F77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76"/>
      <c r="C81" s="176"/>
      <c r="D81" s="176"/>
      <c r="E81" s="176"/>
      <c r="F81" s="176"/>
    </row>
    <row r="82" spans="2:6" x14ac:dyDescent="0.25">
      <c r="B82" s="180"/>
      <c r="C82" s="181"/>
      <c r="D82" s="181"/>
      <c r="E82" s="181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76"/>
      <c r="C87" s="176"/>
      <c r="D87" s="176"/>
      <c r="E87" s="176"/>
      <c r="F87" s="176"/>
    </row>
    <row r="88" spans="2:6" x14ac:dyDescent="0.25">
      <c r="B88" s="183"/>
      <c r="C88" s="181"/>
      <c r="D88" s="181"/>
      <c r="E88" s="181"/>
      <c r="F88" s="176"/>
    </row>
    <row r="89" spans="2:6" x14ac:dyDescent="0.25">
      <c r="B89" s="185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3" spans="2:6" x14ac:dyDescent="0.25">
      <c r="B93" s="176"/>
      <c r="C93" s="176"/>
      <c r="D93" s="176"/>
      <c r="E93" s="176"/>
      <c r="F93" s="176"/>
    </row>
    <row r="95" spans="2:6" ht="12" customHeight="1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7.5703125" style="167" bestFit="1" customWidth="1"/>
    <col min="2" max="2" width="12.28515625" style="167" bestFit="1" customWidth="1"/>
    <col min="3" max="3" width="9.85546875" style="167" customWidth="1"/>
    <col min="4" max="4" width="10.140625" style="167" bestFit="1" customWidth="1"/>
    <col min="5" max="5" width="14.28515625" style="167" bestFit="1" customWidth="1"/>
    <col min="6" max="6" width="10.7109375" style="167" bestFit="1" customWidth="1"/>
    <col min="7" max="7" width="11.140625" style="167" bestFit="1" customWidth="1"/>
    <col min="8" max="8" width="10.7109375" style="167" bestFit="1" customWidth="1"/>
    <col min="9" max="9" width="13.28515625" style="278" bestFit="1" customWidth="1"/>
    <col min="10" max="10" width="12.7109375" style="167" bestFit="1" customWidth="1"/>
    <col min="11" max="11" width="17.140625" style="292" customWidth="1"/>
    <col min="12" max="12" width="12.5703125" style="167" bestFit="1" customWidth="1"/>
    <col min="13" max="13" width="14" style="167" bestFit="1" customWidth="1"/>
    <col min="14" max="14" width="10.140625" style="167" bestFit="1" customWidth="1"/>
    <col min="15" max="15" width="9.85546875" style="167" bestFit="1" customWidth="1"/>
    <col min="16" max="17" width="13.28515625" style="167" bestFit="1" customWidth="1"/>
    <col min="18" max="18" width="9.5703125" style="167" bestFit="1" customWidth="1"/>
    <col min="19" max="19" width="7" style="171" bestFit="1" customWidth="1"/>
    <col min="20" max="21" width="7" style="173" bestFit="1" customWidth="1"/>
    <col min="22" max="22" width="14" style="167" bestFit="1" customWidth="1"/>
    <col min="23" max="23" width="9.85546875" style="167" bestFit="1" customWidth="1"/>
    <col min="24" max="24" width="10.28515625" style="167" bestFit="1" customWidth="1"/>
    <col min="25" max="25" width="8.85546875" style="167" bestFit="1" customWidth="1"/>
    <col min="26" max="26" width="12" style="167" bestFit="1" customWidth="1"/>
    <col min="27" max="27" width="8.85546875" style="167" bestFit="1" customWidth="1"/>
    <col min="28" max="28" width="10.28515625" style="167" bestFit="1" customWidth="1"/>
    <col min="29" max="29" width="8.85546875" style="167" bestFit="1" customWidth="1"/>
    <col min="30" max="30" width="10.28515625" style="167" bestFit="1" customWidth="1"/>
    <col min="31" max="31" width="8.85546875" style="167" bestFit="1" customWidth="1"/>
    <col min="32" max="32" width="12" style="167" bestFit="1" customWidth="1"/>
    <col min="33" max="33" width="8.85546875" style="167" bestFit="1" customWidth="1"/>
    <col min="34" max="34" width="9.140625" style="172" bestFit="1"/>
    <col min="35" max="35" width="8.85546875" style="172" bestFit="1" customWidth="1"/>
    <col min="36" max="36" width="9.140625" style="172" bestFit="1"/>
    <col min="37" max="37" width="8.85546875" style="172" bestFit="1" customWidth="1"/>
    <col min="38" max="38" width="10.28515625" style="167" bestFit="1" customWidth="1"/>
    <col min="39" max="39" width="8.85546875" style="167" bestFit="1" customWidth="1"/>
    <col min="40" max="40" width="10.28515625" style="167" bestFit="1" customWidth="1"/>
    <col min="41" max="41" width="8.85546875" style="167" bestFit="1" customWidth="1"/>
    <col min="42" max="42" width="10.28515625" style="167" bestFit="1" customWidth="1"/>
    <col min="43" max="43" width="8.85546875" style="167" bestFit="1" customWidth="1"/>
    <col min="44" max="44" width="9.140625" style="167" bestFit="1"/>
    <col min="45" max="45" width="8.85546875" style="167" bestFit="1" customWidth="1"/>
    <col min="46" max="46" width="10.28515625" style="167" bestFit="1" customWidth="1"/>
    <col min="47" max="47" width="8.85546875" style="167" bestFit="1" customWidth="1"/>
    <col min="48" max="48" width="6.85546875" style="167" bestFit="1" customWidth="1"/>
    <col min="49" max="49" width="8.85546875" style="167" bestFit="1" customWidth="1"/>
    <col min="50" max="50" width="6.85546875" style="167" bestFit="1" customWidth="1"/>
    <col min="51" max="51" width="8.85546875" style="167" bestFit="1" customWidth="1"/>
    <col min="52" max="52" width="6.85546875" style="167" bestFit="1" customWidth="1"/>
    <col min="53" max="53" width="8.85546875" style="167" bestFit="1" customWidth="1"/>
    <col min="54" max="54" width="6.85546875" style="167" bestFit="1" customWidth="1"/>
    <col min="55" max="55" width="8.85546875" style="167" bestFit="1" customWidth="1"/>
    <col min="56" max="56" width="6.85546875" style="167" bestFit="1" customWidth="1"/>
    <col min="57" max="57" width="8.85546875" style="167" bestFit="1" customWidth="1"/>
    <col min="58" max="58" width="6.85546875" style="167" bestFit="1" customWidth="1"/>
    <col min="59" max="59" width="8.85546875" style="167" bestFit="1" customWidth="1"/>
    <col min="60" max="60" width="6.85546875" style="167" bestFit="1" customWidth="1"/>
    <col min="61" max="61" width="8.85546875" style="167" bestFit="1" customWidth="1"/>
    <col min="62" max="62" width="6.85546875" style="167" bestFit="1" customWidth="1"/>
    <col min="63" max="63" width="8.85546875" style="167" bestFit="1" customWidth="1"/>
    <col min="64" max="64" width="6.85546875" style="167" bestFit="1" customWidth="1"/>
    <col min="65" max="65" width="8.85546875" style="167" bestFit="1" customWidth="1"/>
    <col min="66" max="66" width="6.85546875" style="167" bestFit="1" customWidth="1"/>
    <col min="67" max="67" width="8.85546875" style="167" bestFit="1" customWidth="1"/>
    <col min="68" max="68" width="6.85546875" style="167" bestFit="1" customWidth="1"/>
    <col min="69" max="69" width="8.85546875" style="167" bestFit="1" customWidth="1"/>
    <col min="70" max="70" width="6.85546875" style="167" bestFit="1" customWidth="1"/>
    <col min="71" max="71" width="8.85546875" style="167" bestFit="1" customWidth="1"/>
    <col min="72" max="72" width="6.85546875" style="167" bestFit="1" customWidth="1"/>
    <col min="73" max="73" width="8.85546875" style="167" bestFit="1" customWidth="1"/>
    <col min="74" max="74" width="6.85546875" style="167" bestFit="1" customWidth="1"/>
    <col min="75" max="75" width="8.85546875" style="167" bestFit="1" customWidth="1"/>
    <col min="76" max="76" width="6.85546875" style="167" bestFit="1" customWidth="1"/>
    <col min="77" max="77" width="8.85546875" style="167" bestFit="1" customWidth="1"/>
    <col min="78" max="78" width="6.85546875" style="167" bestFit="1" customWidth="1"/>
    <col min="79" max="79" width="8.85546875" style="167" bestFit="1" customWidth="1"/>
    <col min="80" max="80" width="6.85546875" style="167" bestFit="1" customWidth="1"/>
    <col min="81" max="81" width="8.85546875" style="167" bestFit="1" customWidth="1"/>
    <col min="82" max="82" width="6.85546875" style="167" bestFit="1" customWidth="1"/>
    <col min="83" max="83" width="8.85546875" style="167" bestFit="1" customWidth="1"/>
    <col min="84" max="84" width="6.85546875" style="167" bestFit="1" customWidth="1"/>
    <col min="85" max="85" width="8.85546875" style="167" bestFit="1" customWidth="1"/>
    <col min="86" max="86" width="6.85546875" style="167" bestFit="1" customWidth="1"/>
    <col min="87" max="87" width="8.85546875" style="167" bestFit="1" customWidth="1"/>
    <col min="88" max="88" width="6.85546875" style="167" bestFit="1" customWidth="1"/>
    <col min="89" max="89" width="8.85546875" style="167" bestFit="1" customWidth="1"/>
    <col min="90" max="90" width="6.85546875" style="167" bestFit="1" customWidth="1"/>
    <col min="91" max="91" width="8.85546875" style="167" bestFit="1" customWidth="1"/>
    <col min="92" max="92" width="6.85546875" style="167" bestFit="1" customWidth="1"/>
    <col min="93" max="93" width="8.85546875" style="167" bestFit="1" customWidth="1"/>
    <col min="94" max="94" width="6.85546875" style="167" bestFit="1" customWidth="1"/>
    <col min="95" max="95" width="8.85546875" style="167" bestFit="1" customWidth="1"/>
    <col min="96" max="96" width="6.85546875" style="167" bestFit="1" customWidth="1"/>
    <col min="97" max="97" width="8.85546875" style="167" bestFit="1" customWidth="1"/>
    <col min="98" max="98" width="6.85546875" style="167" bestFit="1" customWidth="1"/>
    <col min="99" max="99" width="8.85546875" style="167" bestFit="1" customWidth="1"/>
    <col min="100" max="100" width="6.85546875" style="167" bestFit="1" customWidth="1"/>
    <col min="101" max="101" width="8.85546875" style="167" bestFit="1" customWidth="1"/>
    <col min="102" max="102" width="6.85546875" style="167" bestFit="1" customWidth="1"/>
    <col min="103" max="103" width="8.85546875" style="167" bestFit="1" customWidth="1"/>
    <col min="104" max="104" width="9.7109375" style="167" bestFit="1" customWidth="1"/>
    <col min="105" max="105" width="4.140625" style="167" bestFit="1" customWidth="1"/>
    <col min="106" max="106" width="11.42578125" style="167" bestFit="1" customWidth="1"/>
    <col min="107" max="107" width="14.5703125" style="167" bestFit="1" customWidth="1"/>
    <col min="108" max="108" width="8.85546875" style="167" bestFit="1" customWidth="1"/>
    <col min="109" max="109" width="17.42578125" style="167" bestFit="1" customWidth="1"/>
    <col min="110" max="111" width="11.140625" style="167" bestFit="1" customWidth="1"/>
    <col min="112" max="113" width="10.5703125" style="167" bestFit="1" customWidth="1"/>
    <col min="114" max="114" width="9.140625" style="167"/>
    <col min="115" max="115" width="11" style="167" customWidth="1"/>
    <col min="116" max="116" width="12.28515625" style="167" bestFit="1" customWidth="1"/>
    <col min="117" max="117" width="7.5703125" style="167" bestFit="1" customWidth="1"/>
    <col min="118" max="118" width="8.85546875" style="167" bestFit="1" customWidth="1"/>
    <col min="119" max="121" width="9.140625" style="167"/>
    <col min="122" max="122" width="9.85546875" style="167" bestFit="1" customWidth="1"/>
    <col min="123" max="16384" width="9.140625" style="167"/>
  </cols>
  <sheetData>
    <row r="1" spans="1:118" x14ac:dyDescent="0.25">
      <c r="U1" s="173" t="s">
        <v>0</v>
      </c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279" t="s">
        <v>1</v>
      </c>
      <c r="J4" s="2" t="s">
        <v>2</v>
      </c>
      <c r="K4" s="293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G5" s="167">
        <f>54.75-8.5</f>
        <v>46.25</v>
      </c>
      <c r="I5" s="280" t="s">
        <v>4</v>
      </c>
      <c r="J5" s="6" t="s">
        <v>5</v>
      </c>
      <c r="K5" s="294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55077.675476074219</v>
      </c>
      <c r="J6" s="9">
        <f>SUM(J12:J56)</f>
        <v>0</v>
      </c>
      <c r="K6" s="9">
        <f>SUM(K12:K56)</f>
        <v>55077.675476074219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N9" s="393">
        <f>+AVERAGE(N15:N16,N18:N19,N22:N26,N29:N30,N29:N33,N36:N40,N43,N43)</f>
        <v>46.163043478260867</v>
      </c>
      <c r="O9" s="393">
        <f>+AVERAGE(O15:O16,O18:O19,O22:O26,O29:O30,O29:O33,O36:O40,O43,O43)</f>
        <v>46.163043478260867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279" t="s">
        <v>1</v>
      </c>
      <c r="J10" s="2" t="s">
        <v>49</v>
      </c>
      <c r="K10" s="293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280" t="s">
        <v>4</v>
      </c>
      <c r="J11" s="6" t="s">
        <v>5</v>
      </c>
      <c r="K11" s="294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+[4]NYZoneJ!$L3/16</f>
        <v>0</v>
      </c>
      <c r="C12" s="22">
        <f t="shared" ref="C12:C55" si="0">CY12</f>
        <v>0</v>
      </c>
      <c r="D12" s="21">
        <f>($AP$69+IF(MONTH(A12)=MONTH(EOMONTH(TradeDate,1)),$AP$70,0))*VLOOKUP(A12,$DK$12:$DN$43,4)</f>
        <v>0</v>
      </c>
      <c r="E12" s="23">
        <f t="shared" ref="E12:E55" si="1">B12+C12+D12</f>
        <v>0</v>
      </c>
      <c r="F12" s="24">
        <f>[4]NYZoneJ!$C3</f>
        <v>42</v>
      </c>
      <c r="G12" s="24">
        <f t="shared" ref="G12:G55" si="2">IF($Q$9,Q12,P12)</f>
        <v>-5.0200000000000031</v>
      </c>
      <c r="H12" s="25">
        <f t="shared" ref="H12:H55" si="3">F12+G12</f>
        <v>36.979999999999997</v>
      </c>
      <c r="I12" s="26">
        <f t="shared" ref="I12:I42" si="4">B12*G12*DD12</f>
        <v>0</v>
      </c>
      <c r="J12" s="27">
        <f>DH12+DI12+$AP$71</f>
        <v>0</v>
      </c>
      <c r="K12" s="27">
        <f t="shared" ref="K12:K55" si="5">I12+J12</f>
        <v>0</v>
      </c>
      <c r="L12" s="172"/>
      <c r="M12" s="28">
        <f t="shared" ref="M12:M55" si="6">A12</f>
        <v>37135</v>
      </c>
      <c r="N12" s="210">
        <v>36.979999999999997</v>
      </c>
      <c r="O12" s="210">
        <v>36.979999999999997</v>
      </c>
      <c r="P12" s="29">
        <f t="shared" ref="P12:P42" si="7">AVERAGE(N12:O12)-F12</f>
        <v>-5.0200000000000031</v>
      </c>
      <c r="Q12" s="213"/>
      <c r="R12" s="214">
        <f t="shared" ref="R12:R55" si="8">H12</f>
        <v>36.979999999999997</v>
      </c>
      <c r="S12" s="172"/>
      <c r="T12" s="172"/>
      <c r="U12" s="175"/>
      <c r="V12" s="30">
        <f t="shared" ref="V12:V55" si="9">A12</f>
        <v>37135</v>
      </c>
      <c r="W12" s="372"/>
      <c r="X12" s="378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10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11">IF(AND(CY12=0,DC12=0),0,(DF12+DG12)/DC12)</f>
        <v>0</v>
      </c>
      <c r="DA12" s="188">
        <f t="shared" ref="DA12:DA44" si="12">DC12*DD12</f>
        <v>0</v>
      </c>
      <c r="DB12" s="189">
        <f t="shared" ref="DB12:DB44" si="13">V12</f>
        <v>37135</v>
      </c>
      <c r="DC12" s="188">
        <f t="shared" ref="DC12:DC44" si="14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5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6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7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8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9">IF(AND(WEEKDAY(DK12)&gt;1,WEEKDAY(DK12)&lt;7),1,0)</f>
        <v>0</v>
      </c>
    </row>
    <row r="13" spans="1:118" ht="18.75" x14ac:dyDescent="0.3">
      <c r="A13" s="80">
        <f>'NYISO A'!A13</f>
        <v>37136</v>
      </c>
      <c r="B13" s="114">
        <f>+[4]NYZoneJ!$L4/16</f>
        <v>0</v>
      </c>
      <c r="C13" s="22">
        <f t="shared" si="0"/>
        <v>0</v>
      </c>
      <c r="D13" s="36">
        <f t="shared" ref="D13:D60" si="20">(IF(MONTH(A13)=MONTH(EOMONTH(TradeDate,1)),$AP$70,0)*VLOOKUP(A13,$DK$12:$DN$43,4))</f>
        <v>0</v>
      </c>
      <c r="E13" s="23">
        <f t="shared" si="1"/>
        <v>0</v>
      </c>
      <c r="F13" s="24">
        <f>[4]NYZoneJ!$C4</f>
        <v>42</v>
      </c>
      <c r="G13" s="38">
        <f t="shared" si="2"/>
        <v>0</v>
      </c>
      <c r="H13" s="39">
        <f t="shared" si="3"/>
        <v>42</v>
      </c>
      <c r="I13" s="36">
        <f t="shared" si="4"/>
        <v>0</v>
      </c>
      <c r="J13" s="27">
        <f t="shared" ref="J13:J18" si="21">DH13+DI13</f>
        <v>0</v>
      </c>
      <c r="K13" s="40">
        <f t="shared" si="5"/>
        <v>0</v>
      </c>
      <c r="L13" s="389"/>
      <c r="M13" s="28">
        <f t="shared" si="6"/>
        <v>37136</v>
      </c>
      <c r="N13" s="210">
        <v>42</v>
      </c>
      <c r="O13" s="210">
        <v>42</v>
      </c>
      <c r="P13" s="29">
        <f t="shared" si="7"/>
        <v>0</v>
      </c>
      <c r="Q13" s="213"/>
      <c r="R13" s="215">
        <f t="shared" si="8"/>
        <v>42</v>
      </c>
      <c r="S13" s="172"/>
      <c r="T13" s="172"/>
      <c r="U13" s="175"/>
      <c r="V13" s="30">
        <f t="shared" si="9"/>
        <v>37136</v>
      </c>
      <c r="W13" s="177"/>
      <c r="X13" s="178"/>
      <c r="Y13" s="379"/>
      <c r="Z13" s="380"/>
      <c r="AA13" s="177"/>
      <c r="AB13" s="178"/>
      <c r="AC13" s="177"/>
      <c r="AD13" s="178"/>
      <c r="AE13" s="177"/>
      <c r="AF13" s="222"/>
      <c r="AG13" s="177"/>
      <c r="AH13" s="221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10"/>
        <v>0</v>
      </c>
      <c r="CZ13" s="34">
        <f t="shared" si="11"/>
        <v>0</v>
      </c>
      <c r="DA13" s="188">
        <f t="shared" si="12"/>
        <v>0</v>
      </c>
      <c r="DB13" s="189">
        <f t="shared" si="13"/>
        <v>37136</v>
      </c>
      <c r="DC13" s="188">
        <f t="shared" si="14"/>
        <v>0</v>
      </c>
      <c r="DD13" s="190">
        <v>16</v>
      </c>
      <c r="DE13" s="188">
        <v>1</v>
      </c>
      <c r="DF13" s="170">
        <f t="shared" si="15"/>
        <v>0</v>
      </c>
      <c r="DG13" s="170">
        <f t="shared" si="16"/>
        <v>0</v>
      </c>
      <c r="DH13" s="170">
        <f t="shared" si="17"/>
        <v>0</v>
      </c>
      <c r="DI13" s="170">
        <f t="shared" si="18"/>
        <v>0</v>
      </c>
      <c r="DK13" s="189">
        <v>37136</v>
      </c>
      <c r="DL13" s="167">
        <v>0</v>
      </c>
      <c r="DN13" s="167">
        <f t="shared" si="19"/>
        <v>0</v>
      </c>
    </row>
    <row r="14" spans="1:118" ht="18.75" x14ac:dyDescent="0.3">
      <c r="A14" s="80">
        <f>'NYISO A'!A14</f>
        <v>37137</v>
      </c>
      <c r="B14" s="114">
        <f>+[4]NYZoneJ!$L5/16</f>
        <v>0</v>
      </c>
      <c r="C14" s="22">
        <f t="shared" si="0"/>
        <v>0</v>
      </c>
      <c r="D14" s="21">
        <f t="shared" si="20"/>
        <v>0</v>
      </c>
      <c r="E14" s="23">
        <f t="shared" si="1"/>
        <v>0</v>
      </c>
      <c r="F14" s="24">
        <f>[4]NYZoneJ!$C5</f>
        <v>42</v>
      </c>
      <c r="G14" s="24">
        <f t="shared" si="2"/>
        <v>3</v>
      </c>
      <c r="H14" s="25">
        <f t="shared" si="3"/>
        <v>45</v>
      </c>
      <c r="I14" s="26">
        <f t="shared" si="4"/>
        <v>0</v>
      </c>
      <c r="J14" s="27">
        <f t="shared" si="21"/>
        <v>0</v>
      </c>
      <c r="K14" s="27">
        <f t="shared" si="5"/>
        <v>0</v>
      </c>
      <c r="L14" s="389">
        <f>+AVERAGE(N14:O18)</f>
        <v>50.45</v>
      </c>
      <c r="M14" s="28">
        <f t="shared" si="6"/>
        <v>37137</v>
      </c>
      <c r="N14" s="210">
        <v>45</v>
      </c>
      <c r="O14" s="210">
        <v>45</v>
      </c>
      <c r="P14" s="29">
        <f t="shared" si="7"/>
        <v>3</v>
      </c>
      <c r="Q14" s="213"/>
      <c r="R14" s="215">
        <f t="shared" si="8"/>
        <v>45</v>
      </c>
      <c r="S14" s="172"/>
      <c r="T14" s="172"/>
      <c r="U14" s="175"/>
      <c r="V14" s="30">
        <f t="shared" si="9"/>
        <v>37137</v>
      </c>
      <c r="W14" s="177"/>
      <c r="X14" s="178"/>
      <c r="Y14" s="177"/>
      <c r="Z14" s="178"/>
      <c r="AA14" s="177"/>
      <c r="AB14" s="221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10"/>
        <v>0</v>
      </c>
      <c r="CZ14" s="34">
        <f t="shared" si="11"/>
        <v>0</v>
      </c>
      <c r="DA14" s="188">
        <f t="shared" si="12"/>
        <v>0</v>
      </c>
      <c r="DB14" s="189">
        <f t="shared" si="13"/>
        <v>37137</v>
      </c>
      <c r="DC14" s="188">
        <f t="shared" si="14"/>
        <v>0</v>
      </c>
      <c r="DD14" s="190">
        <v>16</v>
      </c>
      <c r="DE14" s="188">
        <v>1</v>
      </c>
      <c r="DF14" s="170">
        <f t="shared" si="15"/>
        <v>0</v>
      </c>
      <c r="DG14" s="170">
        <f t="shared" si="16"/>
        <v>0</v>
      </c>
      <c r="DH14" s="170">
        <f t="shared" si="17"/>
        <v>0</v>
      </c>
      <c r="DI14" s="170">
        <f t="shared" si="18"/>
        <v>0</v>
      </c>
      <c r="DK14" s="189">
        <v>37137</v>
      </c>
      <c r="DL14" s="167">
        <v>0</v>
      </c>
      <c r="DN14" s="167">
        <f t="shared" si="19"/>
        <v>1</v>
      </c>
    </row>
    <row r="15" spans="1:118" ht="18.75" x14ac:dyDescent="0.3">
      <c r="A15" s="80">
        <f>'NYISO A'!A15</f>
        <v>37138</v>
      </c>
      <c r="B15" s="114">
        <f>+[4]NYZoneJ!$L6/16</f>
        <v>74.732955932617188</v>
      </c>
      <c r="C15" s="35">
        <f t="shared" si="0"/>
        <v>0</v>
      </c>
      <c r="D15" s="36">
        <f t="shared" si="20"/>
        <v>0</v>
      </c>
      <c r="E15" s="23">
        <f t="shared" si="1"/>
        <v>74.732955932617188</v>
      </c>
      <c r="F15" s="24">
        <f>[4]NYZoneJ!$C6</f>
        <v>48.25</v>
      </c>
      <c r="G15" s="38">
        <f t="shared" si="2"/>
        <v>4.75</v>
      </c>
      <c r="H15" s="39">
        <f t="shared" si="3"/>
        <v>53</v>
      </c>
      <c r="I15" s="36">
        <f t="shared" si="4"/>
        <v>5679.7046508789062</v>
      </c>
      <c r="J15" s="27">
        <f t="shared" si="21"/>
        <v>0</v>
      </c>
      <c r="K15" s="40">
        <f t="shared" si="5"/>
        <v>5679.7046508789062</v>
      </c>
      <c r="L15" s="390">
        <f>+AVERAGE(N13:O15,N18:O22,N25:O29,N32:O33)</f>
        <v>44.85</v>
      </c>
      <c r="M15" s="28">
        <f t="shared" si="6"/>
        <v>37138</v>
      </c>
      <c r="N15" s="210">
        <v>53</v>
      </c>
      <c r="O15" s="210">
        <v>53</v>
      </c>
      <c r="P15" s="29">
        <f t="shared" si="7"/>
        <v>4.75</v>
      </c>
      <c r="Q15" s="213"/>
      <c r="R15" s="215">
        <f t="shared" si="8"/>
        <v>53</v>
      </c>
      <c r="S15" s="172"/>
      <c r="T15" s="172"/>
      <c r="U15" s="175"/>
      <c r="V15" s="30">
        <f t="shared" si="9"/>
        <v>37138</v>
      </c>
      <c r="W15" s="372"/>
      <c r="X15" s="3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10"/>
        <v>0</v>
      </c>
      <c r="CZ15" s="34">
        <f t="shared" si="11"/>
        <v>0</v>
      </c>
      <c r="DA15" s="188">
        <f t="shared" si="12"/>
        <v>0</v>
      </c>
      <c r="DB15" s="189">
        <f t="shared" si="13"/>
        <v>37138</v>
      </c>
      <c r="DC15" s="188">
        <f t="shared" si="14"/>
        <v>0</v>
      </c>
      <c r="DD15" s="190">
        <v>16</v>
      </c>
      <c r="DE15" s="188">
        <v>1</v>
      </c>
      <c r="DF15" s="170">
        <f t="shared" si="15"/>
        <v>0</v>
      </c>
      <c r="DG15" s="170">
        <f t="shared" si="16"/>
        <v>0</v>
      </c>
      <c r="DH15" s="170">
        <f t="shared" si="17"/>
        <v>0</v>
      </c>
      <c r="DI15" s="170">
        <f t="shared" si="18"/>
        <v>0</v>
      </c>
      <c r="DK15" s="189">
        <v>37138</v>
      </c>
      <c r="DL15" s="167">
        <v>74.732955932617188</v>
      </c>
      <c r="DN15" s="167">
        <f t="shared" si="19"/>
        <v>1</v>
      </c>
    </row>
    <row r="16" spans="1:118" ht="18.75" x14ac:dyDescent="0.3">
      <c r="A16" s="80">
        <f>'NYISO A'!A16</f>
        <v>37139</v>
      </c>
      <c r="B16" s="114">
        <f>+[4]NYZoneJ!$L7/16</f>
        <v>74.732955932617188</v>
      </c>
      <c r="C16" s="22">
        <f t="shared" si="0"/>
        <v>0</v>
      </c>
      <c r="D16" s="21">
        <f t="shared" si="20"/>
        <v>0</v>
      </c>
      <c r="E16" s="23">
        <f t="shared" si="1"/>
        <v>74.732955932617188</v>
      </c>
      <c r="F16" s="24">
        <f>[4]NYZoneJ!$C7</f>
        <v>48.25</v>
      </c>
      <c r="G16" s="24">
        <f>IF($Q$9,Q16,P16)</f>
        <v>4.75</v>
      </c>
      <c r="H16" s="25">
        <f>F16+G16</f>
        <v>53</v>
      </c>
      <c r="I16" s="26">
        <f t="shared" si="4"/>
        <v>5679.7046508789062</v>
      </c>
      <c r="J16" s="27">
        <f t="shared" si="21"/>
        <v>0</v>
      </c>
      <c r="K16" s="27">
        <f t="shared" si="5"/>
        <v>5679.7046508789062</v>
      </c>
      <c r="L16" s="390"/>
      <c r="M16" s="28">
        <f t="shared" si="6"/>
        <v>37139</v>
      </c>
      <c r="N16" s="210">
        <v>53</v>
      </c>
      <c r="O16" s="210">
        <v>53</v>
      </c>
      <c r="P16" s="29">
        <f t="shared" si="7"/>
        <v>4.75</v>
      </c>
      <c r="Q16" s="213"/>
      <c r="R16" s="215">
        <f t="shared" si="8"/>
        <v>53</v>
      </c>
      <c r="S16" s="172"/>
      <c r="T16" s="172"/>
      <c r="U16" s="175"/>
      <c r="V16" s="30">
        <f t="shared" si="9"/>
        <v>37139</v>
      </c>
      <c r="W16" s="372"/>
      <c r="X16" s="378"/>
      <c r="Y16" s="177"/>
      <c r="Z16" s="178"/>
      <c r="AA16" s="177"/>
      <c r="AB16" s="178"/>
      <c r="AC16" s="177"/>
      <c r="AD16" s="178"/>
      <c r="AE16" s="177"/>
      <c r="AF16" s="178"/>
      <c r="AG16" s="177"/>
      <c r="AH16" s="221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0"/>
        <v>0</v>
      </c>
      <c r="CZ16" s="34">
        <f t="shared" si="11"/>
        <v>0</v>
      </c>
      <c r="DA16" s="188">
        <f t="shared" si="12"/>
        <v>0</v>
      </c>
      <c r="DB16" s="189">
        <f t="shared" si="13"/>
        <v>37139</v>
      </c>
      <c r="DC16" s="188">
        <f t="shared" si="14"/>
        <v>0</v>
      </c>
      <c r="DD16" s="190">
        <v>16</v>
      </c>
      <c r="DE16" s="188">
        <v>1</v>
      </c>
      <c r="DF16" s="170">
        <f t="shared" si="15"/>
        <v>0</v>
      </c>
      <c r="DG16" s="170">
        <f t="shared" si="16"/>
        <v>0</v>
      </c>
      <c r="DH16" s="170">
        <f t="shared" si="17"/>
        <v>0</v>
      </c>
      <c r="DI16" s="170">
        <f t="shared" si="18"/>
        <v>0</v>
      </c>
      <c r="DK16" s="189">
        <v>37139</v>
      </c>
      <c r="DL16" s="167">
        <v>74.732955932617188</v>
      </c>
      <c r="DN16" s="167">
        <f t="shared" si="19"/>
        <v>1</v>
      </c>
    </row>
    <row r="17" spans="1:118" ht="18.75" x14ac:dyDescent="0.3">
      <c r="A17" s="80">
        <f>'NYISO A'!A17</f>
        <v>37140</v>
      </c>
      <c r="B17" s="114">
        <f>+[4]NYZoneJ!$L8/16</f>
        <v>74.732955932617188</v>
      </c>
      <c r="C17" s="35">
        <f t="shared" si="0"/>
        <v>0</v>
      </c>
      <c r="D17" s="36">
        <f t="shared" si="20"/>
        <v>0</v>
      </c>
      <c r="E17" s="399">
        <f t="shared" si="1"/>
        <v>74.732955932617188</v>
      </c>
      <c r="F17" s="24">
        <f>[4]NYZoneJ!$C8</f>
        <v>48.25</v>
      </c>
      <c r="G17" s="38">
        <f t="shared" si="2"/>
        <v>4.75</v>
      </c>
      <c r="H17" s="39">
        <f t="shared" si="3"/>
        <v>53</v>
      </c>
      <c r="I17" s="36">
        <f t="shared" si="4"/>
        <v>5679.7046508789062</v>
      </c>
      <c r="J17" s="27">
        <f t="shared" si="21"/>
        <v>0</v>
      </c>
      <c r="K17" s="40">
        <f t="shared" si="5"/>
        <v>5679.7046508789062</v>
      </c>
      <c r="L17" s="390"/>
      <c r="M17" s="28">
        <f t="shared" si="6"/>
        <v>37140</v>
      </c>
      <c r="N17" s="210">
        <v>53</v>
      </c>
      <c r="O17" s="210">
        <v>53</v>
      </c>
      <c r="P17" s="29">
        <f t="shared" si="7"/>
        <v>4.75</v>
      </c>
      <c r="Q17" s="213"/>
      <c r="R17" s="215">
        <f t="shared" si="8"/>
        <v>53</v>
      </c>
      <c r="S17" s="172"/>
      <c r="T17" s="172"/>
      <c r="U17" s="175"/>
      <c r="V17" s="30">
        <f t="shared" si="9"/>
        <v>37140</v>
      </c>
      <c r="W17" s="177"/>
      <c r="X17" s="219"/>
      <c r="Y17" s="177"/>
      <c r="Z17" s="178"/>
      <c r="AA17" s="177"/>
      <c r="AB17" s="178"/>
      <c r="AC17" s="177"/>
      <c r="AD17" s="222"/>
      <c r="AE17" s="177"/>
      <c r="AF17" s="178"/>
      <c r="AG17" s="177"/>
      <c r="AH17" s="221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0"/>
        <v>0</v>
      </c>
      <c r="CZ17" s="34">
        <f t="shared" si="11"/>
        <v>0</v>
      </c>
      <c r="DA17" s="188">
        <f t="shared" si="12"/>
        <v>0</v>
      </c>
      <c r="DB17" s="189">
        <f t="shared" si="13"/>
        <v>37140</v>
      </c>
      <c r="DC17" s="188">
        <f t="shared" si="14"/>
        <v>0</v>
      </c>
      <c r="DD17" s="190">
        <v>16</v>
      </c>
      <c r="DE17" s="188">
        <v>1</v>
      </c>
      <c r="DF17" s="170">
        <f t="shared" si="15"/>
        <v>0</v>
      </c>
      <c r="DG17" s="170">
        <f t="shared" si="16"/>
        <v>0</v>
      </c>
      <c r="DH17" s="170">
        <f t="shared" si="17"/>
        <v>0</v>
      </c>
      <c r="DI17" s="170">
        <f t="shared" si="18"/>
        <v>0</v>
      </c>
      <c r="DK17" s="189">
        <v>37140</v>
      </c>
      <c r="DL17" s="167">
        <v>74.732955932617188</v>
      </c>
      <c r="DN17" s="167">
        <f t="shared" si="19"/>
        <v>1</v>
      </c>
    </row>
    <row r="18" spans="1:118" ht="18.75" x14ac:dyDescent="0.3">
      <c r="A18" s="80">
        <f>'NYISO A'!A18</f>
        <v>37141</v>
      </c>
      <c r="B18" s="114">
        <f>+[4]NYZoneJ!$L9/16</f>
        <v>74.732955932617188</v>
      </c>
      <c r="C18" s="22">
        <f t="shared" si="0"/>
        <v>0</v>
      </c>
      <c r="D18" s="21">
        <f t="shared" si="20"/>
        <v>0</v>
      </c>
      <c r="E18" s="23">
        <f t="shared" si="1"/>
        <v>74.732955932617188</v>
      </c>
      <c r="F18" s="24">
        <f>[4]NYZoneJ!$C9</f>
        <v>48.25</v>
      </c>
      <c r="G18" s="24">
        <f t="shared" si="2"/>
        <v>0</v>
      </c>
      <c r="H18" s="25">
        <f t="shared" si="3"/>
        <v>48.25</v>
      </c>
      <c r="I18" s="26">
        <f t="shared" si="4"/>
        <v>0</v>
      </c>
      <c r="J18" s="27">
        <f t="shared" si="21"/>
        <v>0</v>
      </c>
      <c r="K18" s="27">
        <f t="shared" si="5"/>
        <v>0</v>
      </c>
      <c r="L18" s="389"/>
      <c r="M18" s="28">
        <f t="shared" si="6"/>
        <v>37141</v>
      </c>
      <c r="N18" s="210">
        <v>48.25</v>
      </c>
      <c r="O18" s="210">
        <v>48.25</v>
      </c>
      <c r="P18" s="29">
        <f t="shared" si="7"/>
        <v>0</v>
      </c>
      <c r="Q18" s="213"/>
      <c r="R18" s="215">
        <f t="shared" si="8"/>
        <v>48.25</v>
      </c>
      <c r="S18" s="172"/>
      <c r="T18" s="172"/>
      <c r="U18" s="175"/>
      <c r="V18" s="30">
        <f t="shared" si="9"/>
        <v>37141</v>
      </c>
      <c r="W18" s="372"/>
      <c r="X18" s="378"/>
      <c r="Y18" s="177"/>
      <c r="Z18" s="178"/>
      <c r="AA18" s="177"/>
      <c r="AB18" s="178"/>
      <c r="AC18" s="177"/>
      <c r="AD18" s="178"/>
      <c r="AE18" s="177"/>
      <c r="AF18" s="178"/>
      <c r="AG18" s="177"/>
      <c r="AH18" s="221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0"/>
        <v>0</v>
      </c>
      <c r="CZ18" s="34">
        <f t="shared" si="11"/>
        <v>0</v>
      </c>
      <c r="DA18" s="188">
        <f t="shared" si="12"/>
        <v>0</v>
      </c>
      <c r="DB18" s="189">
        <f t="shared" si="13"/>
        <v>37141</v>
      </c>
      <c r="DC18" s="188">
        <f t="shared" si="14"/>
        <v>0</v>
      </c>
      <c r="DD18" s="190">
        <v>16</v>
      </c>
      <c r="DE18" s="188">
        <v>1</v>
      </c>
      <c r="DF18" s="170">
        <f t="shared" si="15"/>
        <v>0</v>
      </c>
      <c r="DG18" s="170">
        <f t="shared" si="16"/>
        <v>0</v>
      </c>
      <c r="DH18" s="170">
        <f t="shared" si="17"/>
        <v>0</v>
      </c>
      <c r="DI18" s="170">
        <f t="shared" si="18"/>
        <v>0</v>
      </c>
      <c r="DK18" s="189">
        <v>37141</v>
      </c>
      <c r="DL18" s="167">
        <v>74.732955932617188</v>
      </c>
      <c r="DN18" s="167">
        <f t="shared" si="19"/>
        <v>1</v>
      </c>
    </row>
    <row r="19" spans="1:118" ht="18.75" x14ac:dyDescent="0.3">
      <c r="A19" s="80">
        <f>'NYISO A'!A19</f>
        <v>37142</v>
      </c>
      <c r="B19" s="114">
        <f>+[4]NYZoneJ!$L10/16</f>
        <v>0</v>
      </c>
      <c r="C19" s="35">
        <f t="shared" si="0"/>
        <v>0</v>
      </c>
      <c r="D19" s="36">
        <f t="shared" si="20"/>
        <v>0</v>
      </c>
      <c r="E19" s="23">
        <f t="shared" si="1"/>
        <v>0</v>
      </c>
      <c r="F19" s="24">
        <f>[4]NYZoneJ!$C10</f>
        <v>42</v>
      </c>
      <c r="G19" s="38">
        <f t="shared" si="2"/>
        <v>0</v>
      </c>
      <c r="H19" s="39">
        <f t="shared" si="3"/>
        <v>42</v>
      </c>
      <c r="I19" s="36">
        <f t="shared" si="4"/>
        <v>0</v>
      </c>
      <c r="J19" s="27">
        <f t="shared" ref="J19:J42" si="22">DH19+DI19</f>
        <v>0</v>
      </c>
      <c r="K19" s="40">
        <f t="shared" si="5"/>
        <v>0</v>
      </c>
      <c r="L19" s="389"/>
      <c r="M19" s="28">
        <f t="shared" si="6"/>
        <v>37142</v>
      </c>
      <c r="N19" s="210">
        <v>42</v>
      </c>
      <c r="O19" s="210">
        <v>42</v>
      </c>
      <c r="P19" s="29">
        <f t="shared" si="7"/>
        <v>0</v>
      </c>
      <c r="Q19" s="213"/>
      <c r="R19" s="215">
        <f t="shared" si="8"/>
        <v>42</v>
      </c>
      <c r="S19" s="172"/>
      <c r="T19" s="172"/>
      <c r="U19" s="175"/>
      <c r="V19" s="30">
        <f t="shared" si="9"/>
        <v>37142</v>
      </c>
      <c r="W19" s="372"/>
      <c r="X19" s="378"/>
      <c r="Y19" s="177"/>
      <c r="Z19" s="178"/>
      <c r="AA19" s="177"/>
      <c r="AB19" s="178"/>
      <c r="AC19" s="177"/>
      <c r="AD19" s="178"/>
      <c r="AE19" s="177"/>
      <c r="AF19" s="178"/>
      <c r="AG19" s="177"/>
      <c r="AH19" s="221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0"/>
        <v>0</v>
      </c>
      <c r="CZ19" s="34">
        <f t="shared" si="11"/>
        <v>0</v>
      </c>
      <c r="DA19" s="188">
        <f t="shared" si="12"/>
        <v>0</v>
      </c>
      <c r="DB19" s="189">
        <f t="shared" si="13"/>
        <v>37142</v>
      </c>
      <c r="DC19" s="188">
        <f t="shared" si="14"/>
        <v>0</v>
      </c>
      <c r="DD19" s="190">
        <v>16</v>
      </c>
      <c r="DE19" s="188">
        <v>1</v>
      </c>
      <c r="DF19" s="170">
        <f t="shared" si="15"/>
        <v>0</v>
      </c>
      <c r="DG19" s="170">
        <f t="shared" si="16"/>
        <v>0</v>
      </c>
      <c r="DH19" s="170">
        <f t="shared" si="17"/>
        <v>0</v>
      </c>
      <c r="DI19" s="170">
        <f t="shared" si="18"/>
        <v>0</v>
      </c>
      <c r="DK19" s="189">
        <v>37142</v>
      </c>
      <c r="DL19" s="167">
        <v>0</v>
      </c>
      <c r="DN19" s="167">
        <f t="shared" si="19"/>
        <v>0</v>
      </c>
    </row>
    <row r="20" spans="1:118" ht="18.75" x14ac:dyDescent="0.3">
      <c r="A20" s="80">
        <f>'NYISO A'!A20</f>
        <v>37143</v>
      </c>
      <c r="B20" s="114">
        <f>+[4]NYZoneJ!$L11/16</f>
        <v>0</v>
      </c>
      <c r="C20" s="22">
        <f t="shared" si="0"/>
        <v>0</v>
      </c>
      <c r="D20" s="21">
        <f t="shared" si="20"/>
        <v>0</v>
      </c>
      <c r="E20" s="23">
        <f t="shared" si="1"/>
        <v>0</v>
      </c>
      <c r="F20" s="24">
        <f>[4]NYZoneJ!$C11</f>
        <v>42</v>
      </c>
      <c r="G20" s="24">
        <f t="shared" si="2"/>
        <v>0</v>
      </c>
      <c r="H20" s="25">
        <f t="shared" si="3"/>
        <v>42</v>
      </c>
      <c r="I20" s="26">
        <f t="shared" si="4"/>
        <v>0</v>
      </c>
      <c r="J20" s="27">
        <f t="shared" si="22"/>
        <v>0</v>
      </c>
      <c r="K20" s="27">
        <f t="shared" si="5"/>
        <v>0</v>
      </c>
      <c r="L20" s="389"/>
      <c r="M20" s="28">
        <f t="shared" si="6"/>
        <v>37143</v>
      </c>
      <c r="N20" s="210">
        <v>42</v>
      </c>
      <c r="O20" s="210">
        <v>42</v>
      </c>
      <c r="P20" s="29">
        <f t="shared" si="7"/>
        <v>0</v>
      </c>
      <c r="Q20" s="213"/>
      <c r="R20" s="215">
        <f t="shared" si="8"/>
        <v>42</v>
      </c>
      <c r="S20" s="172"/>
      <c r="T20" s="172"/>
      <c r="U20" s="175"/>
      <c r="V20" s="30">
        <f t="shared" si="9"/>
        <v>37143</v>
      </c>
      <c r="W20" s="372"/>
      <c r="X20" s="378"/>
      <c r="Y20" s="177"/>
      <c r="Z20" s="178"/>
      <c r="AA20" s="177"/>
      <c r="AB20" s="178"/>
      <c r="AC20" s="177"/>
      <c r="AD20" s="178"/>
      <c r="AE20" s="177"/>
      <c r="AF20" s="178"/>
      <c r="AG20" s="177"/>
      <c r="AH20" s="221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0"/>
        <v>0</v>
      </c>
      <c r="CZ20" s="34">
        <f t="shared" si="11"/>
        <v>0</v>
      </c>
      <c r="DA20" s="188">
        <f t="shared" si="12"/>
        <v>0</v>
      </c>
      <c r="DB20" s="189">
        <f t="shared" si="13"/>
        <v>37143</v>
      </c>
      <c r="DC20" s="188">
        <f t="shared" si="14"/>
        <v>0</v>
      </c>
      <c r="DD20" s="190">
        <v>16</v>
      </c>
      <c r="DE20" s="188">
        <v>1</v>
      </c>
      <c r="DF20" s="170">
        <f t="shared" si="15"/>
        <v>0</v>
      </c>
      <c r="DG20" s="170">
        <f t="shared" si="16"/>
        <v>0</v>
      </c>
      <c r="DH20" s="170">
        <f t="shared" si="17"/>
        <v>0</v>
      </c>
      <c r="DI20" s="170">
        <f t="shared" si="18"/>
        <v>0</v>
      </c>
      <c r="DK20" s="189">
        <v>37143</v>
      </c>
      <c r="DL20" s="167">
        <v>0</v>
      </c>
      <c r="DN20" s="167">
        <f t="shared" si="19"/>
        <v>0</v>
      </c>
    </row>
    <row r="21" spans="1:118" ht="18.75" x14ac:dyDescent="0.3">
      <c r="A21" s="80">
        <f>'NYISO A'!A21</f>
        <v>37144</v>
      </c>
      <c r="B21" s="114">
        <f>+[4]NYZoneJ!$L12/16</f>
        <v>74.732955932617188</v>
      </c>
      <c r="C21" s="35">
        <f t="shared" si="0"/>
        <v>0</v>
      </c>
      <c r="D21" s="36">
        <f t="shared" si="20"/>
        <v>0</v>
      </c>
      <c r="E21" s="23">
        <f t="shared" si="1"/>
        <v>74.732955932617188</v>
      </c>
      <c r="F21" s="24">
        <f>[4]NYZoneJ!$C12</f>
        <v>45.75</v>
      </c>
      <c r="G21" s="38">
        <f t="shared" si="2"/>
        <v>0</v>
      </c>
      <c r="H21" s="39">
        <f t="shared" si="3"/>
        <v>45.75</v>
      </c>
      <c r="I21" s="36">
        <f t="shared" si="4"/>
        <v>0</v>
      </c>
      <c r="J21" s="27">
        <f t="shared" si="22"/>
        <v>0</v>
      </c>
      <c r="K21" s="40">
        <f t="shared" si="5"/>
        <v>0</v>
      </c>
      <c r="L21" s="389"/>
      <c r="M21" s="28">
        <f t="shared" si="6"/>
        <v>37144</v>
      </c>
      <c r="N21" s="210">
        <v>45.75</v>
      </c>
      <c r="O21" s="210">
        <v>45.75</v>
      </c>
      <c r="P21" s="29">
        <f t="shared" si="7"/>
        <v>0</v>
      </c>
      <c r="Q21" s="213"/>
      <c r="R21" s="215">
        <f t="shared" si="8"/>
        <v>45.75</v>
      </c>
      <c r="S21" s="172"/>
      <c r="T21" s="172"/>
      <c r="U21" s="175"/>
      <c r="V21" s="30">
        <f t="shared" si="9"/>
        <v>37144</v>
      </c>
      <c r="W21" s="372"/>
      <c r="X21" s="378"/>
      <c r="Y21" s="177"/>
      <c r="Z21" s="178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0"/>
        <v>0</v>
      </c>
      <c r="CZ21" s="34">
        <f t="shared" si="11"/>
        <v>0</v>
      </c>
      <c r="DA21" s="188">
        <f t="shared" si="12"/>
        <v>0</v>
      </c>
      <c r="DB21" s="189">
        <f t="shared" si="13"/>
        <v>37144</v>
      </c>
      <c r="DC21" s="188">
        <f t="shared" si="14"/>
        <v>0</v>
      </c>
      <c r="DD21" s="190">
        <v>16</v>
      </c>
      <c r="DE21" s="188">
        <v>1</v>
      </c>
      <c r="DF21" s="170">
        <f t="shared" si="15"/>
        <v>0</v>
      </c>
      <c r="DG21" s="170">
        <f t="shared" si="16"/>
        <v>0</v>
      </c>
      <c r="DH21" s="170">
        <f t="shared" si="17"/>
        <v>0</v>
      </c>
      <c r="DI21" s="170">
        <f t="shared" si="18"/>
        <v>0</v>
      </c>
      <c r="DK21" s="189">
        <v>37144</v>
      </c>
      <c r="DL21" s="167">
        <v>74.732955932617188</v>
      </c>
      <c r="DN21" s="167">
        <f t="shared" si="19"/>
        <v>1</v>
      </c>
    </row>
    <row r="22" spans="1:118" ht="18.75" x14ac:dyDescent="0.3">
      <c r="A22" s="80">
        <f>'NYISO A'!A22</f>
        <v>37145</v>
      </c>
      <c r="B22" s="114">
        <f>+[4]NYZoneJ!$L13/16</f>
        <v>74.732955932617188</v>
      </c>
      <c r="C22" s="22">
        <f t="shared" si="0"/>
        <v>0</v>
      </c>
      <c r="D22" s="21">
        <f t="shared" si="20"/>
        <v>0</v>
      </c>
      <c r="E22" s="23">
        <f t="shared" si="1"/>
        <v>74.732955932617188</v>
      </c>
      <c r="F22" s="24">
        <f>[4]NYZoneJ!$C13</f>
        <v>45.75</v>
      </c>
      <c r="G22" s="24">
        <f t="shared" si="2"/>
        <v>0</v>
      </c>
      <c r="H22" s="25">
        <f t="shared" si="3"/>
        <v>45.75</v>
      </c>
      <c r="I22" s="26">
        <f t="shared" si="4"/>
        <v>0</v>
      </c>
      <c r="J22" s="27">
        <f t="shared" si="22"/>
        <v>0</v>
      </c>
      <c r="K22" s="27">
        <f t="shared" si="5"/>
        <v>0</v>
      </c>
      <c r="L22" s="390"/>
      <c r="M22" s="28">
        <f t="shared" si="6"/>
        <v>37145</v>
      </c>
      <c r="N22" s="210">
        <v>45.75</v>
      </c>
      <c r="O22" s="210">
        <v>45.75</v>
      </c>
      <c r="P22" s="29">
        <f t="shared" si="7"/>
        <v>0</v>
      </c>
      <c r="Q22" s="213"/>
      <c r="R22" s="215">
        <f t="shared" si="8"/>
        <v>45.75</v>
      </c>
      <c r="S22" s="172"/>
      <c r="T22" s="172"/>
      <c r="U22" s="175"/>
      <c r="V22" s="30">
        <f t="shared" si="9"/>
        <v>37145</v>
      </c>
      <c r="W22" s="372"/>
      <c r="X22" s="378"/>
      <c r="Y22" s="177"/>
      <c r="Z22" s="178"/>
      <c r="AA22" s="372"/>
      <c r="AB22" s="222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0"/>
        <v>0</v>
      </c>
      <c r="CZ22" s="34">
        <f t="shared" si="11"/>
        <v>0</v>
      </c>
      <c r="DA22" s="188">
        <f t="shared" si="12"/>
        <v>0</v>
      </c>
      <c r="DB22" s="189">
        <f t="shared" si="13"/>
        <v>37145</v>
      </c>
      <c r="DC22" s="188">
        <f t="shared" si="14"/>
        <v>0</v>
      </c>
      <c r="DD22" s="190">
        <v>16</v>
      </c>
      <c r="DE22" s="188">
        <v>1</v>
      </c>
      <c r="DF22" s="170">
        <f t="shared" si="15"/>
        <v>0</v>
      </c>
      <c r="DG22" s="170">
        <f t="shared" si="16"/>
        <v>0</v>
      </c>
      <c r="DH22" s="170">
        <f t="shared" si="17"/>
        <v>0</v>
      </c>
      <c r="DI22" s="170">
        <f t="shared" si="18"/>
        <v>0</v>
      </c>
      <c r="DK22" s="189">
        <v>37145</v>
      </c>
      <c r="DL22" s="167">
        <v>74.732955932617188</v>
      </c>
      <c r="DN22" s="167">
        <f t="shared" si="19"/>
        <v>1</v>
      </c>
    </row>
    <row r="23" spans="1:118" ht="18.75" x14ac:dyDescent="0.3">
      <c r="A23" s="80">
        <f>'NYISO A'!A23</f>
        <v>37146</v>
      </c>
      <c r="B23" s="114">
        <f>+[4]NYZoneJ!$L14/16</f>
        <v>74.732955932617188</v>
      </c>
      <c r="C23" s="35">
        <f t="shared" si="0"/>
        <v>0</v>
      </c>
      <c r="D23" s="36">
        <f t="shared" si="20"/>
        <v>0</v>
      </c>
      <c r="E23" s="23">
        <f t="shared" si="1"/>
        <v>74.732955932617188</v>
      </c>
      <c r="F23" s="24">
        <f>[4]NYZoneJ!$C14</f>
        <v>45.75</v>
      </c>
      <c r="G23" s="38">
        <f t="shared" si="2"/>
        <v>0</v>
      </c>
      <c r="H23" s="39">
        <f t="shared" si="3"/>
        <v>45.75</v>
      </c>
      <c r="I23" s="36">
        <f t="shared" si="4"/>
        <v>0</v>
      </c>
      <c r="J23" s="27">
        <f t="shared" si="22"/>
        <v>0</v>
      </c>
      <c r="K23" s="40">
        <f t="shared" si="5"/>
        <v>0</v>
      </c>
      <c r="L23" s="390"/>
      <c r="M23" s="28">
        <f t="shared" si="6"/>
        <v>37146</v>
      </c>
      <c r="N23" s="210">
        <v>45.75</v>
      </c>
      <c r="O23" s="210">
        <v>45.75</v>
      </c>
      <c r="P23" s="29">
        <f t="shared" si="7"/>
        <v>0</v>
      </c>
      <c r="Q23" s="213"/>
      <c r="R23" s="215">
        <f t="shared" si="8"/>
        <v>45.75</v>
      </c>
      <c r="S23" s="172"/>
      <c r="T23" s="172"/>
      <c r="U23" s="175"/>
      <c r="V23" s="30">
        <f t="shared" si="9"/>
        <v>37146</v>
      </c>
      <c r="W23" s="372"/>
      <c r="X23" s="378"/>
      <c r="Y23" s="177"/>
      <c r="Z23" s="178"/>
      <c r="AA23" s="177"/>
      <c r="AB23" s="178"/>
      <c r="AC23" s="372"/>
      <c r="AD23" s="222"/>
      <c r="AE23" s="177"/>
      <c r="AF23" s="178"/>
      <c r="AG23" s="177"/>
      <c r="AH23" s="221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0"/>
        <v>0</v>
      </c>
      <c r="CZ23" s="34">
        <f t="shared" si="11"/>
        <v>0</v>
      </c>
      <c r="DA23" s="188">
        <f t="shared" si="12"/>
        <v>0</v>
      </c>
      <c r="DB23" s="189">
        <f t="shared" si="13"/>
        <v>37146</v>
      </c>
      <c r="DC23" s="188">
        <f t="shared" si="14"/>
        <v>0</v>
      </c>
      <c r="DD23" s="190">
        <v>16</v>
      </c>
      <c r="DE23" s="188">
        <v>1</v>
      </c>
      <c r="DF23" s="170">
        <f t="shared" si="15"/>
        <v>0</v>
      </c>
      <c r="DG23" s="170">
        <f t="shared" si="16"/>
        <v>0</v>
      </c>
      <c r="DH23" s="170">
        <f t="shared" si="17"/>
        <v>0</v>
      </c>
      <c r="DI23" s="170">
        <f t="shared" si="18"/>
        <v>0</v>
      </c>
      <c r="DK23" s="189">
        <v>37146</v>
      </c>
      <c r="DL23" s="167">
        <v>74.732955932617188</v>
      </c>
      <c r="DM23" s="167">
        <f>[2]NEPOOL!$L10</f>
        <v>-1189.7</v>
      </c>
      <c r="DN23" s="167">
        <f t="shared" si="19"/>
        <v>1</v>
      </c>
    </row>
    <row r="24" spans="1:118" ht="18.75" x14ac:dyDescent="0.3">
      <c r="A24" s="80">
        <f>'NYISO A'!A24</f>
        <v>37147</v>
      </c>
      <c r="B24" s="114">
        <f>+[4]NYZoneJ!$L15/16</f>
        <v>74.732955932617188</v>
      </c>
      <c r="C24" s="22">
        <f t="shared" si="0"/>
        <v>0</v>
      </c>
      <c r="D24" s="21">
        <f t="shared" si="20"/>
        <v>0</v>
      </c>
      <c r="E24" s="23">
        <f t="shared" si="1"/>
        <v>74.732955932617188</v>
      </c>
      <c r="F24" s="24">
        <f>[4]NYZoneJ!$C15</f>
        <v>45.75</v>
      </c>
      <c r="G24" s="24">
        <f t="shared" si="2"/>
        <v>0</v>
      </c>
      <c r="H24" s="25">
        <f t="shared" si="3"/>
        <v>45.75</v>
      </c>
      <c r="I24" s="26">
        <f t="shared" si="4"/>
        <v>0</v>
      </c>
      <c r="J24" s="27">
        <f t="shared" si="22"/>
        <v>0</v>
      </c>
      <c r="K24" s="27">
        <f t="shared" si="5"/>
        <v>0</v>
      </c>
      <c r="L24" s="390"/>
      <c r="M24" s="28">
        <f t="shared" si="6"/>
        <v>37147</v>
      </c>
      <c r="N24" s="210">
        <v>45.75</v>
      </c>
      <c r="O24" s="210">
        <v>45.75</v>
      </c>
      <c r="P24" s="29">
        <f t="shared" si="7"/>
        <v>0</v>
      </c>
      <c r="Q24" s="213"/>
      <c r="R24" s="215">
        <f t="shared" si="8"/>
        <v>45.75</v>
      </c>
      <c r="S24" s="172"/>
      <c r="T24" s="172"/>
      <c r="U24" s="175"/>
      <c r="V24" s="30">
        <f t="shared" si="9"/>
        <v>37147</v>
      </c>
      <c r="W24" s="372"/>
      <c r="X24" s="378"/>
      <c r="Y24" s="177"/>
      <c r="Z24" s="178"/>
      <c r="AA24" s="177"/>
      <c r="AB24" s="178"/>
      <c r="AC24" s="372"/>
      <c r="AD24" s="222"/>
      <c r="AE24" s="177"/>
      <c r="AF24" s="178"/>
      <c r="AG24" s="177"/>
      <c r="AH24" s="221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0"/>
        <v>0</v>
      </c>
      <c r="CZ24" s="34">
        <f t="shared" si="11"/>
        <v>0</v>
      </c>
      <c r="DA24" s="188">
        <f t="shared" si="12"/>
        <v>0</v>
      </c>
      <c r="DB24" s="189">
        <f t="shared" si="13"/>
        <v>37147</v>
      </c>
      <c r="DC24" s="188">
        <f t="shared" si="14"/>
        <v>0</v>
      </c>
      <c r="DD24" s="190">
        <v>16</v>
      </c>
      <c r="DE24" s="188">
        <v>1</v>
      </c>
      <c r="DF24" s="170">
        <f t="shared" si="15"/>
        <v>0</v>
      </c>
      <c r="DG24" s="170">
        <f t="shared" si="16"/>
        <v>0</v>
      </c>
      <c r="DH24" s="170">
        <f t="shared" si="17"/>
        <v>0</v>
      </c>
      <c r="DI24" s="170">
        <f t="shared" si="18"/>
        <v>0</v>
      </c>
      <c r="DK24" s="189">
        <v>37147</v>
      </c>
      <c r="DL24" s="167">
        <v>74.732955932617188</v>
      </c>
      <c r="DM24" s="167">
        <f>[2]NEPOOL!$L11</f>
        <v>-1189.7</v>
      </c>
      <c r="DN24" s="167">
        <f t="shared" si="19"/>
        <v>1</v>
      </c>
    </row>
    <row r="25" spans="1:118" ht="18.75" x14ac:dyDescent="0.3">
      <c r="A25" s="80">
        <f>'NYISO A'!A25</f>
        <v>37148</v>
      </c>
      <c r="B25" s="114">
        <f>+[4]NYZoneJ!$L16/16</f>
        <v>74.732955932617188</v>
      </c>
      <c r="C25" s="35">
        <f t="shared" si="0"/>
        <v>0</v>
      </c>
      <c r="D25" s="36">
        <f t="shared" si="20"/>
        <v>0</v>
      </c>
      <c r="E25" s="23">
        <f t="shared" si="1"/>
        <v>74.732955932617188</v>
      </c>
      <c r="F25" s="24">
        <f>[4]NYZoneJ!$C16</f>
        <v>45.75</v>
      </c>
      <c r="G25" s="38">
        <f t="shared" si="2"/>
        <v>0</v>
      </c>
      <c r="H25" s="39">
        <f t="shared" si="3"/>
        <v>45.75</v>
      </c>
      <c r="I25" s="36">
        <f t="shared" si="4"/>
        <v>0</v>
      </c>
      <c r="J25" s="27">
        <f t="shared" si="22"/>
        <v>0</v>
      </c>
      <c r="K25" s="40">
        <f t="shared" si="5"/>
        <v>0</v>
      </c>
      <c r="M25" s="28">
        <f t="shared" si="6"/>
        <v>37148</v>
      </c>
      <c r="N25" s="210">
        <v>45.75</v>
      </c>
      <c r="O25" s="210">
        <v>45.75</v>
      </c>
      <c r="P25" s="29">
        <f t="shared" si="7"/>
        <v>0</v>
      </c>
      <c r="Q25" s="213"/>
      <c r="R25" s="215">
        <f t="shared" si="8"/>
        <v>45.75</v>
      </c>
      <c r="S25" s="172"/>
      <c r="T25" s="172"/>
      <c r="U25" s="175"/>
      <c r="V25" s="30">
        <f t="shared" si="9"/>
        <v>37148</v>
      </c>
      <c r="W25" s="372"/>
      <c r="X25" s="378"/>
      <c r="Y25" s="177"/>
      <c r="Z25" s="178"/>
      <c r="AA25" s="177"/>
      <c r="AB25" s="178"/>
      <c r="AC25" s="177"/>
      <c r="AD25" s="178"/>
      <c r="AE25" s="177"/>
      <c r="AF25" s="178"/>
      <c r="AG25" s="177"/>
      <c r="AH25" s="221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0"/>
        <v>0</v>
      </c>
      <c r="CZ25" s="34">
        <f t="shared" si="11"/>
        <v>0</v>
      </c>
      <c r="DA25" s="188">
        <f t="shared" si="12"/>
        <v>0</v>
      </c>
      <c r="DB25" s="189">
        <f t="shared" si="13"/>
        <v>37148</v>
      </c>
      <c r="DC25" s="188">
        <f t="shared" si="14"/>
        <v>0</v>
      </c>
      <c r="DD25" s="190">
        <v>16</v>
      </c>
      <c r="DE25" s="188">
        <v>1</v>
      </c>
      <c r="DF25" s="170">
        <f t="shared" si="15"/>
        <v>0</v>
      </c>
      <c r="DG25" s="170">
        <f t="shared" si="16"/>
        <v>0</v>
      </c>
      <c r="DH25" s="170">
        <f t="shared" si="17"/>
        <v>0</v>
      </c>
      <c r="DI25" s="170">
        <f t="shared" si="18"/>
        <v>0</v>
      </c>
      <c r="DK25" s="189">
        <v>37148</v>
      </c>
      <c r="DL25" s="167">
        <v>74.732955932617188</v>
      </c>
      <c r="DM25" s="167">
        <f>[2]NEPOOL!$L12</f>
        <v>-1189.7</v>
      </c>
      <c r="DN25" s="167">
        <f t="shared" si="19"/>
        <v>1</v>
      </c>
    </row>
    <row r="26" spans="1:118" ht="18.75" x14ac:dyDescent="0.3">
      <c r="A26" s="80">
        <f>'NYISO A'!A26</f>
        <v>37149</v>
      </c>
      <c r="B26" s="114">
        <f>+[4]NYZoneJ!$L17/16</f>
        <v>0</v>
      </c>
      <c r="C26" s="22">
        <f t="shared" si="0"/>
        <v>0</v>
      </c>
      <c r="D26" s="21">
        <f t="shared" si="20"/>
        <v>0</v>
      </c>
      <c r="E26" s="23">
        <f t="shared" si="1"/>
        <v>0</v>
      </c>
      <c r="F26" s="24">
        <f>[4]NYZoneJ!$C17</f>
        <v>42</v>
      </c>
      <c r="G26" s="24">
        <f t="shared" si="2"/>
        <v>0</v>
      </c>
      <c r="H26" s="25">
        <f t="shared" si="3"/>
        <v>42</v>
      </c>
      <c r="I26" s="26">
        <f t="shared" si="4"/>
        <v>0</v>
      </c>
      <c r="J26" s="27">
        <f t="shared" si="22"/>
        <v>0</v>
      </c>
      <c r="K26" s="27">
        <f t="shared" si="5"/>
        <v>0</v>
      </c>
      <c r="L26" s="390"/>
      <c r="M26" s="28">
        <f t="shared" si="6"/>
        <v>37149</v>
      </c>
      <c r="N26" s="210">
        <v>42</v>
      </c>
      <c r="O26" s="210">
        <v>42</v>
      </c>
      <c r="P26" s="29">
        <f t="shared" si="7"/>
        <v>0</v>
      </c>
      <c r="Q26" s="213"/>
      <c r="R26" s="215">
        <f t="shared" si="8"/>
        <v>42</v>
      </c>
      <c r="S26" s="172"/>
      <c r="T26" s="172"/>
      <c r="U26" s="175"/>
      <c r="V26" s="30">
        <f t="shared" si="9"/>
        <v>37149</v>
      </c>
      <c r="W26" s="372"/>
      <c r="X26" s="378"/>
      <c r="Y26" s="177"/>
      <c r="Z26" s="178"/>
      <c r="AA26" s="177"/>
      <c r="AB26" s="178"/>
      <c r="AC26" s="177"/>
      <c r="AD26" s="178"/>
      <c r="AE26" s="177"/>
      <c r="AF26" s="178"/>
      <c r="AG26" s="177"/>
      <c r="AH26" s="221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0"/>
        <v>0</v>
      </c>
      <c r="CZ26" s="34">
        <f t="shared" si="11"/>
        <v>0</v>
      </c>
      <c r="DA26" s="188">
        <f t="shared" si="12"/>
        <v>0</v>
      </c>
      <c r="DB26" s="189">
        <f t="shared" si="13"/>
        <v>37149</v>
      </c>
      <c r="DC26" s="188">
        <f t="shared" si="14"/>
        <v>0</v>
      </c>
      <c r="DD26" s="190">
        <v>16</v>
      </c>
      <c r="DE26" s="188">
        <v>1</v>
      </c>
      <c r="DF26" s="170">
        <f t="shared" si="15"/>
        <v>0</v>
      </c>
      <c r="DG26" s="170">
        <f t="shared" si="16"/>
        <v>0</v>
      </c>
      <c r="DH26" s="170">
        <f t="shared" si="17"/>
        <v>0</v>
      </c>
      <c r="DI26" s="170">
        <f t="shared" si="18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9"/>
        <v>0</v>
      </c>
    </row>
    <row r="27" spans="1:118" ht="18.75" x14ac:dyDescent="0.3">
      <c r="A27" s="80">
        <f>'NYISO A'!A27</f>
        <v>37150</v>
      </c>
      <c r="B27" s="114">
        <f>+[4]NYZoneJ!$L18/16</f>
        <v>0</v>
      </c>
      <c r="C27" s="35">
        <f t="shared" si="0"/>
        <v>0</v>
      </c>
      <c r="D27" s="36">
        <f t="shared" si="20"/>
        <v>0</v>
      </c>
      <c r="E27" s="23">
        <f t="shared" si="1"/>
        <v>0</v>
      </c>
      <c r="F27" s="24">
        <f>[4]NYZoneJ!$C18</f>
        <v>42</v>
      </c>
      <c r="G27" s="38">
        <f t="shared" si="2"/>
        <v>0</v>
      </c>
      <c r="H27" s="39">
        <f t="shared" si="3"/>
        <v>42</v>
      </c>
      <c r="I27" s="36">
        <f t="shared" si="4"/>
        <v>0</v>
      </c>
      <c r="J27" s="27">
        <f t="shared" si="22"/>
        <v>0</v>
      </c>
      <c r="K27" s="40">
        <f t="shared" si="5"/>
        <v>0</v>
      </c>
      <c r="L27" s="390"/>
      <c r="M27" s="28">
        <f t="shared" si="6"/>
        <v>37150</v>
      </c>
      <c r="N27" s="210">
        <v>42</v>
      </c>
      <c r="O27" s="210">
        <v>42</v>
      </c>
      <c r="P27" s="29">
        <f t="shared" si="7"/>
        <v>0</v>
      </c>
      <c r="Q27" s="213"/>
      <c r="R27" s="215">
        <f t="shared" si="8"/>
        <v>42</v>
      </c>
      <c r="S27" s="172"/>
      <c r="T27" s="172"/>
      <c r="U27" s="175"/>
      <c r="V27" s="30">
        <f t="shared" si="9"/>
        <v>37150</v>
      </c>
      <c r="W27" s="372"/>
      <c r="X27" s="378"/>
      <c r="Y27" s="177"/>
      <c r="Z27" s="178"/>
      <c r="AA27" s="177"/>
      <c r="AB27" s="178"/>
      <c r="AC27" s="177"/>
      <c r="AD27" s="178"/>
      <c r="AE27" s="177"/>
      <c r="AF27" s="178"/>
      <c r="AG27" s="177"/>
      <c r="AH27" s="221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0"/>
        <v>0</v>
      </c>
      <c r="CZ27" s="34">
        <f t="shared" si="11"/>
        <v>0</v>
      </c>
      <c r="DA27" s="188">
        <f t="shared" si="12"/>
        <v>0</v>
      </c>
      <c r="DB27" s="189">
        <f t="shared" si="13"/>
        <v>37150</v>
      </c>
      <c r="DC27" s="188">
        <f t="shared" si="14"/>
        <v>0</v>
      </c>
      <c r="DD27" s="190">
        <v>16</v>
      </c>
      <c r="DE27" s="188">
        <v>1</v>
      </c>
      <c r="DF27" s="170">
        <f t="shared" si="15"/>
        <v>0</v>
      </c>
      <c r="DG27" s="170">
        <f t="shared" si="16"/>
        <v>0</v>
      </c>
      <c r="DH27" s="170">
        <f t="shared" si="17"/>
        <v>0</v>
      </c>
      <c r="DI27" s="170">
        <f t="shared" si="18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9"/>
        <v>0</v>
      </c>
    </row>
    <row r="28" spans="1:118" ht="18.75" x14ac:dyDescent="0.3">
      <c r="A28" s="80">
        <f>'NYISO A'!A28</f>
        <v>37151</v>
      </c>
      <c r="B28" s="114">
        <f>+[4]NYZoneJ!$L19/16</f>
        <v>74.732955932617188</v>
      </c>
      <c r="C28" s="22">
        <f t="shared" si="0"/>
        <v>0</v>
      </c>
      <c r="D28" s="21">
        <f t="shared" si="20"/>
        <v>0</v>
      </c>
      <c r="E28" s="23">
        <f t="shared" si="1"/>
        <v>74.732955932617188</v>
      </c>
      <c r="F28" s="24">
        <f>[4]NYZoneJ!$C19</f>
        <v>45.75</v>
      </c>
      <c r="G28" s="24">
        <f t="shared" si="2"/>
        <v>0</v>
      </c>
      <c r="H28" s="25">
        <f t="shared" si="3"/>
        <v>45.75</v>
      </c>
      <c r="I28" s="26">
        <f t="shared" si="4"/>
        <v>0</v>
      </c>
      <c r="J28" s="27">
        <f t="shared" si="22"/>
        <v>0</v>
      </c>
      <c r="K28" s="27">
        <f t="shared" si="5"/>
        <v>0</v>
      </c>
      <c r="M28" s="28">
        <f t="shared" si="6"/>
        <v>37151</v>
      </c>
      <c r="N28" s="210">
        <v>45.75</v>
      </c>
      <c r="O28" s="210">
        <v>45.75</v>
      </c>
      <c r="P28" s="29">
        <f t="shared" si="7"/>
        <v>0</v>
      </c>
      <c r="Q28" s="213"/>
      <c r="R28" s="215">
        <f t="shared" si="8"/>
        <v>45.75</v>
      </c>
      <c r="S28" s="172"/>
      <c r="T28" s="172"/>
      <c r="U28" s="175"/>
      <c r="V28" s="30">
        <f t="shared" si="9"/>
        <v>37151</v>
      </c>
      <c r="W28" s="372"/>
      <c r="X28" s="378"/>
      <c r="Y28" s="177"/>
      <c r="Z28" s="178"/>
      <c r="AA28" s="177"/>
      <c r="AB28" s="222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0"/>
        <v>0</v>
      </c>
      <c r="CZ28" s="34">
        <f t="shared" si="11"/>
        <v>0</v>
      </c>
      <c r="DA28" s="188">
        <f t="shared" si="12"/>
        <v>0</v>
      </c>
      <c r="DB28" s="189">
        <f t="shared" si="13"/>
        <v>37151</v>
      </c>
      <c r="DC28" s="188">
        <f t="shared" si="14"/>
        <v>0</v>
      </c>
      <c r="DD28" s="190">
        <v>16</v>
      </c>
      <c r="DE28" s="188">
        <v>1</v>
      </c>
      <c r="DF28" s="170">
        <f t="shared" si="15"/>
        <v>0</v>
      </c>
      <c r="DG28" s="170">
        <f t="shared" si="16"/>
        <v>0</v>
      </c>
      <c r="DH28" s="170">
        <f t="shared" si="17"/>
        <v>0</v>
      </c>
      <c r="DI28" s="170">
        <f t="shared" si="18"/>
        <v>0</v>
      </c>
      <c r="DK28" s="189">
        <v>37151</v>
      </c>
      <c r="DL28" s="167">
        <v>74.732955932617188</v>
      </c>
      <c r="DM28" s="167">
        <f>[2]NEPOOL!$L15</f>
        <v>0</v>
      </c>
      <c r="DN28" s="167">
        <f t="shared" si="19"/>
        <v>1</v>
      </c>
    </row>
    <row r="29" spans="1:118" ht="18.75" x14ac:dyDescent="0.3">
      <c r="A29" s="80">
        <f>'NYISO A'!A29</f>
        <v>37152</v>
      </c>
      <c r="B29" s="114">
        <f>+[4]NYZoneJ!$L20/16</f>
        <v>74.732955932617188</v>
      </c>
      <c r="C29" s="35">
        <f t="shared" si="0"/>
        <v>0</v>
      </c>
      <c r="D29" s="36">
        <f t="shared" si="20"/>
        <v>0</v>
      </c>
      <c r="E29" s="23">
        <f t="shared" si="1"/>
        <v>74.732955932617188</v>
      </c>
      <c r="F29" s="24">
        <f>[4]NYZoneJ!$C20</f>
        <v>45.75</v>
      </c>
      <c r="G29" s="38">
        <f t="shared" si="2"/>
        <v>0</v>
      </c>
      <c r="H29" s="39">
        <f t="shared" si="3"/>
        <v>45.75</v>
      </c>
      <c r="I29" s="36">
        <f t="shared" si="4"/>
        <v>0</v>
      </c>
      <c r="J29" s="27">
        <f t="shared" si="22"/>
        <v>0</v>
      </c>
      <c r="K29" s="40">
        <f t="shared" si="5"/>
        <v>0</v>
      </c>
      <c r="L29" s="172"/>
      <c r="M29" s="28">
        <f t="shared" si="6"/>
        <v>37152</v>
      </c>
      <c r="N29" s="210">
        <v>45.75</v>
      </c>
      <c r="O29" s="210">
        <v>45.75</v>
      </c>
      <c r="P29" s="29">
        <f t="shared" si="7"/>
        <v>0</v>
      </c>
      <c r="Q29" s="213"/>
      <c r="R29" s="215">
        <f t="shared" si="8"/>
        <v>45.75</v>
      </c>
      <c r="S29" s="172"/>
      <c r="T29" s="172"/>
      <c r="U29" s="175"/>
      <c r="V29" s="30">
        <f t="shared" si="9"/>
        <v>37152</v>
      </c>
      <c r="W29" s="372"/>
      <c r="X29" s="378"/>
      <c r="Y29" s="177"/>
      <c r="Z29" s="178"/>
      <c r="AA29" s="372"/>
      <c r="AB29" s="222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0"/>
        <v>0</v>
      </c>
      <c r="CZ29" s="34">
        <f t="shared" si="11"/>
        <v>0</v>
      </c>
      <c r="DA29" s="188">
        <f t="shared" si="12"/>
        <v>0</v>
      </c>
      <c r="DB29" s="189">
        <f t="shared" si="13"/>
        <v>37152</v>
      </c>
      <c r="DC29" s="188">
        <f t="shared" si="14"/>
        <v>0</v>
      </c>
      <c r="DD29" s="190">
        <v>16</v>
      </c>
      <c r="DE29" s="188">
        <v>1</v>
      </c>
      <c r="DF29" s="170">
        <f t="shared" si="15"/>
        <v>0</v>
      </c>
      <c r="DG29" s="170">
        <f t="shared" si="16"/>
        <v>0</v>
      </c>
      <c r="DH29" s="170">
        <f t="shared" si="17"/>
        <v>0</v>
      </c>
      <c r="DI29" s="170">
        <f t="shared" si="18"/>
        <v>0</v>
      </c>
      <c r="DK29" s="189">
        <v>37152</v>
      </c>
      <c r="DL29" s="167">
        <v>74.732955932617188</v>
      </c>
      <c r="DM29" s="167">
        <f>[2]NEPOOL!$L16</f>
        <v>-1189.7</v>
      </c>
      <c r="DN29" s="167">
        <f t="shared" si="19"/>
        <v>1</v>
      </c>
    </row>
    <row r="30" spans="1:118" ht="18.75" x14ac:dyDescent="0.3">
      <c r="A30" s="80">
        <f>'NYISO A'!A30</f>
        <v>37153</v>
      </c>
      <c r="B30" s="114">
        <f>+[4]NYZoneJ!$L21/16</f>
        <v>74.732955932617188</v>
      </c>
      <c r="C30" s="22">
        <f t="shared" si="0"/>
        <v>0</v>
      </c>
      <c r="D30" s="21">
        <f t="shared" si="20"/>
        <v>0</v>
      </c>
      <c r="E30" s="23">
        <f t="shared" si="1"/>
        <v>74.732955932617188</v>
      </c>
      <c r="F30" s="24">
        <f>[4]NYZoneJ!$C21</f>
        <v>45.75</v>
      </c>
      <c r="G30" s="24">
        <f t="shared" si="2"/>
        <v>0</v>
      </c>
      <c r="H30" s="25">
        <f t="shared" si="3"/>
        <v>45.75</v>
      </c>
      <c r="I30" s="26">
        <f t="shared" si="4"/>
        <v>0</v>
      </c>
      <c r="J30" s="27">
        <f t="shared" si="22"/>
        <v>0</v>
      </c>
      <c r="K30" s="27">
        <f t="shared" si="5"/>
        <v>0</v>
      </c>
      <c r="L30" s="388"/>
      <c r="M30" s="28">
        <f t="shared" si="6"/>
        <v>37153</v>
      </c>
      <c r="N30" s="210">
        <v>45.75</v>
      </c>
      <c r="O30" s="210">
        <v>45.75</v>
      </c>
      <c r="P30" s="29">
        <f t="shared" si="7"/>
        <v>0</v>
      </c>
      <c r="Q30" s="213"/>
      <c r="R30" s="215">
        <f t="shared" si="8"/>
        <v>45.75</v>
      </c>
      <c r="S30" s="172"/>
      <c r="T30" s="172"/>
      <c r="U30" s="175"/>
      <c r="V30" s="30">
        <f t="shared" si="9"/>
        <v>37153</v>
      </c>
      <c r="W30" s="372"/>
      <c r="X30" s="378"/>
      <c r="Y30" s="177"/>
      <c r="Z30" s="178"/>
      <c r="AA30" s="177"/>
      <c r="AB30" s="178"/>
      <c r="AC30" s="177"/>
      <c r="AD30" s="178"/>
      <c r="AE30" s="177"/>
      <c r="AF30" s="178"/>
      <c r="AG30" s="177"/>
      <c r="AH30" s="221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0"/>
        <v>0</v>
      </c>
      <c r="CZ30" s="34">
        <f t="shared" si="11"/>
        <v>0</v>
      </c>
      <c r="DA30" s="188">
        <f t="shared" si="12"/>
        <v>0</v>
      </c>
      <c r="DB30" s="189">
        <f t="shared" si="13"/>
        <v>37153</v>
      </c>
      <c r="DC30" s="188">
        <f t="shared" si="14"/>
        <v>0</v>
      </c>
      <c r="DD30" s="190">
        <v>16</v>
      </c>
      <c r="DE30" s="188">
        <v>1</v>
      </c>
      <c r="DF30" s="170">
        <f t="shared" si="15"/>
        <v>0</v>
      </c>
      <c r="DG30" s="170">
        <f t="shared" si="16"/>
        <v>0</v>
      </c>
      <c r="DH30" s="170">
        <f t="shared" si="17"/>
        <v>0</v>
      </c>
      <c r="DI30" s="170">
        <f t="shared" si="18"/>
        <v>0</v>
      </c>
      <c r="DK30" s="189">
        <v>37153</v>
      </c>
      <c r="DL30" s="167">
        <v>74.732955932617188</v>
      </c>
      <c r="DM30" s="167">
        <f>[2]NEPOOL!$L17</f>
        <v>-1189.7</v>
      </c>
      <c r="DN30" s="167">
        <f t="shared" si="19"/>
        <v>1</v>
      </c>
    </row>
    <row r="31" spans="1:118" ht="18.75" x14ac:dyDescent="0.3">
      <c r="A31" s="80">
        <f>'NYISO A'!A31</f>
        <v>37154</v>
      </c>
      <c r="B31" s="114">
        <f>+[4]NYZoneJ!$L22/16</f>
        <v>74.732955932617188</v>
      </c>
      <c r="C31" s="35">
        <f t="shared" si="0"/>
        <v>0</v>
      </c>
      <c r="D31" s="36">
        <f t="shared" si="20"/>
        <v>0</v>
      </c>
      <c r="E31" s="23">
        <f t="shared" si="1"/>
        <v>74.732955932617188</v>
      </c>
      <c r="F31" s="24">
        <f>[4]NYZoneJ!$C22</f>
        <v>45.75</v>
      </c>
      <c r="G31" s="38">
        <f t="shared" si="2"/>
        <v>0</v>
      </c>
      <c r="H31" s="39">
        <f t="shared" si="3"/>
        <v>45.75</v>
      </c>
      <c r="I31" s="36">
        <f t="shared" si="4"/>
        <v>0</v>
      </c>
      <c r="J31" s="27">
        <f t="shared" si="22"/>
        <v>0</v>
      </c>
      <c r="K31" s="40">
        <f t="shared" si="5"/>
        <v>0</v>
      </c>
      <c r="L31" s="388"/>
      <c r="M31" s="28">
        <f t="shared" si="6"/>
        <v>37154</v>
      </c>
      <c r="N31" s="210">
        <v>45.75</v>
      </c>
      <c r="O31" s="210">
        <v>45.75</v>
      </c>
      <c r="P31" s="29">
        <f t="shared" si="7"/>
        <v>0</v>
      </c>
      <c r="Q31" s="213"/>
      <c r="R31" s="215">
        <f t="shared" si="8"/>
        <v>45.75</v>
      </c>
      <c r="S31" s="172"/>
      <c r="T31" s="172"/>
      <c r="U31" s="175"/>
      <c r="V31" s="30">
        <f t="shared" si="9"/>
        <v>37154</v>
      </c>
      <c r="W31" s="372"/>
      <c r="X31" s="378"/>
      <c r="Y31" s="177"/>
      <c r="Z31" s="178"/>
      <c r="AA31" s="177"/>
      <c r="AB31" s="178"/>
      <c r="AC31" s="177"/>
      <c r="AD31" s="178"/>
      <c r="AE31" s="177"/>
      <c r="AF31" s="178"/>
      <c r="AG31" s="177"/>
      <c r="AH31" s="221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0"/>
        <v>0</v>
      </c>
      <c r="CZ31" s="34">
        <f t="shared" si="11"/>
        <v>0</v>
      </c>
      <c r="DA31" s="188">
        <f t="shared" si="12"/>
        <v>0</v>
      </c>
      <c r="DB31" s="189">
        <f t="shared" si="13"/>
        <v>37154</v>
      </c>
      <c r="DC31" s="188">
        <f t="shared" si="14"/>
        <v>0</v>
      </c>
      <c r="DD31" s="190">
        <v>16</v>
      </c>
      <c r="DE31" s="188">
        <v>1</v>
      </c>
      <c r="DF31" s="170">
        <f t="shared" si="15"/>
        <v>0</v>
      </c>
      <c r="DG31" s="170">
        <f t="shared" si="16"/>
        <v>0</v>
      </c>
      <c r="DH31" s="170">
        <f t="shared" si="17"/>
        <v>0</v>
      </c>
      <c r="DI31" s="170">
        <f t="shared" si="18"/>
        <v>0</v>
      </c>
      <c r="DK31" s="189">
        <v>37154</v>
      </c>
      <c r="DL31" s="167">
        <v>74.732955932617188</v>
      </c>
      <c r="DM31" s="167">
        <f>[2]NEPOOL!$L18</f>
        <v>-1189.7</v>
      </c>
      <c r="DN31" s="167">
        <f t="shared" si="19"/>
        <v>1</v>
      </c>
    </row>
    <row r="32" spans="1:118" ht="18.75" x14ac:dyDescent="0.3">
      <c r="A32" s="80">
        <f>'NYISO A'!A32</f>
        <v>37155</v>
      </c>
      <c r="B32" s="114">
        <f>+[4]NYZoneJ!$L23/16</f>
        <v>74.732955932617188</v>
      </c>
      <c r="C32" s="22">
        <f t="shared" si="0"/>
        <v>0</v>
      </c>
      <c r="D32" s="21">
        <f t="shared" si="20"/>
        <v>0</v>
      </c>
      <c r="E32" s="23">
        <f t="shared" si="1"/>
        <v>74.732955932617188</v>
      </c>
      <c r="F32" s="24">
        <f>[4]NYZoneJ!$C23</f>
        <v>45.75</v>
      </c>
      <c r="G32" s="24">
        <f t="shared" si="2"/>
        <v>0</v>
      </c>
      <c r="H32" s="25">
        <f t="shared" si="3"/>
        <v>45.75</v>
      </c>
      <c r="I32" s="26">
        <f t="shared" si="4"/>
        <v>0</v>
      </c>
      <c r="J32" s="27">
        <f t="shared" si="22"/>
        <v>0</v>
      </c>
      <c r="K32" s="27">
        <f t="shared" si="5"/>
        <v>0</v>
      </c>
      <c r="L32" s="388"/>
      <c r="M32" s="28">
        <f t="shared" si="6"/>
        <v>37155</v>
      </c>
      <c r="N32" s="210">
        <v>45.75</v>
      </c>
      <c r="O32" s="210">
        <v>45.75</v>
      </c>
      <c r="P32" s="29">
        <f t="shared" si="7"/>
        <v>0</v>
      </c>
      <c r="Q32" s="213"/>
      <c r="R32" s="215">
        <f t="shared" si="8"/>
        <v>45.75</v>
      </c>
      <c r="S32" s="172"/>
      <c r="T32" s="172"/>
      <c r="U32" s="175"/>
      <c r="V32" s="30">
        <f t="shared" si="9"/>
        <v>37155</v>
      </c>
      <c r="W32" s="372"/>
      <c r="X32" s="378"/>
      <c r="Y32" s="177"/>
      <c r="Z32" s="178"/>
      <c r="AA32" s="177"/>
      <c r="AB32" s="178"/>
      <c r="AC32" s="177"/>
      <c r="AD32" s="178"/>
      <c r="AE32" s="177"/>
      <c r="AF32" s="178"/>
      <c r="AG32" s="177"/>
      <c r="AH32" s="221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0"/>
        <v>0</v>
      </c>
      <c r="CZ32" s="34">
        <f t="shared" si="11"/>
        <v>0</v>
      </c>
      <c r="DA32" s="188">
        <f t="shared" si="12"/>
        <v>0</v>
      </c>
      <c r="DB32" s="189">
        <f t="shared" si="13"/>
        <v>37155</v>
      </c>
      <c r="DC32" s="188">
        <f t="shared" si="14"/>
        <v>0</v>
      </c>
      <c r="DD32" s="190">
        <v>16</v>
      </c>
      <c r="DE32" s="188">
        <v>1</v>
      </c>
      <c r="DF32" s="170">
        <f t="shared" si="15"/>
        <v>0</v>
      </c>
      <c r="DG32" s="170">
        <f t="shared" si="16"/>
        <v>0</v>
      </c>
      <c r="DH32" s="170">
        <f t="shared" si="17"/>
        <v>0</v>
      </c>
      <c r="DI32" s="170">
        <f t="shared" si="18"/>
        <v>0</v>
      </c>
      <c r="DK32" s="189">
        <v>37155</v>
      </c>
      <c r="DL32" s="167">
        <v>74.732955932617188</v>
      </c>
      <c r="DM32" s="167">
        <f>[2]NEPOOL!$L19</f>
        <v>-1189.7</v>
      </c>
      <c r="DN32" s="167">
        <f t="shared" si="19"/>
        <v>1</v>
      </c>
    </row>
    <row r="33" spans="1:124" ht="18.75" x14ac:dyDescent="0.3">
      <c r="A33" s="80">
        <f>'NYISO A'!A33</f>
        <v>37156</v>
      </c>
      <c r="B33" s="114">
        <f>+[4]NYZoneJ!$L24/16</f>
        <v>0</v>
      </c>
      <c r="C33" s="35">
        <f t="shared" si="0"/>
        <v>0</v>
      </c>
      <c r="D33" s="36">
        <f t="shared" si="20"/>
        <v>0</v>
      </c>
      <c r="E33" s="23">
        <f t="shared" si="1"/>
        <v>0</v>
      </c>
      <c r="F33" s="24">
        <f>[4]NYZoneJ!$C24</f>
        <v>42</v>
      </c>
      <c r="G33" s="38">
        <f t="shared" si="2"/>
        <v>0</v>
      </c>
      <c r="H33" s="39">
        <f t="shared" si="3"/>
        <v>42</v>
      </c>
      <c r="I33" s="36">
        <f t="shared" si="4"/>
        <v>0</v>
      </c>
      <c r="J33" s="27">
        <f t="shared" si="22"/>
        <v>0</v>
      </c>
      <c r="K33" s="40">
        <f t="shared" si="5"/>
        <v>0</v>
      </c>
      <c r="L33" s="388"/>
      <c r="M33" s="28">
        <f t="shared" si="6"/>
        <v>37156</v>
      </c>
      <c r="N33" s="210">
        <v>42</v>
      </c>
      <c r="O33" s="210">
        <v>42</v>
      </c>
      <c r="P33" s="29">
        <f t="shared" si="7"/>
        <v>0</v>
      </c>
      <c r="Q33" s="213"/>
      <c r="R33" s="215">
        <f t="shared" si="8"/>
        <v>42</v>
      </c>
      <c r="S33" s="172"/>
      <c r="T33" s="172"/>
      <c r="U33" s="175"/>
      <c r="V33" s="30">
        <f t="shared" si="9"/>
        <v>37156</v>
      </c>
      <c r="W33" s="372"/>
      <c r="X33" s="378"/>
      <c r="Y33" s="177"/>
      <c r="Z33" s="178"/>
      <c r="AA33" s="177"/>
      <c r="AB33" s="178"/>
      <c r="AC33" s="177"/>
      <c r="AD33" s="178"/>
      <c r="AE33" s="177"/>
      <c r="AF33" s="178"/>
      <c r="AG33" s="177"/>
      <c r="AH33" s="221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0"/>
        <v>0</v>
      </c>
      <c r="CZ33" s="34">
        <f t="shared" si="11"/>
        <v>0</v>
      </c>
      <c r="DA33" s="188">
        <f t="shared" si="12"/>
        <v>0</v>
      </c>
      <c r="DB33" s="189">
        <f t="shared" si="13"/>
        <v>37156</v>
      </c>
      <c r="DC33" s="188">
        <f t="shared" si="14"/>
        <v>0</v>
      </c>
      <c r="DD33" s="190">
        <v>16</v>
      </c>
      <c r="DE33" s="188">
        <v>1</v>
      </c>
      <c r="DF33" s="170">
        <f t="shared" si="15"/>
        <v>0</v>
      </c>
      <c r="DG33" s="170">
        <f t="shared" si="16"/>
        <v>0</v>
      </c>
      <c r="DH33" s="170">
        <f t="shared" si="17"/>
        <v>0</v>
      </c>
      <c r="DI33" s="170">
        <f t="shared" si="18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9"/>
        <v>0</v>
      </c>
    </row>
    <row r="34" spans="1:124" ht="18.75" x14ac:dyDescent="0.3">
      <c r="A34" s="80">
        <f>'NYISO A'!A34</f>
        <v>37157</v>
      </c>
      <c r="B34" s="114">
        <f>+[4]NYZoneJ!$L25/16</f>
        <v>0</v>
      </c>
      <c r="C34" s="22">
        <f t="shared" si="0"/>
        <v>0</v>
      </c>
      <c r="D34" s="21">
        <f t="shared" si="20"/>
        <v>0</v>
      </c>
      <c r="E34" s="23">
        <f t="shared" si="1"/>
        <v>0</v>
      </c>
      <c r="F34" s="24">
        <f>[4]NYZoneJ!$C25</f>
        <v>42</v>
      </c>
      <c r="G34" s="24">
        <f t="shared" si="2"/>
        <v>0</v>
      </c>
      <c r="H34" s="25">
        <f t="shared" si="3"/>
        <v>42</v>
      </c>
      <c r="I34" s="26">
        <f t="shared" si="4"/>
        <v>0</v>
      </c>
      <c r="J34" s="27">
        <f t="shared" si="22"/>
        <v>0</v>
      </c>
      <c r="K34" s="27">
        <f t="shared" si="5"/>
        <v>0</v>
      </c>
      <c r="L34" s="172"/>
      <c r="M34" s="28">
        <f t="shared" si="6"/>
        <v>37157</v>
      </c>
      <c r="N34" s="210">
        <v>42</v>
      </c>
      <c r="O34" s="210">
        <v>42</v>
      </c>
      <c r="P34" s="29">
        <f t="shared" si="7"/>
        <v>0</v>
      </c>
      <c r="Q34" s="213"/>
      <c r="R34" s="215">
        <f t="shared" si="8"/>
        <v>42</v>
      </c>
      <c r="S34" s="172"/>
      <c r="T34" s="172"/>
      <c r="U34" s="175"/>
      <c r="V34" s="30">
        <f t="shared" si="9"/>
        <v>37157</v>
      </c>
      <c r="W34" s="372"/>
      <c r="X34" s="378"/>
      <c r="Y34" s="177"/>
      <c r="Z34" s="178"/>
      <c r="AA34" s="177"/>
      <c r="AB34" s="178"/>
      <c r="AC34" s="177"/>
      <c r="AD34" s="178"/>
      <c r="AE34" s="177"/>
      <c r="AF34" s="178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0"/>
        <v>0</v>
      </c>
      <c r="CZ34" s="34">
        <f t="shared" si="11"/>
        <v>0</v>
      </c>
      <c r="DA34" s="188">
        <f t="shared" si="12"/>
        <v>0</v>
      </c>
      <c r="DB34" s="189">
        <f t="shared" si="13"/>
        <v>37157</v>
      </c>
      <c r="DC34" s="188">
        <f t="shared" si="14"/>
        <v>0</v>
      </c>
      <c r="DD34" s="190">
        <v>16</v>
      </c>
      <c r="DE34" s="188">
        <v>1</v>
      </c>
      <c r="DF34" s="170">
        <f t="shared" si="15"/>
        <v>0</v>
      </c>
      <c r="DG34" s="170">
        <f t="shared" si="16"/>
        <v>0</v>
      </c>
      <c r="DH34" s="170">
        <f t="shared" si="17"/>
        <v>0</v>
      </c>
      <c r="DI34" s="170">
        <f t="shared" si="18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9"/>
        <v>0</v>
      </c>
    </row>
    <row r="35" spans="1:124" ht="18.75" x14ac:dyDescent="0.3">
      <c r="A35" s="80">
        <f>'NYISO A'!A35</f>
        <v>37158</v>
      </c>
      <c r="B35" s="114">
        <f>+[4]NYZoneJ!$L26/16</f>
        <v>74.732955932617188</v>
      </c>
      <c r="C35" s="35">
        <f t="shared" si="0"/>
        <v>0</v>
      </c>
      <c r="D35" s="36">
        <f t="shared" si="20"/>
        <v>0</v>
      </c>
      <c r="E35" s="23">
        <f t="shared" si="1"/>
        <v>74.732955932617188</v>
      </c>
      <c r="F35" s="24">
        <f>[4]NYZoneJ!$C26</f>
        <v>45.75</v>
      </c>
      <c r="G35" s="38">
        <f t="shared" si="2"/>
        <v>0</v>
      </c>
      <c r="H35" s="39">
        <f t="shared" si="3"/>
        <v>45.75</v>
      </c>
      <c r="I35" s="36">
        <f t="shared" si="4"/>
        <v>0</v>
      </c>
      <c r="J35" s="27">
        <f t="shared" si="22"/>
        <v>0</v>
      </c>
      <c r="K35" s="40">
        <f t="shared" si="5"/>
        <v>0</v>
      </c>
      <c r="L35" s="172"/>
      <c r="M35" s="28">
        <f t="shared" si="6"/>
        <v>37158</v>
      </c>
      <c r="N35" s="210">
        <v>45.75</v>
      </c>
      <c r="O35" s="210">
        <v>45.75</v>
      </c>
      <c r="P35" s="29">
        <f t="shared" si="7"/>
        <v>0</v>
      </c>
      <c r="Q35" s="213"/>
      <c r="R35" s="215">
        <f t="shared" si="8"/>
        <v>45.75</v>
      </c>
      <c r="S35" s="172"/>
      <c r="T35" s="172"/>
      <c r="U35" s="175"/>
      <c r="V35" s="30">
        <f t="shared" si="9"/>
        <v>37158</v>
      </c>
      <c r="W35" s="372"/>
      <c r="X35" s="378"/>
      <c r="Y35" s="177"/>
      <c r="Z35" s="178"/>
      <c r="AA35" s="177"/>
      <c r="AB35" s="222"/>
      <c r="AC35" s="177"/>
      <c r="AD35" s="222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0"/>
        <v>0</v>
      </c>
      <c r="CZ35" s="34">
        <f t="shared" si="11"/>
        <v>0</v>
      </c>
      <c r="DA35" s="188">
        <f t="shared" si="12"/>
        <v>0</v>
      </c>
      <c r="DB35" s="189">
        <f t="shared" si="13"/>
        <v>37158</v>
      </c>
      <c r="DC35" s="188">
        <f t="shared" si="14"/>
        <v>0</v>
      </c>
      <c r="DD35" s="190">
        <v>16</v>
      </c>
      <c r="DE35" s="188">
        <v>1</v>
      </c>
      <c r="DF35" s="170">
        <f t="shared" si="15"/>
        <v>0</v>
      </c>
      <c r="DG35" s="170">
        <f t="shared" si="16"/>
        <v>0</v>
      </c>
      <c r="DH35" s="170">
        <f t="shared" si="17"/>
        <v>0</v>
      </c>
      <c r="DI35" s="170">
        <f t="shared" si="18"/>
        <v>0</v>
      </c>
      <c r="DK35" s="189">
        <v>37158</v>
      </c>
      <c r="DL35" s="167">
        <v>74.732955932617188</v>
      </c>
      <c r="DM35" s="167">
        <f>[2]NEPOOL!$L22</f>
        <v>0</v>
      </c>
      <c r="DN35" s="167">
        <f t="shared" si="19"/>
        <v>1</v>
      </c>
    </row>
    <row r="36" spans="1:124" ht="18.75" x14ac:dyDescent="0.3">
      <c r="A36" s="80">
        <f>'NYISO A'!A36</f>
        <v>37159</v>
      </c>
      <c r="B36" s="114">
        <f>+[4]NYZoneJ!$L27/16</f>
        <v>74.732955932617188</v>
      </c>
      <c r="C36" s="22">
        <f t="shared" si="0"/>
        <v>0</v>
      </c>
      <c r="D36" s="21">
        <f t="shared" si="20"/>
        <v>0</v>
      </c>
      <c r="E36" s="23">
        <f t="shared" si="1"/>
        <v>74.732955932617188</v>
      </c>
      <c r="F36" s="24">
        <f>[4]NYZoneJ!$C27</f>
        <v>45.75</v>
      </c>
      <c r="G36" s="24">
        <f t="shared" si="2"/>
        <v>0</v>
      </c>
      <c r="H36" s="25">
        <f t="shared" si="3"/>
        <v>45.75</v>
      </c>
      <c r="I36" s="26">
        <f t="shared" si="4"/>
        <v>0</v>
      </c>
      <c r="J36" s="27">
        <f t="shared" si="22"/>
        <v>0</v>
      </c>
      <c r="K36" s="27">
        <f t="shared" si="5"/>
        <v>0</v>
      </c>
      <c r="L36" s="172"/>
      <c r="M36" s="28">
        <f t="shared" si="6"/>
        <v>37159</v>
      </c>
      <c r="N36" s="210">
        <v>45.75</v>
      </c>
      <c r="O36" s="210">
        <v>45.75</v>
      </c>
      <c r="P36" s="29">
        <f t="shared" si="7"/>
        <v>0</v>
      </c>
      <c r="Q36" s="213"/>
      <c r="R36" s="215">
        <f t="shared" si="8"/>
        <v>45.75</v>
      </c>
      <c r="S36" s="172"/>
      <c r="T36" s="172"/>
      <c r="U36" s="175"/>
      <c r="V36" s="30">
        <f t="shared" si="9"/>
        <v>37159</v>
      </c>
      <c r="W36" s="372"/>
      <c r="X36" s="3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10"/>
        <v>0</v>
      </c>
      <c r="CZ36" s="34">
        <f t="shared" si="11"/>
        <v>0</v>
      </c>
      <c r="DA36" s="188">
        <f t="shared" si="12"/>
        <v>0</v>
      </c>
      <c r="DB36" s="189">
        <f t="shared" si="13"/>
        <v>37159</v>
      </c>
      <c r="DC36" s="188">
        <f t="shared" si="14"/>
        <v>0</v>
      </c>
      <c r="DD36" s="190">
        <v>16</v>
      </c>
      <c r="DE36" s="188">
        <v>1</v>
      </c>
      <c r="DF36" s="170">
        <f t="shared" si="15"/>
        <v>0</v>
      </c>
      <c r="DG36" s="170">
        <f t="shared" si="16"/>
        <v>0</v>
      </c>
      <c r="DH36" s="170">
        <f t="shared" si="17"/>
        <v>0</v>
      </c>
      <c r="DI36" s="170">
        <f t="shared" si="18"/>
        <v>0</v>
      </c>
      <c r="DK36" s="189">
        <v>37159</v>
      </c>
      <c r="DL36" s="167">
        <v>74.732955932617188</v>
      </c>
      <c r="DM36" s="167">
        <f>[2]NEPOOL!$L23</f>
        <v>-1189.7</v>
      </c>
      <c r="DN36" s="167">
        <f t="shared" si="19"/>
        <v>1</v>
      </c>
    </row>
    <row r="37" spans="1:124" ht="18.75" x14ac:dyDescent="0.3">
      <c r="A37" s="80">
        <f>'NYISO A'!A37</f>
        <v>37160</v>
      </c>
      <c r="B37" s="114">
        <f>+[4]NYZoneJ!$L28/16</f>
        <v>74.732955932617188</v>
      </c>
      <c r="C37" s="35">
        <f t="shared" si="0"/>
        <v>0</v>
      </c>
      <c r="D37" s="36">
        <f t="shared" si="20"/>
        <v>0</v>
      </c>
      <c r="E37" s="23">
        <f t="shared" si="1"/>
        <v>74.732955932617188</v>
      </c>
      <c r="F37" s="24">
        <f>[4]NYZoneJ!$C28</f>
        <v>45.75</v>
      </c>
      <c r="G37" s="38">
        <f t="shared" si="2"/>
        <v>0</v>
      </c>
      <c r="H37" s="39">
        <f t="shared" si="3"/>
        <v>45.75</v>
      </c>
      <c r="I37" s="36">
        <f t="shared" si="4"/>
        <v>0</v>
      </c>
      <c r="J37" s="27">
        <f t="shared" si="22"/>
        <v>0</v>
      </c>
      <c r="K37" s="40">
        <f t="shared" si="5"/>
        <v>0</v>
      </c>
      <c r="L37" s="172"/>
      <c r="M37" s="28">
        <f t="shared" si="6"/>
        <v>37160</v>
      </c>
      <c r="N37" s="210">
        <v>45.75</v>
      </c>
      <c r="O37" s="210">
        <v>45.75</v>
      </c>
      <c r="P37" s="29">
        <f t="shared" si="7"/>
        <v>0</v>
      </c>
      <c r="Q37" s="213"/>
      <c r="R37" s="215">
        <f t="shared" si="8"/>
        <v>45.75</v>
      </c>
      <c r="S37" s="172"/>
      <c r="T37" s="172"/>
      <c r="U37" s="175"/>
      <c r="V37" s="30">
        <f t="shared" si="9"/>
        <v>37160</v>
      </c>
      <c r="W37" s="372"/>
      <c r="X37" s="378"/>
      <c r="Y37" s="177"/>
      <c r="Z37" s="178"/>
      <c r="AA37" s="177"/>
      <c r="AB37" s="178"/>
      <c r="AC37" s="177"/>
      <c r="AD37" s="178"/>
      <c r="AE37" s="177"/>
      <c r="AF37" s="178"/>
      <c r="AG37" s="177"/>
      <c r="AH37" s="221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10"/>
        <v>0</v>
      </c>
      <c r="CZ37" s="34">
        <f t="shared" si="11"/>
        <v>0</v>
      </c>
      <c r="DA37" s="188">
        <f t="shared" si="12"/>
        <v>0</v>
      </c>
      <c r="DB37" s="189">
        <f t="shared" si="13"/>
        <v>37160</v>
      </c>
      <c r="DC37" s="188">
        <f t="shared" si="14"/>
        <v>0</v>
      </c>
      <c r="DD37" s="190">
        <v>16</v>
      </c>
      <c r="DE37" s="188">
        <v>1</v>
      </c>
      <c r="DF37" s="170">
        <f t="shared" si="15"/>
        <v>0</v>
      </c>
      <c r="DG37" s="170">
        <f t="shared" si="16"/>
        <v>0</v>
      </c>
      <c r="DH37" s="170">
        <f t="shared" si="17"/>
        <v>0</v>
      </c>
      <c r="DI37" s="170">
        <f t="shared" si="18"/>
        <v>0</v>
      </c>
      <c r="DK37" s="189">
        <v>37160</v>
      </c>
      <c r="DL37" s="167">
        <v>74.732955932617188</v>
      </c>
      <c r="DM37" s="167">
        <f>[2]NEPOOL!$L24</f>
        <v>-1189.7</v>
      </c>
      <c r="DN37" s="167">
        <f t="shared" si="19"/>
        <v>1</v>
      </c>
    </row>
    <row r="38" spans="1:124" ht="18.75" x14ac:dyDescent="0.3">
      <c r="A38" s="80">
        <f>'NYISO A'!A38</f>
        <v>37161</v>
      </c>
      <c r="B38" s="114">
        <f>+[4]NYZoneJ!$L29/16</f>
        <v>74.732955932617188</v>
      </c>
      <c r="C38" s="22">
        <f t="shared" si="0"/>
        <v>0</v>
      </c>
      <c r="D38" s="21">
        <f t="shared" si="20"/>
        <v>0</v>
      </c>
      <c r="E38" s="23">
        <f t="shared" si="1"/>
        <v>74.732955932617188</v>
      </c>
      <c r="F38" s="24">
        <f>[4]NYZoneJ!$C29</f>
        <v>45.75</v>
      </c>
      <c r="G38" s="24">
        <f t="shared" si="2"/>
        <v>0</v>
      </c>
      <c r="H38" s="25">
        <f t="shared" si="3"/>
        <v>45.75</v>
      </c>
      <c r="I38" s="26">
        <f t="shared" si="4"/>
        <v>0</v>
      </c>
      <c r="J38" s="27">
        <f t="shared" si="22"/>
        <v>0</v>
      </c>
      <c r="K38" s="27">
        <f t="shared" si="5"/>
        <v>0</v>
      </c>
      <c r="L38" s="172"/>
      <c r="M38" s="28">
        <f t="shared" si="6"/>
        <v>37161</v>
      </c>
      <c r="N38" s="210">
        <v>45.75</v>
      </c>
      <c r="O38" s="210">
        <v>45.75</v>
      </c>
      <c r="P38" s="29">
        <f t="shared" si="7"/>
        <v>0</v>
      </c>
      <c r="Q38" s="213"/>
      <c r="R38" s="215">
        <f t="shared" si="8"/>
        <v>45.75</v>
      </c>
      <c r="S38" s="172"/>
      <c r="T38" s="172"/>
      <c r="U38" s="175"/>
      <c r="V38" s="30">
        <f t="shared" si="9"/>
        <v>37161</v>
      </c>
      <c r="W38" s="372"/>
      <c r="X38" s="378"/>
      <c r="Y38" s="177"/>
      <c r="Z38" s="178"/>
      <c r="AA38" s="177"/>
      <c r="AB38" s="178"/>
      <c r="AC38" s="177"/>
      <c r="AD38" s="178"/>
      <c r="AE38" s="177"/>
      <c r="AF38" s="178"/>
      <c r="AG38" s="177"/>
      <c r="AH38" s="221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10"/>
        <v>0</v>
      </c>
      <c r="CZ38" s="34">
        <f t="shared" si="11"/>
        <v>0</v>
      </c>
      <c r="DA38" s="188">
        <f t="shared" si="12"/>
        <v>0</v>
      </c>
      <c r="DB38" s="189">
        <f t="shared" si="13"/>
        <v>37161</v>
      </c>
      <c r="DC38" s="188">
        <f t="shared" si="14"/>
        <v>0</v>
      </c>
      <c r="DD38" s="190">
        <v>16</v>
      </c>
      <c r="DE38" s="188">
        <v>1</v>
      </c>
      <c r="DF38" s="170">
        <f t="shared" si="15"/>
        <v>0</v>
      </c>
      <c r="DG38" s="170">
        <f t="shared" si="16"/>
        <v>0</v>
      </c>
      <c r="DH38" s="170">
        <f t="shared" si="17"/>
        <v>0</v>
      </c>
      <c r="DI38" s="170">
        <f t="shared" si="18"/>
        <v>0</v>
      </c>
      <c r="DK38" s="189">
        <v>37161</v>
      </c>
      <c r="DL38" s="167">
        <v>74.732955932617188</v>
      </c>
      <c r="DM38" s="167">
        <f>[2]NEPOOL!$L25</f>
        <v>-1189.7</v>
      </c>
      <c r="DN38" s="167">
        <f t="shared" si="19"/>
        <v>1</v>
      </c>
    </row>
    <row r="39" spans="1:124" ht="18.75" x14ac:dyDescent="0.3">
      <c r="A39" s="80">
        <f>'NYISO A'!A39</f>
        <v>37162</v>
      </c>
      <c r="B39" s="114">
        <f>+[4]NYZoneJ!$L30/16</f>
        <v>74.732955932617188</v>
      </c>
      <c r="C39" s="35">
        <f t="shared" si="0"/>
        <v>0</v>
      </c>
      <c r="D39" s="36">
        <f t="shared" si="20"/>
        <v>0</v>
      </c>
      <c r="E39" s="23">
        <f t="shared" si="1"/>
        <v>74.732955932617188</v>
      </c>
      <c r="F39" s="24">
        <f>[4]NYZoneJ!$C30</f>
        <v>45.75</v>
      </c>
      <c r="G39" s="38">
        <f t="shared" si="2"/>
        <v>0</v>
      </c>
      <c r="H39" s="39">
        <f t="shared" si="3"/>
        <v>45.75</v>
      </c>
      <c r="I39" s="36">
        <f t="shared" si="4"/>
        <v>0</v>
      </c>
      <c r="J39" s="27">
        <f t="shared" si="22"/>
        <v>0</v>
      </c>
      <c r="K39" s="40">
        <f t="shared" si="5"/>
        <v>0</v>
      </c>
      <c r="L39" s="172"/>
      <c r="M39" s="28">
        <f t="shared" si="6"/>
        <v>37162</v>
      </c>
      <c r="N39" s="210">
        <v>45.75</v>
      </c>
      <c r="O39" s="210">
        <v>45.75</v>
      </c>
      <c r="P39" s="29">
        <f t="shared" si="7"/>
        <v>0</v>
      </c>
      <c r="Q39" s="213"/>
      <c r="R39" s="215">
        <f t="shared" si="8"/>
        <v>45.75</v>
      </c>
      <c r="S39" s="172"/>
      <c r="T39" s="172"/>
      <c r="U39" s="175"/>
      <c r="V39" s="30">
        <f t="shared" si="9"/>
        <v>37162</v>
      </c>
      <c r="W39" s="372"/>
      <c r="X39" s="378"/>
      <c r="Y39" s="177"/>
      <c r="Z39" s="178"/>
      <c r="AA39" s="177"/>
      <c r="AB39" s="178"/>
      <c r="AC39" s="177"/>
      <c r="AD39" s="178"/>
      <c r="AE39" s="177"/>
      <c r="AF39" s="178"/>
      <c r="AG39" s="177"/>
      <c r="AH39" s="221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10"/>
        <v>0</v>
      </c>
      <c r="CZ39" s="34">
        <f t="shared" si="11"/>
        <v>0</v>
      </c>
      <c r="DA39" s="188">
        <f t="shared" si="12"/>
        <v>0</v>
      </c>
      <c r="DB39" s="189">
        <f t="shared" si="13"/>
        <v>37162</v>
      </c>
      <c r="DC39" s="188">
        <f t="shared" si="14"/>
        <v>0</v>
      </c>
      <c r="DD39" s="190">
        <v>16</v>
      </c>
      <c r="DE39" s="188">
        <v>1</v>
      </c>
      <c r="DF39" s="170">
        <f t="shared" si="15"/>
        <v>0</v>
      </c>
      <c r="DG39" s="170">
        <f t="shared" si="16"/>
        <v>0</v>
      </c>
      <c r="DH39" s="170">
        <f t="shared" si="17"/>
        <v>0</v>
      </c>
      <c r="DI39" s="170">
        <f t="shared" si="18"/>
        <v>0</v>
      </c>
      <c r="DK39" s="189">
        <v>37162</v>
      </c>
      <c r="DL39" s="167">
        <v>74.732955932617188</v>
      </c>
      <c r="DM39" s="167">
        <f>[2]NEPOOL!$L26</f>
        <v>-1189.7</v>
      </c>
      <c r="DN39" s="167">
        <f t="shared" si="19"/>
        <v>1</v>
      </c>
    </row>
    <row r="40" spans="1:124" ht="18.75" x14ac:dyDescent="0.3">
      <c r="A40" s="80">
        <f>'NYISO A'!A40</f>
        <v>37163</v>
      </c>
      <c r="B40" s="114">
        <f>+[4]NYZoneJ!$L31/16</f>
        <v>0</v>
      </c>
      <c r="C40" s="22">
        <f t="shared" si="0"/>
        <v>0</v>
      </c>
      <c r="D40" s="21">
        <f t="shared" si="20"/>
        <v>0</v>
      </c>
      <c r="E40" s="23">
        <f t="shared" si="1"/>
        <v>0</v>
      </c>
      <c r="F40" s="24">
        <f>[4]NYZoneJ!$C31</f>
        <v>47</v>
      </c>
      <c r="G40" s="24">
        <f t="shared" si="2"/>
        <v>0</v>
      </c>
      <c r="H40" s="25">
        <f t="shared" si="3"/>
        <v>47</v>
      </c>
      <c r="I40" s="26">
        <f t="shared" si="4"/>
        <v>0</v>
      </c>
      <c r="J40" s="27">
        <f t="shared" si="22"/>
        <v>0</v>
      </c>
      <c r="K40" s="27">
        <f t="shared" si="5"/>
        <v>0</v>
      </c>
      <c r="L40" s="172"/>
      <c r="M40" s="28">
        <f t="shared" si="6"/>
        <v>37163</v>
      </c>
      <c r="N40" s="210">
        <v>47</v>
      </c>
      <c r="O40" s="210">
        <v>47</v>
      </c>
      <c r="P40" s="29">
        <f t="shared" si="7"/>
        <v>0</v>
      </c>
      <c r="Q40" s="213"/>
      <c r="R40" s="215">
        <f t="shared" si="8"/>
        <v>47</v>
      </c>
      <c r="S40" s="172"/>
      <c r="T40" s="172"/>
      <c r="U40" s="175"/>
      <c r="V40" s="30">
        <f t="shared" si="9"/>
        <v>37163</v>
      </c>
      <c r="W40" s="372"/>
      <c r="X40" s="378"/>
      <c r="Y40" s="177"/>
      <c r="Z40" s="178"/>
      <c r="AA40" s="177"/>
      <c r="AB40" s="178"/>
      <c r="AC40" s="177"/>
      <c r="AD40" s="178"/>
      <c r="AE40" s="177"/>
      <c r="AF40" s="178"/>
      <c r="AG40" s="177"/>
      <c r="AH40" s="221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10"/>
        <v>0</v>
      </c>
      <c r="CZ40" s="34">
        <f t="shared" si="11"/>
        <v>0</v>
      </c>
      <c r="DA40" s="188">
        <f t="shared" si="12"/>
        <v>0</v>
      </c>
      <c r="DB40" s="189">
        <f t="shared" si="13"/>
        <v>37163</v>
      </c>
      <c r="DC40" s="188">
        <f t="shared" si="14"/>
        <v>0</v>
      </c>
      <c r="DD40" s="190">
        <v>16</v>
      </c>
      <c r="DE40" s="188">
        <v>1</v>
      </c>
      <c r="DF40" s="170">
        <f t="shared" si="15"/>
        <v>0</v>
      </c>
      <c r="DG40" s="170">
        <f t="shared" si="16"/>
        <v>0</v>
      </c>
      <c r="DH40" s="170">
        <f t="shared" si="17"/>
        <v>0</v>
      </c>
      <c r="DI40" s="170">
        <f t="shared" si="18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9"/>
        <v>0</v>
      </c>
    </row>
    <row r="41" spans="1:124" ht="18.75" x14ac:dyDescent="0.3">
      <c r="A41" s="80">
        <f>'NYISO A'!A41</f>
        <v>37164</v>
      </c>
      <c r="B41" s="114">
        <f>+[4]NYZoneJ!$L32/16</f>
        <v>0</v>
      </c>
      <c r="C41" s="35">
        <f t="shared" si="0"/>
        <v>0</v>
      </c>
      <c r="D41" s="36">
        <f t="shared" si="20"/>
        <v>0</v>
      </c>
      <c r="E41" s="23">
        <f t="shared" si="1"/>
        <v>0</v>
      </c>
      <c r="F41" s="24">
        <f>[4]NYZoneJ!$C32</f>
        <v>47</v>
      </c>
      <c r="G41" s="38">
        <f t="shared" si="2"/>
        <v>0</v>
      </c>
      <c r="H41" s="39">
        <f t="shared" si="3"/>
        <v>47</v>
      </c>
      <c r="I41" s="36">
        <f t="shared" si="4"/>
        <v>0</v>
      </c>
      <c r="J41" s="27">
        <f t="shared" si="22"/>
        <v>0</v>
      </c>
      <c r="K41" s="40">
        <f t="shared" si="5"/>
        <v>0</v>
      </c>
      <c r="L41" s="172"/>
      <c r="M41" s="28">
        <f t="shared" si="6"/>
        <v>37164</v>
      </c>
      <c r="N41" s="210">
        <v>47</v>
      </c>
      <c r="O41" s="210">
        <v>47</v>
      </c>
      <c r="P41" s="29">
        <f t="shared" si="7"/>
        <v>0</v>
      </c>
      <c r="Q41" s="213"/>
      <c r="R41" s="215">
        <f t="shared" si="8"/>
        <v>47</v>
      </c>
      <c r="S41" s="172"/>
      <c r="T41" s="172"/>
      <c r="U41" s="175"/>
      <c r="V41" s="30">
        <f t="shared" si="9"/>
        <v>37164</v>
      </c>
      <c r="W41" s="372"/>
      <c r="X41" s="378"/>
      <c r="Y41" s="177"/>
      <c r="Z41" s="178"/>
      <c r="AA41" s="177"/>
      <c r="AB41" s="178"/>
      <c r="AC41" s="177"/>
      <c r="AD41" s="178"/>
      <c r="AE41" s="177"/>
      <c r="AF41" s="178"/>
      <c r="AG41" s="177"/>
      <c r="AH41" s="221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10"/>
        <v>0</v>
      </c>
      <c r="CZ41" s="34">
        <f t="shared" si="11"/>
        <v>0</v>
      </c>
      <c r="DA41" s="188">
        <f t="shared" si="12"/>
        <v>0</v>
      </c>
      <c r="DB41" s="189">
        <f t="shared" si="13"/>
        <v>37164</v>
      </c>
      <c r="DC41" s="188">
        <f t="shared" si="14"/>
        <v>0</v>
      </c>
      <c r="DD41" s="190">
        <v>16</v>
      </c>
      <c r="DE41" s="188">
        <v>1</v>
      </c>
      <c r="DF41" s="170">
        <f t="shared" si="15"/>
        <v>0</v>
      </c>
      <c r="DG41" s="170">
        <f t="shared" si="16"/>
        <v>0</v>
      </c>
      <c r="DH41" s="170">
        <f t="shared" si="17"/>
        <v>0</v>
      </c>
      <c r="DI41" s="170">
        <f t="shared" si="18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9"/>
        <v>0</v>
      </c>
    </row>
    <row r="42" spans="1:124" ht="18.75" x14ac:dyDescent="0.3">
      <c r="A42" s="80">
        <f>'NYISO A'!A42</f>
        <v>37165</v>
      </c>
      <c r="B42" s="114">
        <f>+[4]NYZoneJ!$L33/16</f>
        <v>1142.265625</v>
      </c>
      <c r="C42" s="22">
        <f t="shared" si="0"/>
        <v>0</v>
      </c>
      <c r="D42" s="21">
        <f t="shared" si="20"/>
        <v>0</v>
      </c>
      <c r="E42" s="23">
        <f t="shared" si="1"/>
        <v>1142.265625</v>
      </c>
      <c r="F42" s="24">
        <f>[4]NYZoneJ!$C33</f>
        <v>45.75</v>
      </c>
      <c r="G42" s="24">
        <f t="shared" si="2"/>
        <v>0.75</v>
      </c>
      <c r="H42" s="25">
        <f t="shared" si="3"/>
        <v>46.5</v>
      </c>
      <c r="I42" s="26">
        <f t="shared" si="4"/>
        <v>13707.1875</v>
      </c>
      <c r="J42" s="27">
        <f t="shared" si="22"/>
        <v>0</v>
      </c>
      <c r="K42" s="27">
        <f t="shared" si="5"/>
        <v>13707.1875</v>
      </c>
      <c r="L42" s="172"/>
      <c r="M42" s="28">
        <f t="shared" si="6"/>
        <v>37165</v>
      </c>
      <c r="N42" s="210">
        <v>46.5</v>
      </c>
      <c r="O42" s="210">
        <v>46.5</v>
      </c>
      <c r="P42" s="29">
        <f t="shared" si="7"/>
        <v>0.75</v>
      </c>
      <c r="Q42" s="213"/>
      <c r="R42" s="215">
        <f t="shared" si="8"/>
        <v>46.5</v>
      </c>
      <c r="S42" s="172"/>
      <c r="T42" s="172"/>
      <c r="U42" s="175"/>
      <c r="V42" s="30">
        <f t="shared" si="9"/>
        <v>37165</v>
      </c>
      <c r="W42" s="372"/>
      <c r="X42" s="378"/>
      <c r="Y42" s="177"/>
      <c r="Z42" s="178"/>
      <c r="AA42" s="177"/>
      <c r="AB42" s="222"/>
      <c r="AC42" s="177"/>
      <c r="AD42" s="222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10"/>
        <v>0</v>
      </c>
      <c r="CZ42" s="34">
        <f t="shared" si="11"/>
        <v>0</v>
      </c>
      <c r="DA42" s="188">
        <f t="shared" si="12"/>
        <v>0</v>
      </c>
      <c r="DB42" s="189">
        <f t="shared" si="13"/>
        <v>37165</v>
      </c>
      <c r="DC42" s="188">
        <f t="shared" si="14"/>
        <v>0</v>
      </c>
      <c r="DD42" s="190">
        <v>16</v>
      </c>
      <c r="DE42" s="188">
        <v>1</v>
      </c>
      <c r="DF42" s="170">
        <f t="shared" si="15"/>
        <v>0</v>
      </c>
      <c r="DG42" s="170">
        <f t="shared" si="16"/>
        <v>0</v>
      </c>
      <c r="DH42" s="170">
        <f t="shared" si="17"/>
        <v>0</v>
      </c>
      <c r="DI42" s="170">
        <f t="shared" si="18"/>
        <v>0</v>
      </c>
      <c r="DK42" s="189">
        <v>37165</v>
      </c>
      <c r="DL42" s="167">
        <v>1142.265625</v>
      </c>
      <c r="DM42" s="167">
        <f>[2]NEPOOL!$L29</f>
        <v>-1189.7</v>
      </c>
      <c r="DN42" s="167">
        <f t="shared" si="19"/>
        <v>1</v>
      </c>
      <c r="DS42" s="172"/>
      <c r="DT42" s="172"/>
    </row>
    <row r="43" spans="1:124" ht="19.5" thickBot="1" x14ac:dyDescent="0.35">
      <c r="A43" s="80">
        <f>'NYISO A'!A43</f>
        <v>37195</v>
      </c>
      <c r="B43" s="35">
        <f>+[4]NYZoneJ!$L34</f>
        <v>0</v>
      </c>
      <c r="C43" s="35">
        <f>CY43*16</f>
        <v>0</v>
      </c>
      <c r="D43" s="36">
        <f t="shared" si="20"/>
        <v>0</v>
      </c>
      <c r="E43" s="37">
        <f t="shared" si="1"/>
        <v>0</v>
      </c>
      <c r="F43" s="24">
        <f>[4]NYZoneJ!$C34</f>
        <v>45.75</v>
      </c>
      <c r="G43" s="38">
        <f t="shared" si="2"/>
        <v>1.25</v>
      </c>
      <c r="H43" s="39">
        <f t="shared" si="3"/>
        <v>47</v>
      </c>
      <c r="I43" s="36">
        <f>B43*G43</f>
        <v>0</v>
      </c>
      <c r="J43" s="40">
        <f>(DH43+DI43)</f>
        <v>0</v>
      </c>
      <c r="K43" s="40">
        <f t="shared" si="5"/>
        <v>0</v>
      </c>
      <c r="L43" s="172"/>
      <c r="M43" s="28">
        <f t="shared" si="6"/>
        <v>37195</v>
      </c>
      <c r="N43" s="210">
        <v>47</v>
      </c>
      <c r="O43" s="210">
        <v>47</v>
      </c>
      <c r="P43" s="29">
        <f>AVERAGE(N43:O43)-F43</f>
        <v>1.25</v>
      </c>
      <c r="Q43" s="213"/>
      <c r="R43" s="215">
        <f t="shared" si="8"/>
        <v>47</v>
      </c>
      <c r="S43" s="172"/>
      <c r="T43" s="172"/>
      <c r="U43" s="175"/>
      <c r="V43" s="28">
        <f t="shared" si="9"/>
        <v>37195</v>
      </c>
      <c r="W43" s="372"/>
      <c r="X43" s="378"/>
      <c r="Y43" s="227"/>
      <c r="Z43" s="228"/>
      <c r="AA43" s="227"/>
      <c r="AB43" s="228"/>
      <c r="AC43" s="227"/>
      <c r="AD43" s="228"/>
      <c r="AE43" s="227"/>
      <c r="AF43" s="178"/>
      <c r="AG43" s="227"/>
      <c r="AH43" s="17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10"/>
        <v>0</v>
      </c>
      <c r="CZ43" s="236">
        <f t="shared" si="11"/>
        <v>0</v>
      </c>
      <c r="DA43" s="188">
        <f t="shared" si="12"/>
        <v>0</v>
      </c>
      <c r="DB43" s="189">
        <f t="shared" si="13"/>
        <v>37195</v>
      </c>
      <c r="DC43" s="188">
        <f t="shared" si="14"/>
        <v>0</v>
      </c>
      <c r="DD43" s="190">
        <v>16</v>
      </c>
      <c r="DE43" s="188">
        <v>1</v>
      </c>
      <c r="DF43" s="170">
        <f t="shared" si="15"/>
        <v>0</v>
      </c>
      <c r="DG43" s="170">
        <f t="shared" si="16"/>
        <v>0</v>
      </c>
      <c r="DH43" s="170">
        <f t="shared" si="17"/>
        <v>0</v>
      </c>
      <c r="DI43" s="170">
        <f t="shared" si="18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7">
        <f>+[4]NYZoneJ!$L35/16/DR44</f>
        <v>49.52448962983631</v>
      </c>
      <c r="C44" s="120">
        <f t="shared" si="0"/>
        <v>0</v>
      </c>
      <c r="D44" s="115">
        <f t="shared" si="20"/>
        <v>0</v>
      </c>
      <c r="E44" s="116">
        <f t="shared" si="1"/>
        <v>49.52448962983631</v>
      </c>
      <c r="F44" s="138">
        <f>[4]NYZoneJ!$C35</f>
        <v>45.75</v>
      </c>
      <c r="G44" s="346">
        <f t="shared" si="2"/>
        <v>0.75</v>
      </c>
      <c r="H44" s="135">
        <f t="shared" si="3"/>
        <v>46.5</v>
      </c>
      <c r="I44" s="281">
        <f>B44*G44*DD44*DR44</f>
        <v>12480.171386718752</v>
      </c>
      <c r="J44" s="275">
        <f t="shared" ref="J44:J55" si="23">(DH44+DI44)*$DR44</f>
        <v>0</v>
      </c>
      <c r="K44" s="295">
        <f t="shared" si="5"/>
        <v>12480.171386718752</v>
      </c>
      <c r="L44" s="172"/>
      <c r="M44" s="130">
        <f t="shared" si="6"/>
        <v>37196</v>
      </c>
      <c r="N44" s="211">
        <v>46.5</v>
      </c>
      <c r="O44" s="211">
        <v>46.5</v>
      </c>
      <c r="P44" s="131">
        <f t="shared" ref="P44:P55" si="24">AVERAGE(N44:O44)-F44</f>
        <v>0.75</v>
      </c>
      <c r="Q44" s="216"/>
      <c r="R44" s="214">
        <f t="shared" si="8"/>
        <v>46.5</v>
      </c>
      <c r="S44" s="172"/>
      <c r="T44" s="172"/>
      <c r="U44" s="176"/>
      <c r="V44" s="238">
        <f t="shared" si="9"/>
        <v>37196</v>
      </c>
      <c r="W44" s="243"/>
      <c r="X44" s="244"/>
      <c r="Y44" s="243"/>
      <c r="Z44" s="244"/>
      <c r="AA44" s="243"/>
      <c r="AB44" s="244"/>
      <c r="AC44" s="243"/>
      <c r="AD44" s="244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10"/>
        <v>0</v>
      </c>
      <c r="CZ44" s="105">
        <f t="shared" si="11"/>
        <v>0</v>
      </c>
      <c r="DA44" s="188">
        <f t="shared" si="12"/>
        <v>0</v>
      </c>
      <c r="DB44" s="189">
        <f t="shared" si="13"/>
        <v>37196</v>
      </c>
      <c r="DC44" s="188">
        <f t="shared" si="14"/>
        <v>0</v>
      </c>
      <c r="DD44" s="190">
        <v>16</v>
      </c>
      <c r="DE44" s="188">
        <v>1</v>
      </c>
      <c r="DF44" s="170">
        <f t="shared" si="15"/>
        <v>0</v>
      </c>
      <c r="DG44" s="170">
        <f t="shared" si="16"/>
        <v>0</v>
      </c>
      <c r="DH44" s="170">
        <f t="shared" si="17"/>
        <v>0</v>
      </c>
      <c r="DI44" s="170">
        <f t="shared" si="18"/>
        <v>0</v>
      </c>
      <c r="DK44" s="189">
        <v>37196</v>
      </c>
      <c r="DL44" s="167">
        <v>49.52448962983631</v>
      </c>
      <c r="DN44" s="167">
        <v>1</v>
      </c>
      <c r="DR44" s="192">
        <f>+'NYISO G'!DR44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+[4]NYZoneJ!$L36/16/DR45</f>
        <v>49.380010986328124</v>
      </c>
      <c r="C45" s="85">
        <f t="shared" si="0"/>
        <v>0</v>
      </c>
      <c r="D45" s="106">
        <f t="shared" si="20"/>
        <v>0</v>
      </c>
      <c r="E45" s="122">
        <f t="shared" si="1"/>
        <v>49.380010986328124</v>
      </c>
      <c r="F45" s="139">
        <f>[4]NYZoneJ!$C36</f>
        <v>45.75</v>
      </c>
      <c r="G45" s="142">
        <f t="shared" si="2"/>
        <v>0.75</v>
      </c>
      <c r="H45" s="136">
        <f t="shared" si="3"/>
        <v>46.5</v>
      </c>
      <c r="I45" s="282">
        <f t="shared" ref="I45:I55" si="25">B45*G45*DD45*DR45</f>
        <v>11851.20263671875</v>
      </c>
      <c r="J45" s="276">
        <f t="shared" si="23"/>
        <v>0</v>
      </c>
      <c r="K45" s="296">
        <f t="shared" si="5"/>
        <v>11851.20263671875</v>
      </c>
      <c r="L45" s="172"/>
      <c r="M45" s="132">
        <f t="shared" si="6"/>
        <v>37226</v>
      </c>
      <c r="N45" s="210">
        <v>46.5</v>
      </c>
      <c r="O45" s="210">
        <v>46.5</v>
      </c>
      <c r="P45" s="29">
        <f t="shared" si="24"/>
        <v>0.75</v>
      </c>
      <c r="Q45" s="213"/>
      <c r="R45" s="215">
        <f t="shared" si="8"/>
        <v>46.5</v>
      </c>
      <c r="S45" s="172"/>
      <c r="T45" s="172"/>
      <c r="U45" s="176"/>
      <c r="V45" s="237">
        <f t="shared" si="9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5" si="26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5" si="27">IF(AND(CY45=0,DC45=0),0,(DF45+DG45)/DC45)</f>
        <v>0</v>
      </c>
      <c r="DB45" s="189">
        <f t="shared" ref="DB45:DB56" si="28">V45</f>
        <v>37226</v>
      </c>
      <c r="DC45" s="188">
        <f t="shared" ref="DC45:DC56" si="29">ABS(W45)+ABS(Y45)+ABS(AA45)+ABS(AC45)+ABS(AE45)+ABS(AG45)+ABS(AI45)+ABS(AK45)+ABS(AM45)+ABS(AO45)+ABS(AQ45)+ABS(AS45)+ABS(AU45)+ABS(AW45)+ABS(AY45)+ABS(BA45)+ABS(BC45)+ABS(BE45)+ABS(BG45)+ABS(BI45)+ABS(BK45)+ABS(BM45)+ABS(BO45)+ABS(BQ45)+ABS(BS45)+ABS(BU45)+ABS(BW45)+ABS(BY45)+ABS(CA45)+ABS(CC45)+ABS(CE45)+ABS(CG45)+ABS(CI45)+ABS(CK45)+ABS(CM45)+ABS(CO45)+ABS(CQ45)+ABS(CS45)+ABS(CU45)+ABS(CW45)</f>
        <v>0</v>
      </c>
      <c r="DD45" s="190">
        <v>16</v>
      </c>
      <c r="DE45" s="188">
        <v>1</v>
      </c>
      <c r="DF45" s="170">
        <f t="shared" ref="DF45:DF56" si="3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0</v>
      </c>
      <c r="DG45" s="170">
        <f t="shared" ref="DG45:DG56" si="3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0</v>
      </c>
      <c r="DI45" s="170">
        <f t="shared" ref="DI45:DI56" si="3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36861</v>
      </c>
      <c r="DL45" s="167">
        <v>0</v>
      </c>
      <c r="DN45" s="167">
        <v>1</v>
      </c>
      <c r="DR45" s="192">
        <f>+'NYISO G'!DR45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+[4]NYZoneJ!$L37/16/DR46</f>
        <v>0</v>
      </c>
      <c r="C46" s="85">
        <f t="shared" si="0"/>
        <v>0</v>
      </c>
      <c r="D46" s="106">
        <f t="shared" si="20"/>
        <v>0</v>
      </c>
      <c r="E46" s="122">
        <f t="shared" si="1"/>
        <v>0</v>
      </c>
      <c r="F46" s="139">
        <f>[4]NYZoneJ!$C37</f>
        <v>56</v>
      </c>
      <c r="G46" s="142">
        <f t="shared" si="2"/>
        <v>-10.25</v>
      </c>
      <c r="H46" s="136">
        <f t="shared" si="3"/>
        <v>45.75</v>
      </c>
      <c r="I46" s="282">
        <f t="shared" si="25"/>
        <v>0</v>
      </c>
      <c r="J46" s="276">
        <f t="shared" si="23"/>
        <v>0</v>
      </c>
      <c r="K46" s="296">
        <f t="shared" si="5"/>
        <v>0</v>
      </c>
      <c r="L46" s="172"/>
      <c r="M46" s="132">
        <f t="shared" si="6"/>
        <v>37257</v>
      </c>
      <c r="N46" s="210">
        <v>45.75</v>
      </c>
      <c r="O46" s="210">
        <v>45.75</v>
      </c>
      <c r="P46" s="29">
        <f t="shared" si="24"/>
        <v>-10.25</v>
      </c>
      <c r="Q46" s="213"/>
      <c r="R46" s="215">
        <f t="shared" si="8"/>
        <v>45.75</v>
      </c>
      <c r="S46" s="172"/>
      <c r="T46" s="172"/>
      <c r="U46" s="176"/>
      <c r="V46" s="237">
        <f t="shared" si="9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6"/>
        <v>0</v>
      </c>
      <c r="CZ46" s="34">
        <f t="shared" si="27"/>
        <v>0</v>
      </c>
      <c r="DB46" s="189">
        <f t="shared" si="28"/>
        <v>37257</v>
      </c>
      <c r="DC46" s="188">
        <f t="shared" si="29"/>
        <v>0</v>
      </c>
      <c r="DD46" s="190">
        <v>16</v>
      </c>
      <c r="DE46" s="188">
        <v>1</v>
      </c>
      <c r="DF46" s="170">
        <f t="shared" si="30"/>
        <v>0</v>
      </c>
      <c r="DG46" s="170">
        <f t="shared" si="31"/>
        <v>0</v>
      </c>
      <c r="DH46" s="170">
        <f t="shared" si="32"/>
        <v>0</v>
      </c>
      <c r="DI46" s="170">
        <f t="shared" si="33"/>
        <v>0</v>
      </c>
      <c r="DK46" s="189">
        <v>36861</v>
      </c>
      <c r="DL46" s="167">
        <v>0</v>
      </c>
      <c r="DN46" s="167">
        <v>1</v>
      </c>
      <c r="DR46" s="192">
        <f>+'NYISO G'!DR46</f>
        <v>22</v>
      </c>
    </row>
    <row r="47" spans="1:124" ht="18.75" x14ac:dyDescent="0.3">
      <c r="A47" s="145">
        <f>'NYISO A'!A47</f>
        <v>37288</v>
      </c>
      <c r="B47" s="118">
        <f>+[4]NYZoneJ!$L38/16/DR47</f>
        <v>0</v>
      </c>
      <c r="C47" s="85">
        <f t="shared" si="0"/>
        <v>0</v>
      </c>
      <c r="D47" s="106">
        <f t="shared" si="20"/>
        <v>0</v>
      </c>
      <c r="E47" s="122">
        <f t="shared" si="1"/>
        <v>0</v>
      </c>
      <c r="F47" s="139">
        <f>[4]NYZoneJ!$C38</f>
        <v>56</v>
      </c>
      <c r="G47" s="142">
        <f t="shared" si="2"/>
        <v>14</v>
      </c>
      <c r="H47" s="136">
        <f t="shared" si="3"/>
        <v>70</v>
      </c>
      <c r="I47" s="282">
        <f t="shared" si="25"/>
        <v>0</v>
      </c>
      <c r="J47" s="276">
        <f t="shared" si="23"/>
        <v>0</v>
      </c>
      <c r="K47" s="296">
        <f t="shared" si="5"/>
        <v>0</v>
      </c>
      <c r="L47" s="172"/>
      <c r="M47" s="132">
        <f t="shared" si="6"/>
        <v>37288</v>
      </c>
      <c r="N47" s="210">
        <v>70</v>
      </c>
      <c r="O47" s="210">
        <v>70</v>
      </c>
      <c r="P47" s="29">
        <f t="shared" si="24"/>
        <v>14</v>
      </c>
      <c r="Q47" s="213"/>
      <c r="R47" s="215">
        <f t="shared" si="8"/>
        <v>70</v>
      </c>
      <c r="S47" s="172"/>
      <c r="T47" s="172"/>
      <c r="U47" s="176"/>
      <c r="V47" s="237">
        <f t="shared" si="9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6"/>
        <v>0</v>
      </c>
      <c r="CZ47" s="34">
        <f t="shared" si="27"/>
        <v>0</v>
      </c>
      <c r="DB47" s="189">
        <f t="shared" si="28"/>
        <v>37288</v>
      </c>
      <c r="DC47" s="188">
        <f t="shared" si="29"/>
        <v>0</v>
      </c>
      <c r="DD47" s="190">
        <v>16</v>
      </c>
      <c r="DE47" s="188">
        <v>1</v>
      </c>
      <c r="DF47" s="170">
        <f t="shared" si="30"/>
        <v>0</v>
      </c>
      <c r="DG47" s="170">
        <f t="shared" si="31"/>
        <v>0</v>
      </c>
      <c r="DH47" s="170">
        <f t="shared" si="32"/>
        <v>0</v>
      </c>
      <c r="DI47" s="170">
        <f t="shared" si="33"/>
        <v>0</v>
      </c>
      <c r="DK47" s="189">
        <v>36861</v>
      </c>
      <c r="DL47" s="167">
        <v>0</v>
      </c>
      <c r="DN47" s="167">
        <v>1</v>
      </c>
      <c r="DR47" s="192">
        <f>+'NYISO G'!DR47</f>
        <v>20</v>
      </c>
    </row>
    <row r="48" spans="1:124" ht="18.75" x14ac:dyDescent="0.3">
      <c r="A48" s="145">
        <f>'NYISO A'!A48</f>
        <v>37316</v>
      </c>
      <c r="B48" s="118">
        <f>+[4]NYZoneJ!$L39/16/DR48</f>
        <v>0</v>
      </c>
      <c r="C48" s="85">
        <f t="shared" si="0"/>
        <v>0</v>
      </c>
      <c r="D48" s="106">
        <f t="shared" si="20"/>
        <v>0</v>
      </c>
      <c r="E48" s="122">
        <f t="shared" si="1"/>
        <v>0</v>
      </c>
      <c r="F48" s="139">
        <f>[4]NYZoneJ!$C39</f>
        <v>44</v>
      </c>
      <c r="G48" s="142">
        <f t="shared" si="2"/>
        <v>43.5</v>
      </c>
      <c r="H48" s="136">
        <f t="shared" si="3"/>
        <v>87.5</v>
      </c>
      <c r="I48" s="282">
        <f t="shared" si="25"/>
        <v>0</v>
      </c>
      <c r="J48" s="276">
        <f t="shared" si="23"/>
        <v>0</v>
      </c>
      <c r="K48" s="296">
        <f t="shared" si="5"/>
        <v>0</v>
      </c>
      <c r="L48" s="172"/>
      <c r="M48" s="132">
        <f t="shared" si="6"/>
        <v>37316</v>
      </c>
      <c r="N48" s="210">
        <v>87.5</v>
      </c>
      <c r="O48" s="210">
        <v>87.5</v>
      </c>
      <c r="P48" s="29">
        <f t="shared" si="24"/>
        <v>43.5</v>
      </c>
      <c r="Q48" s="213"/>
      <c r="R48" s="215">
        <f t="shared" si="8"/>
        <v>87.5</v>
      </c>
      <c r="S48" s="172"/>
      <c r="T48" s="172"/>
      <c r="U48" s="176"/>
      <c r="V48" s="237">
        <f t="shared" si="9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6"/>
        <v>0</v>
      </c>
      <c r="CZ48" s="34">
        <f t="shared" si="27"/>
        <v>0</v>
      </c>
      <c r="DB48" s="189">
        <f t="shared" si="28"/>
        <v>37316</v>
      </c>
      <c r="DC48" s="188">
        <f t="shared" si="29"/>
        <v>0</v>
      </c>
      <c r="DD48" s="190">
        <v>16</v>
      </c>
      <c r="DE48" s="188">
        <v>1</v>
      </c>
      <c r="DF48" s="170">
        <f t="shared" si="30"/>
        <v>0</v>
      </c>
      <c r="DG48" s="170">
        <f t="shared" si="31"/>
        <v>0</v>
      </c>
      <c r="DH48" s="170">
        <f t="shared" si="32"/>
        <v>0</v>
      </c>
      <c r="DI48" s="170">
        <f t="shared" si="33"/>
        <v>0</v>
      </c>
      <c r="DK48" s="189">
        <v>36861</v>
      </c>
      <c r="DL48" s="167">
        <v>0</v>
      </c>
      <c r="DN48" s="167">
        <v>1</v>
      </c>
      <c r="DR48" s="192">
        <f>+'NYISO G'!DR48</f>
        <v>21</v>
      </c>
    </row>
    <row r="49" spans="1:122" ht="18.75" x14ac:dyDescent="0.3">
      <c r="A49" s="145">
        <f>'NYISO A'!A49</f>
        <v>37347</v>
      </c>
      <c r="B49" s="118">
        <f>+[4]NYZoneJ!$L40/16/DR49</f>
        <v>0</v>
      </c>
      <c r="C49" s="85">
        <f t="shared" si="0"/>
        <v>0</v>
      </c>
      <c r="D49" s="106">
        <f t="shared" si="20"/>
        <v>0</v>
      </c>
      <c r="E49" s="122">
        <f t="shared" si="1"/>
        <v>0</v>
      </c>
      <c r="F49" s="139">
        <f>[4]NYZoneJ!$C40</f>
        <v>44</v>
      </c>
      <c r="G49" s="142">
        <f t="shared" si="2"/>
        <v>89.5</v>
      </c>
      <c r="H49" s="136">
        <f t="shared" si="3"/>
        <v>133.5</v>
      </c>
      <c r="I49" s="282">
        <f t="shared" si="25"/>
        <v>0</v>
      </c>
      <c r="J49" s="276">
        <f t="shared" si="23"/>
        <v>0</v>
      </c>
      <c r="K49" s="296">
        <f t="shared" si="5"/>
        <v>0</v>
      </c>
      <c r="L49" s="172"/>
      <c r="M49" s="132">
        <f t="shared" si="6"/>
        <v>37347</v>
      </c>
      <c r="N49" s="210">
        <v>133.5</v>
      </c>
      <c r="O49" s="210">
        <v>133.5</v>
      </c>
      <c r="P49" s="29">
        <f t="shared" si="24"/>
        <v>89.5</v>
      </c>
      <c r="Q49" s="213"/>
      <c r="R49" s="215">
        <f t="shared" si="8"/>
        <v>133.5</v>
      </c>
      <c r="S49" s="172"/>
      <c r="T49" s="172"/>
      <c r="U49" s="176"/>
      <c r="V49" s="237">
        <f t="shared" si="9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6"/>
        <v>0</v>
      </c>
      <c r="CZ49" s="34">
        <f t="shared" si="27"/>
        <v>0</v>
      </c>
      <c r="DB49" s="189">
        <f t="shared" si="28"/>
        <v>37347</v>
      </c>
      <c r="DC49" s="188">
        <f t="shared" si="29"/>
        <v>0</v>
      </c>
      <c r="DD49" s="190">
        <v>16</v>
      </c>
      <c r="DE49" s="188">
        <v>1</v>
      </c>
      <c r="DF49" s="170">
        <f t="shared" si="30"/>
        <v>0</v>
      </c>
      <c r="DG49" s="170">
        <f t="shared" si="31"/>
        <v>0</v>
      </c>
      <c r="DH49" s="170">
        <f t="shared" si="32"/>
        <v>0</v>
      </c>
      <c r="DI49" s="170">
        <f t="shared" si="33"/>
        <v>0</v>
      </c>
      <c r="DK49" s="189">
        <v>36861</v>
      </c>
      <c r="DL49" s="167">
        <v>0</v>
      </c>
      <c r="DN49" s="167">
        <v>1</v>
      </c>
      <c r="DR49" s="192">
        <f>+'NYISO G'!DR49</f>
        <v>22</v>
      </c>
    </row>
    <row r="50" spans="1:122" ht="18.75" x14ac:dyDescent="0.3">
      <c r="A50" s="145">
        <f>'NYISO A'!A50</f>
        <v>37377</v>
      </c>
      <c r="B50" s="118">
        <f>+[4]NYZoneJ!$L41/16/DR50</f>
        <v>0</v>
      </c>
      <c r="C50" s="85">
        <f t="shared" si="0"/>
        <v>0</v>
      </c>
      <c r="D50" s="106">
        <f t="shared" si="20"/>
        <v>0</v>
      </c>
      <c r="E50" s="122">
        <f t="shared" si="1"/>
        <v>0</v>
      </c>
      <c r="F50" s="139">
        <f>[4]NYZoneJ!$C41</f>
        <v>49</v>
      </c>
      <c r="G50" s="142">
        <f t="shared" si="2"/>
        <v>84</v>
      </c>
      <c r="H50" s="136">
        <f t="shared" si="3"/>
        <v>133</v>
      </c>
      <c r="I50" s="282">
        <f t="shared" si="25"/>
        <v>0</v>
      </c>
      <c r="J50" s="276">
        <f t="shared" si="23"/>
        <v>0</v>
      </c>
      <c r="K50" s="296">
        <f t="shared" si="5"/>
        <v>0</v>
      </c>
      <c r="L50" s="172"/>
      <c r="M50" s="132">
        <f t="shared" si="6"/>
        <v>37377</v>
      </c>
      <c r="N50" s="210">
        <v>133</v>
      </c>
      <c r="O50" s="210">
        <v>133</v>
      </c>
      <c r="P50" s="29">
        <f t="shared" si="24"/>
        <v>84</v>
      </c>
      <c r="Q50" s="213"/>
      <c r="R50" s="215">
        <f t="shared" si="8"/>
        <v>133</v>
      </c>
      <c r="S50" s="172"/>
      <c r="T50" s="172"/>
      <c r="U50" s="176"/>
      <c r="V50" s="237">
        <f t="shared" si="9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6"/>
        <v>0</v>
      </c>
      <c r="CZ50" s="34">
        <f t="shared" si="27"/>
        <v>0</v>
      </c>
      <c r="DB50" s="189">
        <f t="shared" si="28"/>
        <v>37377</v>
      </c>
      <c r="DC50" s="188">
        <f t="shared" si="29"/>
        <v>0</v>
      </c>
      <c r="DD50" s="190">
        <v>16</v>
      </c>
      <c r="DE50" s="188">
        <v>1</v>
      </c>
      <c r="DF50" s="170">
        <f t="shared" si="30"/>
        <v>0</v>
      </c>
      <c r="DG50" s="170">
        <f t="shared" si="31"/>
        <v>0</v>
      </c>
      <c r="DH50" s="170">
        <f t="shared" si="32"/>
        <v>0</v>
      </c>
      <c r="DI50" s="170">
        <f t="shared" si="33"/>
        <v>0</v>
      </c>
      <c r="DK50" s="189">
        <v>36861</v>
      </c>
      <c r="DL50" s="167">
        <v>0</v>
      </c>
      <c r="DN50" s="167">
        <v>1</v>
      </c>
      <c r="DR50" s="192">
        <f>+'NYISO G'!DR50</f>
        <v>22</v>
      </c>
    </row>
    <row r="51" spans="1:122" ht="18.75" x14ac:dyDescent="0.3">
      <c r="A51" s="145">
        <f>'NYISO A'!A51</f>
        <v>37408</v>
      </c>
      <c r="B51" s="118">
        <f>+[4]NYZoneJ!$L42/16/DR51</f>
        <v>0</v>
      </c>
      <c r="C51" s="85">
        <f t="shared" si="0"/>
        <v>0</v>
      </c>
      <c r="D51" s="106">
        <f t="shared" si="20"/>
        <v>0</v>
      </c>
      <c r="E51" s="122">
        <f t="shared" si="1"/>
        <v>0</v>
      </c>
      <c r="F51" s="139">
        <f>[4]NYZoneJ!$C42</f>
        <v>58</v>
      </c>
      <c r="G51" s="142">
        <f t="shared" si="2"/>
        <v>0.5</v>
      </c>
      <c r="H51" s="136">
        <f t="shared" si="3"/>
        <v>58.5</v>
      </c>
      <c r="I51" s="282">
        <f t="shared" si="25"/>
        <v>0</v>
      </c>
      <c r="J51" s="276">
        <f t="shared" si="23"/>
        <v>0</v>
      </c>
      <c r="K51" s="296">
        <f t="shared" si="5"/>
        <v>0</v>
      </c>
      <c r="L51" s="172"/>
      <c r="M51" s="132">
        <f t="shared" si="6"/>
        <v>37408</v>
      </c>
      <c r="N51" s="210">
        <v>58.5</v>
      </c>
      <c r="O51" s="210">
        <v>58.5</v>
      </c>
      <c r="P51" s="29">
        <f t="shared" si="24"/>
        <v>0.5</v>
      </c>
      <c r="Q51" s="213"/>
      <c r="R51" s="215">
        <f t="shared" si="8"/>
        <v>58.5</v>
      </c>
      <c r="S51" s="172"/>
      <c r="T51" s="172"/>
      <c r="U51" s="176"/>
      <c r="V51" s="237">
        <f t="shared" si="9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6"/>
        <v>0</v>
      </c>
      <c r="CZ51" s="34">
        <f t="shared" si="27"/>
        <v>0</v>
      </c>
      <c r="DB51" s="189">
        <f t="shared" si="28"/>
        <v>37408</v>
      </c>
      <c r="DC51" s="188">
        <f t="shared" si="29"/>
        <v>0</v>
      </c>
      <c r="DD51" s="190">
        <v>16</v>
      </c>
      <c r="DE51" s="188">
        <v>1</v>
      </c>
      <c r="DF51" s="170">
        <f t="shared" si="30"/>
        <v>0</v>
      </c>
      <c r="DG51" s="170">
        <f t="shared" si="31"/>
        <v>0</v>
      </c>
      <c r="DH51" s="170">
        <f t="shared" si="32"/>
        <v>0</v>
      </c>
      <c r="DI51" s="170">
        <f t="shared" si="33"/>
        <v>0</v>
      </c>
      <c r="DK51" s="189">
        <v>36861</v>
      </c>
      <c r="DL51" s="167">
        <v>0</v>
      </c>
      <c r="DN51" s="167">
        <v>1</v>
      </c>
      <c r="DR51" s="192">
        <f>+'NYISO G'!DR51</f>
        <v>20</v>
      </c>
    </row>
    <row r="52" spans="1:122" ht="18.75" x14ac:dyDescent="0.3">
      <c r="A52" s="145">
        <f>'NYISO A'!A52</f>
        <v>37438</v>
      </c>
      <c r="B52" s="118">
        <f>+[4]NYZoneJ!$L43/16/DR52</f>
        <v>0</v>
      </c>
      <c r="C52" s="85">
        <f t="shared" si="0"/>
        <v>0</v>
      </c>
      <c r="D52" s="106">
        <f t="shared" si="20"/>
        <v>0</v>
      </c>
      <c r="E52" s="122">
        <f t="shared" si="1"/>
        <v>0</v>
      </c>
      <c r="F52" s="139">
        <f>[4]NYZoneJ!$C43</f>
        <v>85.5</v>
      </c>
      <c r="G52" s="142">
        <f t="shared" si="2"/>
        <v>-25</v>
      </c>
      <c r="H52" s="136">
        <f t="shared" si="3"/>
        <v>60.5</v>
      </c>
      <c r="I52" s="282">
        <f t="shared" si="25"/>
        <v>0</v>
      </c>
      <c r="J52" s="276">
        <f t="shared" si="23"/>
        <v>0</v>
      </c>
      <c r="K52" s="296">
        <f t="shared" si="5"/>
        <v>0</v>
      </c>
      <c r="L52" s="172"/>
      <c r="M52" s="132">
        <f t="shared" si="6"/>
        <v>37438</v>
      </c>
      <c r="N52" s="210">
        <v>60.5</v>
      </c>
      <c r="O52" s="210">
        <v>60.5</v>
      </c>
      <c r="P52" s="29">
        <f t="shared" si="24"/>
        <v>-25</v>
      </c>
      <c r="Q52" s="213"/>
      <c r="R52" s="215">
        <f t="shared" si="8"/>
        <v>60.5</v>
      </c>
      <c r="S52" s="172"/>
      <c r="T52" s="172"/>
      <c r="U52" s="176"/>
      <c r="V52" s="237">
        <f t="shared" si="9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6"/>
        <v>0</v>
      </c>
      <c r="CZ52" s="34">
        <f t="shared" si="27"/>
        <v>0</v>
      </c>
      <c r="DB52" s="189">
        <f t="shared" si="28"/>
        <v>37438</v>
      </c>
      <c r="DC52" s="188">
        <f t="shared" si="29"/>
        <v>0</v>
      </c>
      <c r="DD52" s="190">
        <v>16</v>
      </c>
      <c r="DE52" s="188">
        <v>1</v>
      </c>
      <c r="DF52" s="170">
        <f t="shared" si="30"/>
        <v>0</v>
      </c>
      <c r="DG52" s="170">
        <f t="shared" si="31"/>
        <v>0</v>
      </c>
      <c r="DH52" s="170">
        <f t="shared" si="32"/>
        <v>0</v>
      </c>
      <c r="DI52" s="170">
        <f t="shared" si="33"/>
        <v>0</v>
      </c>
      <c r="DK52" s="189">
        <v>36861</v>
      </c>
      <c r="DL52" s="167">
        <v>0</v>
      </c>
      <c r="DN52" s="167">
        <v>1</v>
      </c>
      <c r="DR52" s="192">
        <f>+'NYISO G'!DR52</f>
        <v>22</v>
      </c>
    </row>
    <row r="53" spans="1:122" ht="18.75" x14ac:dyDescent="0.3">
      <c r="A53" s="145">
        <f>'NYISO A'!A53</f>
        <v>37469</v>
      </c>
      <c r="B53" s="118">
        <f>+[4]NYZoneJ!$L44/16/DR53</f>
        <v>0</v>
      </c>
      <c r="C53" s="85">
        <f t="shared" si="0"/>
        <v>0</v>
      </c>
      <c r="D53" s="106">
        <f t="shared" si="20"/>
        <v>0</v>
      </c>
      <c r="E53" s="122">
        <f t="shared" si="1"/>
        <v>0</v>
      </c>
      <c r="F53" s="139">
        <f>[4]NYZoneJ!$C44</f>
        <v>85.5</v>
      </c>
      <c r="G53" s="142">
        <f t="shared" si="2"/>
        <v>-24</v>
      </c>
      <c r="H53" s="136">
        <f t="shared" si="3"/>
        <v>61.5</v>
      </c>
      <c r="I53" s="282">
        <f t="shared" si="25"/>
        <v>0</v>
      </c>
      <c r="J53" s="276">
        <f t="shared" si="23"/>
        <v>0</v>
      </c>
      <c r="K53" s="296">
        <f t="shared" si="5"/>
        <v>0</v>
      </c>
      <c r="L53" s="172"/>
      <c r="M53" s="132">
        <f t="shared" si="6"/>
        <v>37469</v>
      </c>
      <c r="N53" s="210">
        <v>61.5</v>
      </c>
      <c r="O53" s="210">
        <v>61.5</v>
      </c>
      <c r="P53" s="29">
        <f t="shared" si="24"/>
        <v>-24</v>
      </c>
      <c r="Q53" s="213"/>
      <c r="R53" s="215">
        <f t="shared" si="8"/>
        <v>61.5</v>
      </c>
      <c r="S53" s="172"/>
      <c r="T53" s="172"/>
      <c r="U53" s="176"/>
      <c r="V53" s="237">
        <f t="shared" si="9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6"/>
        <v>0</v>
      </c>
      <c r="CZ53" s="34">
        <f t="shared" si="27"/>
        <v>0</v>
      </c>
      <c r="DB53" s="189">
        <f t="shared" si="28"/>
        <v>37469</v>
      </c>
      <c r="DC53" s="188">
        <f t="shared" si="29"/>
        <v>0</v>
      </c>
      <c r="DD53" s="190">
        <v>16</v>
      </c>
      <c r="DE53" s="188">
        <v>1</v>
      </c>
      <c r="DF53" s="170">
        <f t="shared" si="30"/>
        <v>0</v>
      </c>
      <c r="DG53" s="170">
        <f t="shared" si="31"/>
        <v>0</v>
      </c>
      <c r="DH53" s="170">
        <f t="shared" si="32"/>
        <v>0</v>
      </c>
      <c r="DI53" s="170">
        <f t="shared" si="33"/>
        <v>0</v>
      </c>
      <c r="DK53" s="189">
        <v>36861</v>
      </c>
      <c r="DL53" s="167">
        <v>0</v>
      </c>
      <c r="DN53" s="167">
        <v>1</v>
      </c>
      <c r="DR53" s="192">
        <f>+'NYISO G'!DR53</f>
        <v>22</v>
      </c>
    </row>
    <row r="54" spans="1:122" ht="18.75" x14ac:dyDescent="0.3">
      <c r="A54" s="145">
        <f>'NYISO A'!A54</f>
        <v>37500</v>
      </c>
      <c r="B54" s="118">
        <f>+[4]NYZoneJ!$L45/16/DR54</f>
        <v>0</v>
      </c>
      <c r="C54" s="85">
        <f t="shared" si="0"/>
        <v>0</v>
      </c>
      <c r="D54" s="106">
        <f t="shared" si="20"/>
        <v>0</v>
      </c>
      <c r="E54" s="122">
        <f t="shared" si="1"/>
        <v>0</v>
      </c>
      <c r="F54" s="139">
        <f>[4]NYZoneJ!$C45</f>
        <v>48.5</v>
      </c>
      <c r="G54" s="142">
        <f t="shared" si="2"/>
        <v>13</v>
      </c>
      <c r="H54" s="136">
        <f t="shared" si="3"/>
        <v>61.5</v>
      </c>
      <c r="I54" s="282">
        <f t="shared" si="25"/>
        <v>0</v>
      </c>
      <c r="J54" s="276">
        <f t="shared" si="23"/>
        <v>0</v>
      </c>
      <c r="K54" s="296">
        <f t="shared" si="5"/>
        <v>0</v>
      </c>
      <c r="L54" s="172"/>
      <c r="M54" s="132">
        <f t="shared" si="6"/>
        <v>37500</v>
      </c>
      <c r="N54" s="210">
        <v>61</v>
      </c>
      <c r="O54" s="210">
        <v>62</v>
      </c>
      <c r="P54" s="29">
        <f t="shared" si="24"/>
        <v>13</v>
      </c>
      <c r="Q54" s="213"/>
      <c r="R54" s="215">
        <f t="shared" si="8"/>
        <v>61.5</v>
      </c>
      <c r="S54" s="172"/>
      <c r="T54" s="172"/>
      <c r="U54" s="176"/>
      <c r="V54" s="237">
        <f t="shared" si="9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6"/>
        <v>0</v>
      </c>
      <c r="CZ54" s="34">
        <f t="shared" si="27"/>
        <v>0</v>
      </c>
      <c r="DB54" s="189">
        <f t="shared" si="28"/>
        <v>37500</v>
      </c>
      <c r="DC54" s="188">
        <f t="shared" si="29"/>
        <v>0</v>
      </c>
      <c r="DD54" s="190">
        <v>16</v>
      </c>
      <c r="DE54" s="188">
        <v>1</v>
      </c>
      <c r="DF54" s="170">
        <f t="shared" si="30"/>
        <v>0</v>
      </c>
      <c r="DG54" s="170">
        <f t="shared" si="31"/>
        <v>0</v>
      </c>
      <c r="DH54" s="170">
        <f t="shared" si="32"/>
        <v>0</v>
      </c>
      <c r="DI54" s="170">
        <f t="shared" si="33"/>
        <v>0</v>
      </c>
      <c r="DK54" s="189">
        <v>36861</v>
      </c>
      <c r="DL54" s="167">
        <v>0</v>
      </c>
      <c r="DN54" s="167">
        <v>1</v>
      </c>
      <c r="DR54" s="192">
        <f>+'NYISO G'!DR54</f>
        <v>20</v>
      </c>
    </row>
    <row r="55" spans="1:122" ht="18.75" x14ac:dyDescent="0.3">
      <c r="A55" s="145">
        <f>'NYISO A'!A55</f>
        <v>37530</v>
      </c>
      <c r="B55" s="118">
        <f>+[4]NYZoneJ!$L46/16/DR55</f>
        <v>0</v>
      </c>
      <c r="C55" s="85">
        <f t="shared" si="0"/>
        <v>0</v>
      </c>
      <c r="D55" s="106">
        <f t="shared" si="20"/>
        <v>0</v>
      </c>
      <c r="E55" s="122">
        <f t="shared" si="1"/>
        <v>0</v>
      </c>
      <c r="F55" s="139">
        <f>[4]NYZoneJ!$C46</f>
        <v>47.5</v>
      </c>
      <c r="G55" s="142">
        <f t="shared" si="2"/>
        <v>37.5</v>
      </c>
      <c r="H55" s="136">
        <f t="shared" si="3"/>
        <v>85</v>
      </c>
      <c r="I55" s="282">
        <f t="shared" si="25"/>
        <v>0</v>
      </c>
      <c r="J55" s="276">
        <f t="shared" si="23"/>
        <v>0</v>
      </c>
      <c r="K55" s="296">
        <f t="shared" si="5"/>
        <v>0</v>
      </c>
      <c r="L55" s="172"/>
      <c r="M55" s="132">
        <f t="shared" si="6"/>
        <v>37530</v>
      </c>
      <c r="N55" s="210">
        <v>85</v>
      </c>
      <c r="O55" s="210">
        <v>85</v>
      </c>
      <c r="P55" s="29">
        <f t="shared" si="24"/>
        <v>37.5</v>
      </c>
      <c r="Q55" s="213"/>
      <c r="R55" s="215">
        <f t="shared" si="8"/>
        <v>85</v>
      </c>
      <c r="S55" s="172"/>
      <c r="T55" s="172"/>
      <c r="U55" s="176"/>
      <c r="V55" s="132">
        <f t="shared" si="9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235">
        <f t="shared" si="26"/>
        <v>0</v>
      </c>
      <c r="CZ55" s="236">
        <f t="shared" si="27"/>
        <v>0</v>
      </c>
      <c r="DB55" s="189">
        <f t="shared" si="28"/>
        <v>37530</v>
      </c>
      <c r="DC55" s="188">
        <f t="shared" si="29"/>
        <v>0</v>
      </c>
      <c r="DD55" s="190">
        <v>16</v>
      </c>
      <c r="DE55" s="188">
        <v>1</v>
      </c>
      <c r="DF55" s="170">
        <f t="shared" si="30"/>
        <v>0</v>
      </c>
      <c r="DG55" s="170">
        <f t="shared" si="31"/>
        <v>0</v>
      </c>
      <c r="DH55" s="170">
        <f t="shared" si="32"/>
        <v>0</v>
      </c>
      <c r="DI55" s="170">
        <f t="shared" si="33"/>
        <v>0</v>
      </c>
      <c r="DK55" s="189">
        <v>36861</v>
      </c>
      <c r="DL55" s="167">
        <v>0</v>
      </c>
      <c r="DN55" s="167">
        <v>1</v>
      </c>
      <c r="DR55" s="192">
        <f>+'NYISO G'!DR55</f>
        <v>23</v>
      </c>
    </row>
    <row r="56" spans="1:122" ht="18.75" x14ac:dyDescent="0.3">
      <c r="A56" s="145">
        <f>'NYISO A'!A56</f>
        <v>37561</v>
      </c>
      <c r="B56" s="118">
        <f>+[4]NYZoneJ!$L47/16/DR56</f>
        <v>0</v>
      </c>
      <c r="C56" s="85">
        <f>CY56</f>
        <v>0</v>
      </c>
      <c r="D56" s="106">
        <f t="shared" si="20"/>
        <v>0</v>
      </c>
      <c r="E56" s="122">
        <f>B56+C56+D56</f>
        <v>0</v>
      </c>
      <c r="F56" s="139">
        <f>[4]NYZoneJ!$C47</f>
        <v>47.5</v>
      </c>
      <c r="G56" s="142">
        <f>IF($Q$9,Q56,P56)</f>
        <v>37.5</v>
      </c>
      <c r="H56" s="136">
        <f>F56+G56</f>
        <v>85</v>
      </c>
      <c r="I56" s="282">
        <f>B56*G56*DD56*DR56</f>
        <v>0</v>
      </c>
      <c r="J56" s="276">
        <f>(DH56+DI56)*$DR56</f>
        <v>0</v>
      </c>
      <c r="K56" s="296">
        <f>I56+J56</f>
        <v>0</v>
      </c>
      <c r="L56" s="172"/>
      <c r="M56" s="132">
        <f>A56</f>
        <v>37561</v>
      </c>
      <c r="N56" s="210">
        <v>85</v>
      </c>
      <c r="O56" s="210">
        <v>85</v>
      </c>
      <c r="P56" s="29">
        <f>AVERAGE(N56:O56)-F56</f>
        <v>37.5</v>
      </c>
      <c r="Q56" s="213"/>
      <c r="R56" s="215">
        <f>H56</f>
        <v>85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235">
        <f>W56+Y56+AA56+AC56+AE56+AG56+AI56+AK56+AM56+AO56+AQ56+AS56+AU56+AW56+AY56+BA56+BC56+BE56+BG56+BI56+BK56+BM56+BO56+BQ56+BS56+BU56+BW56+BY56+CA56+CC56+CE56+CG56+CI56+CK56+CM56+CO56+CQ56+CS56+CU56+CW56</f>
        <v>0</v>
      </c>
      <c r="CZ56" s="236">
        <f>IF(AND(CY56=0,DC56=0),0,(DF56+DG56)/DC56)</f>
        <v>0</v>
      </c>
      <c r="DB56" s="189">
        <f t="shared" si="28"/>
        <v>37561</v>
      </c>
      <c r="DC56" s="188">
        <f t="shared" si="29"/>
        <v>0</v>
      </c>
      <c r="DD56" s="190">
        <v>16</v>
      </c>
      <c r="DE56" s="188">
        <v>1</v>
      </c>
      <c r="DF56" s="170">
        <f t="shared" si="30"/>
        <v>0</v>
      </c>
      <c r="DG56" s="170">
        <f t="shared" si="31"/>
        <v>0</v>
      </c>
      <c r="DH56" s="170">
        <f t="shared" si="32"/>
        <v>0</v>
      </c>
      <c r="DI56" s="170">
        <f t="shared" si="33"/>
        <v>0</v>
      </c>
      <c r="DK56" s="189">
        <v>36861</v>
      </c>
      <c r="DL56" s="167">
        <v>0</v>
      </c>
      <c r="DN56" s="167">
        <v>1</v>
      </c>
      <c r="DR56" s="193">
        <f>+'NYISO G'!DR56</f>
        <v>20</v>
      </c>
    </row>
    <row r="57" spans="1:122" ht="18.75" x14ac:dyDescent="0.3">
      <c r="A57" s="145">
        <f>'NYISO A'!A57</f>
        <v>37591</v>
      </c>
      <c r="B57" s="118">
        <f>+[4]NYZoneJ!$L48/16/DR57</f>
        <v>0</v>
      </c>
      <c r="C57" s="85">
        <f>CY57</f>
        <v>0</v>
      </c>
      <c r="D57" s="106">
        <f t="shared" si="20"/>
        <v>0</v>
      </c>
      <c r="E57" s="122">
        <f>B57+C57+D57</f>
        <v>0</v>
      </c>
      <c r="F57" s="139">
        <f>[4]NYZoneJ!$C48</f>
        <v>0</v>
      </c>
      <c r="G57" s="142">
        <f>IF($Q$9,Q57,P57)</f>
        <v>85</v>
      </c>
      <c r="H57" s="136">
        <f>F57+G57</f>
        <v>85</v>
      </c>
      <c r="I57" s="282">
        <f>B57*G57*DD57*DR57</f>
        <v>0</v>
      </c>
      <c r="J57" s="276">
        <f>(DH57+DI57)*$DR57</f>
        <v>0</v>
      </c>
      <c r="K57" s="296">
        <f>I57+J57</f>
        <v>0</v>
      </c>
      <c r="L57" s="172"/>
      <c r="M57" s="132">
        <f>A57</f>
        <v>37591</v>
      </c>
      <c r="N57" s="210">
        <v>85</v>
      </c>
      <c r="O57" s="210">
        <v>85</v>
      </c>
      <c r="P57" s="29">
        <f>AVERAGE(N57:O57)-F57</f>
        <v>85</v>
      </c>
      <c r="Q57" s="213"/>
      <c r="R57" s="215">
        <f>H57</f>
        <v>85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G'!DR57</f>
        <v>21</v>
      </c>
    </row>
    <row r="58" spans="1:122" ht="18.75" x14ac:dyDescent="0.3">
      <c r="A58" s="145">
        <f>'NYISO A'!A58</f>
        <v>37622</v>
      </c>
      <c r="B58" s="118">
        <f>+[4]NYZoneJ!$L49/16/DR58</f>
        <v>0</v>
      </c>
      <c r="C58" s="85">
        <f>CY58</f>
        <v>0</v>
      </c>
      <c r="D58" s="106">
        <f t="shared" si="20"/>
        <v>0</v>
      </c>
      <c r="E58" s="122">
        <f>B58+C58+D58</f>
        <v>0</v>
      </c>
      <c r="F58" s="139">
        <f>[4]NYZoneJ!$C49</f>
        <v>0</v>
      </c>
      <c r="G58" s="142">
        <f>IF($Q$9,Q58,P58)</f>
        <v>85</v>
      </c>
      <c r="H58" s="136">
        <f>F58+G58</f>
        <v>85</v>
      </c>
      <c r="I58" s="282">
        <f>B58*G58*DD58*DR58</f>
        <v>0</v>
      </c>
      <c r="J58" s="276">
        <f>(DH58+DI58)*$DR58</f>
        <v>0</v>
      </c>
      <c r="K58" s="296">
        <f>I58+J58</f>
        <v>0</v>
      </c>
      <c r="L58" s="172"/>
      <c r="M58" s="132">
        <f>A58</f>
        <v>37622</v>
      </c>
      <c r="N58" s="210">
        <v>85</v>
      </c>
      <c r="O58" s="210">
        <v>85</v>
      </c>
      <c r="P58" s="29">
        <f>AVERAGE(N58:O58)-F58</f>
        <v>85</v>
      </c>
      <c r="Q58" s="213"/>
      <c r="R58" s="215">
        <f>H58</f>
        <v>85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G'!DR58</f>
        <v>21</v>
      </c>
    </row>
    <row r="59" spans="1:122" ht="18.75" x14ac:dyDescent="0.3">
      <c r="A59" s="145">
        <f>'NYISO A'!A59</f>
        <v>37653</v>
      </c>
      <c r="B59" s="118">
        <f>+[4]NYZoneJ!$L50/16/DR59</f>
        <v>0</v>
      </c>
      <c r="C59" s="85">
        <f>CY59</f>
        <v>0</v>
      </c>
      <c r="D59" s="106">
        <f t="shared" si="20"/>
        <v>0</v>
      </c>
      <c r="E59" s="122">
        <f>B59+C59+D59</f>
        <v>0</v>
      </c>
      <c r="F59" s="139">
        <f>[4]NYZoneJ!$C50</f>
        <v>0</v>
      </c>
      <c r="G59" s="142">
        <f>IF($Q$9,Q59,P59)</f>
        <v>85</v>
      </c>
      <c r="H59" s="136">
        <f>F59+G59</f>
        <v>85</v>
      </c>
      <c r="I59" s="282">
        <f>B59*G59*DD59*DR59</f>
        <v>0</v>
      </c>
      <c r="J59" s="276">
        <f>(DH59+DI59)*$DR59</f>
        <v>0</v>
      </c>
      <c r="K59" s="296">
        <f>I59+J59</f>
        <v>0</v>
      </c>
      <c r="L59" s="172"/>
      <c r="M59" s="132">
        <f>A59</f>
        <v>37653</v>
      </c>
      <c r="N59" s="210">
        <v>85</v>
      </c>
      <c r="O59" s="210">
        <v>85</v>
      </c>
      <c r="P59" s="29">
        <f>AVERAGE(N59:O59)-F59</f>
        <v>85</v>
      </c>
      <c r="Q59" s="213"/>
      <c r="R59" s="215">
        <f>H59</f>
        <v>85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G'!DR59</f>
        <v>22</v>
      </c>
    </row>
    <row r="60" spans="1:122" ht="19.5" thickBot="1" x14ac:dyDescent="0.35">
      <c r="A60" s="146">
        <f>'NYISO A'!A60</f>
        <v>37681</v>
      </c>
      <c r="B60" s="119">
        <f>+[4]NYZoneJ!$L51/16/DR60</f>
        <v>0</v>
      </c>
      <c r="C60" s="121">
        <f>CY60</f>
        <v>0</v>
      </c>
      <c r="D60" s="41">
        <f t="shared" si="20"/>
        <v>0</v>
      </c>
      <c r="E60" s="123">
        <f>B60+C60+D60</f>
        <v>0</v>
      </c>
      <c r="F60" s="140">
        <f>[4]NYZoneJ!$C51</f>
        <v>0</v>
      </c>
      <c r="G60" s="143">
        <f>IF($Q$9,Q60,P60)</f>
        <v>85</v>
      </c>
      <c r="H60" s="137">
        <f>F60+G60</f>
        <v>85</v>
      </c>
      <c r="I60" s="283">
        <f>B60*G60*DD60*DR60</f>
        <v>0</v>
      </c>
      <c r="J60" s="277">
        <f>(DH60+DI60)*$DR60</f>
        <v>0</v>
      </c>
      <c r="K60" s="297">
        <f>I60+J60</f>
        <v>0</v>
      </c>
      <c r="L60" s="172"/>
      <c r="M60" s="133">
        <f>A60</f>
        <v>37681</v>
      </c>
      <c r="N60" s="212">
        <v>85</v>
      </c>
      <c r="O60" s="212">
        <v>85</v>
      </c>
      <c r="P60" s="134">
        <f>AVERAGE(N60:O60)-F60</f>
        <v>85</v>
      </c>
      <c r="Q60" s="217"/>
      <c r="R60" s="215">
        <f>H60</f>
        <v>85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B60" s="189"/>
      <c r="DC60" s="188"/>
      <c r="DD60" s="190"/>
      <c r="DE60" s="188"/>
      <c r="DF60" s="170"/>
      <c r="DG60" s="170"/>
      <c r="DH60" s="170"/>
      <c r="DI60" s="170"/>
      <c r="DK60" s="189"/>
      <c r="DR60" s="193">
        <f>+'NYISO G'!DR60</f>
        <v>20</v>
      </c>
    </row>
    <row r="61" spans="1:122" x14ac:dyDescent="0.25">
      <c r="A61" s="172"/>
      <c r="B61" s="172"/>
      <c r="E61" s="184"/>
      <c r="L61" s="172"/>
      <c r="N61" s="172"/>
      <c r="O61" s="172"/>
      <c r="DL61" s="167">
        <v>0</v>
      </c>
      <c r="DR61" s="193"/>
    </row>
    <row r="62" spans="1:122" ht="16.5" thickBot="1" x14ac:dyDescent="0.3">
      <c r="A62" s="172"/>
      <c r="B62" s="172"/>
      <c r="E62" s="184"/>
      <c r="L62" s="172"/>
      <c r="N62" s="172"/>
      <c r="O62" s="172"/>
      <c r="DA62" s="167">
        <f>SUM(DA12:DA61)</f>
        <v>0</v>
      </c>
      <c r="DR62" s="193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284"/>
      <c r="J63" s="48"/>
      <c r="K63" s="298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  <c r="DR63" s="193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285"/>
      <c r="J64" s="56"/>
      <c r="K64" s="299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286">
        <v>0</v>
      </c>
      <c r="J65" s="61">
        <v>0</v>
      </c>
      <c r="K65" s="300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287">
        <v>0</v>
      </c>
      <c r="J66" s="198">
        <v>0</v>
      </c>
      <c r="K66" s="301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5" thickBot="1" x14ac:dyDescent="0.3">
      <c r="A67" s="63" t="s">
        <v>43</v>
      </c>
      <c r="B67" s="197"/>
      <c r="C67" s="198"/>
      <c r="D67" s="198"/>
      <c r="E67" s="198"/>
      <c r="F67" s="199"/>
      <c r="G67" s="200"/>
      <c r="H67" s="201"/>
      <c r="I67" s="287"/>
      <c r="J67" s="201"/>
      <c r="K67" s="301"/>
      <c r="L67" s="197"/>
      <c r="M67" s="198"/>
      <c r="N67" s="204"/>
      <c r="O67" s="204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88"/>
      <c r="J68" s="207"/>
      <c r="K68" s="302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5" thickBot="1" x14ac:dyDescent="0.3">
      <c r="A69" s="64" t="s">
        <v>45</v>
      </c>
      <c r="B69" s="65">
        <f t="shared" ref="B69:K69" si="34">B66*B67</f>
        <v>0</v>
      </c>
      <c r="C69" s="66">
        <f t="shared" si="34"/>
        <v>0</v>
      </c>
      <c r="D69" s="66">
        <f t="shared" si="34"/>
        <v>0</v>
      </c>
      <c r="E69" s="66">
        <f t="shared" si="34"/>
        <v>0</v>
      </c>
      <c r="F69" s="67">
        <f t="shared" si="34"/>
        <v>0</v>
      </c>
      <c r="G69" s="65">
        <f t="shared" si="34"/>
        <v>0</v>
      </c>
      <c r="H69" s="66">
        <f t="shared" si="34"/>
        <v>0</v>
      </c>
      <c r="I69" s="289">
        <f t="shared" si="34"/>
        <v>0</v>
      </c>
      <c r="J69" s="66">
        <f t="shared" si="34"/>
        <v>0</v>
      </c>
      <c r="K69" s="303">
        <f t="shared" si="34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35">-V66*V67</f>
        <v>0</v>
      </c>
      <c r="W69" s="66">
        <f t="shared" si="35"/>
        <v>0</v>
      </c>
      <c r="X69" s="66">
        <f t="shared" si="35"/>
        <v>0</v>
      </c>
      <c r="Y69" s="66">
        <f t="shared" si="35"/>
        <v>0</v>
      </c>
      <c r="Z69" s="67">
        <f t="shared" si="35"/>
        <v>0</v>
      </c>
      <c r="AA69" s="65">
        <f t="shared" si="35"/>
        <v>0</v>
      </c>
      <c r="AB69" s="66">
        <f t="shared" si="35"/>
        <v>0</v>
      </c>
      <c r="AC69" s="66">
        <f t="shared" si="35"/>
        <v>0</v>
      </c>
      <c r="AD69" s="66">
        <f t="shared" si="35"/>
        <v>0</v>
      </c>
      <c r="AE69" s="67">
        <f t="shared" si="35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290"/>
      <c r="J70" s="74"/>
      <c r="K70" s="304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2.75" x14ac:dyDescent="0.2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291">
        <f>($H$12-I65)*I69*16</f>
        <v>0</v>
      </c>
      <c r="J71" s="172">
        <f>($H$12-J65)*J69*16</f>
        <v>0</v>
      </c>
      <c r="K71" s="305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36">V69*($H$12-V65)*16</f>
        <v>0</v>
      </c>
      <c r="W71" s="172">
        <f t="shared" si="36"/>
        <v>0</v>
      </c>
      <c r="X71" s="172">
        <f t="shared" si="36"/>
        <v>0</v>
      </c>
      <c r="Y71" s="172">
        <f t="shared" si="36"/>
        <v>0</v>
      </c>
      <c r="Z71" s="172">
        <f t="shared" si="36"/>
        <v>0</v>
      </c>
      <c r="AA71" s="172">
        <f t="shared" si="36"/>
        <v>0</v>
      </c>
      <c r="AB71" s="172">
        <f t="shared" si="36"/>
        <v>0</v>
      </c>
      <c r="AC71" s="172">
        <f t="shared" si="36"/>
        <v>0</v>
      </c>
      <c r="AD71" s="172">
        <f t="shared" si="36"/>
        <v>0</v>
      </c>
      <c r="AE71" s="172">
        <f t="shared" si="36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25">
      <c r="B74" s="180"/>
      <c r="C74" s="181"/>
      <c r="D74" s="181"/>
      <c r="E74" s="181"/>
      <c r="F74" s="182"/>
    </row>
    <row r="75" spans="1:42" x14ac:dyDescent="0.25">
      <c r="B75" s="176"/>
      <c r="C75" s="176"/>
      <c r="D75" s="176"/>
      <c r="E75" s="176"/>
      <c r="F75" s="176"/>
    </row>
    <row r="76" spans="1:42" x14ac:dyDescent="0.25">
      <c r="B76" s="176"/>
      <c r="C76" s="176"/>
      <c r="D76" s="176"/>
      <c r="E76" s="176"/>
      <c r="F76" s="176"/>
    </row>
    <row r="77" spans="1:42" ht="12" customHeight="1" x14ac:dyDescent="0.25">
      <c r="B77" s="176"/>
      <c r="C77" s="176"/>
      <c r="D77" s="176"/>
      <c r="E77" s="176"/>
      <c r="F77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76"/>
      <c r="C81" s="176"/>
      <c r="D81" s="176"/>
      <c r="E81" s="176"/>
      <c r="F81" s="176"/>
    </row>
    <row r="82" spans="2:6" x14ac:dyDescent="0.25">
      <c r="B82" s="180"/>
      <c r="C82" s="181"/>
      <c r="D82" s="181"/>
      <c r="E82" s="181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76"/>
      <c r="C87" s="176"/>
      <c r="D87" s="176"/>
      <c r="E87" s="176"/>
      <c r="F87" s="176"/>
    </row>
    <row r="88" spans="2:6" x14ac:dyDescent="0.25">
      <c r="B88" s="183"/>
      <c r="C88" s="181"/>
      <c r="D88" s="181"/>
      <c r="E88" s="181"/>
      <c r="F88" s="176"/>
    </row>
    <row r="89" spans="2:6" x14ac:dyDescent="0.25">
      <c r="B89" s="185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3" spans="2:6" x14ac:dyDescent="0.25">
      <c r="B93" s="176"/>
      <c r="C93" s="176"/>
      <c r="D93" s="176"/>
      <c r="E93" s="176"/>
      <c r="F93" s="176"/>
    </row>
    <row r="95" spans="2:6" ht="12" customHeight="1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T102"/>
  <sheetViews>
    <sheetView topLeftCell="F1" zoomScale="75" workbookViewId="0">
      <selection activeCell="N16" sqref="N16:O18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5" width="12.14062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2.42578125" style="167" customWidth="1"/>
    <col min="10" max="10" width="17.85546875" style="167" customWidth="1"/>
    <col min="11" max="11" width="18.5703125" style="167" customWidth="1"/>
    <col min="12" max="12" width="9.7109375" style="167" customWidth="1"/>
    <col min="13" max="13" width="13.85546875" style="167" bestFit="1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-2547.1713500977312</v>
      </c>
      <c r="J6" s="9">
        <f>SUM(J12:J56)</f>
        <v>0</v>
      </c>
      <c r="K6" s="9">
        <f>SUM(K12:K56)</f>
        <v>-2547.1713500977312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E8"/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[4]Nepool!$L3/16</f>
        <v>0</v>
      </c>
      <c r="C12" s="22">
        <f t="shared" ref="C12:C55" si="0">CY12</f>
        <v>0</v>
      </c>
      <c r="D12" s="21">
        <f>($AP$68+IF(MONTH(A12)=MONTH(EOMONTH(TradeDate,1)),$AP$69,0))*VLOOKUP(A12,$DK$12:$DN$43,4)</f>
        <v>0</v>
      </c>
      <c r="E12" s="23">
        <f>B12+C12+D12</f>
        <v>0</v>
      </c>
      <c r="F12" s="24">
        <f>[4]Nepool!$C3</f>
        <v>32</v>
      </c>
      <c r="G12" s="24">
        <f t="shared" ref="G12:G55" si="1">IF($Q$9,Q12,P12)</f>
        <v>13.75</v>
      </c>
      <c r="H12" s="25">
        <f t="shared" ref="H12:H55" si="2">F12+G12</f>
        <v>45.75</v>
      </c>
      <c r="I12" s="26">
        <f t="shared" ref="I12:I42" si="3">B12*G12*DD12</f>
        <v>0</v>
      </c>
      <c r="J12" s="27">
        <f t="shared" ref="J12:J43" si="4">DH12+DI12</f>
        <v>0</v>
      </c>
      <c r="K12" s="27">
        <f>+J12+I12</f>
        <v>0</v>
      </c>
      <c r="L12" s="172"/>
      <c r="M12" s="28">
        <f t="shared" ref="M12:M55" si="5">A12</f>
        <v>37135</v>
      </c>
      <c r="N12" s="210">
        <v>45.75</v>
      </c>
      <c r="O12" s="210">
        <v>45.75</v>
      </c>
      <c r="P12" s="29">
        <f>AVERAGE(N12:O12)-F12</f>
        <v>13.75</v>
      </c>
      <c r="Q12" s="213"/>
      <c r="R12" s="214">
        <f t="shared" ref="R12:R55" si="6">H12</f>
        <v>45.75</v>
      </c>
      <c r="S12" s="172"/>
      <c r="T12" s="172"/>
      <c r="U12" s="175"/>
      <c r="V12" s="30">
        <f t="shared" ref="V12:V55" si="7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178"/>
      <c r="AU12" s="92"/>
      <c r="AV12" s="93"/>
      <c r="AW12" s="177"/>
      <c r="AX12" s="178"/>
      <c r="AY12" s="31"/>
      <c r="AZ12" s="32"/>
      <c r="BA12" s="177"/>
      <c r="BB12" s="178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8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9">IF(AND(CY12=0,DC12=0),0,(DF12+DG12)/DC12)</f>
        <v>0</v>
      </c>
      <c r="DA12" s="188">
        <f t="shared" ref="DA12:DA44" si="10">DC12*DD12</f>
        <v>0</v>
      </c>
      <c r="DB12" s="189">
        <f t="shared" ref="DB12:DB56" si="11">V12</f>
        <v>37135</v>
      </c>
      <c r="DC12" s="188">
        <f t="shared" ref="DC12:DC56" si="12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3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4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5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7">IF(AND(WEEKDAY(DK12)&gt;1,WEEKDAY(DK12)&lt;7),1,0)</f>
        <v>1</v>
      </c>
    </row>
    <row r="13" spans="1:118" ht="18.75" x14ac:dyDescent="0.3">
      <c r="A13" s="80">
        <f>'NYISO A'!A13</f>
        <v>37136</v>
      </c>
      <c r="B13" s="114">
        <f>[4]Nepool!$L4/16</f>
        <v>0</v>
      </c>
      <c r="C13" s="22">
        <f t="shared" si="0"/>
        <v>0</v>
      </c>
      <c r="D13" s="36">
        <f t="shared" ref="D13:D60" si="18">(IF(MONTH(A13)=MONTH(EOMONTH(TradeDate,1)),$AP$69,0)*VLOOKUP(A13,$DK$12:$DN$43,4))</f>
        <v>0</v>
      </c>
      <c r="E13" s="23">
        <f t="shared" ref="E13:E55" si="19">B13+C13+D13</f>
        <v>0</v>
      </c>
      <c r="F13" s="24">
        <f>[4]Nepool!$C4</f>
        <v>32</v>
      </c>
      <c r="G13" s="38">
        <f t="shared" si="1"/>
        <v>13.75</v>
      </c>
      <c r="H13" s="25">
        <f t="shared" si="2"/>
        <v>45.75</v>
      </c>
      <c r="I13" s="36">
        <f t="shared" si="3"/>
        <v>0</v>
      </c>
      <c r="J13" s="27">
        <f t="shared" si="4"/>
        <v>0</v>
      </c>
      <c r="K13" s="40">
        <f t="shared" ref="K13:K43" si="20">+J13+I13</f>
        <v>0</v>
      </c>
      <c r="L13" s="172"/>
      <c r="M13" s="28">
        <f t="shared" si="5"/>
        <v>37136</v>
      </c>
      <c r="N13" s="210">
        <v>45.75</v>
      </c>
      <c r="O13" s="210">
        <v>45.75</v>
      </c>
      <c r="P13" s="29">
        <f t="shared" ref="P13:P55" si="21">AVERAGE(N13:O13)-F13</f>
        <v>13.75</v>
      </c>
      <c r="Q13" s="213"/>
      <c r="R13" s="215">
        <f t="shared" si="6"/>
        <v>45.75</v>
      </c>
      <c r="S13" s="172"/>
      <c r="T13" s="172"/>
      <c r="U13" s="175"/>
      <c r="V13" s="30">
        <f t="shared" si="7"/>
        <v>37136</v>
      </c>
      <c r="W13" s="177"/>
      <c r="X13" s="221"/>
      <c r="Y13" s="177"/>
      <c r="Z13" s="178"/>
      <c r="AA13" s="177"/>
      <c r="AB13" s="222"/>
      <c r="AC13" s="177"/>
      <c r="AD13" s="222"/>
      <c r="AE13" s="177"/>
      <c r="AF13" s="222"/>
      <c r="AG13" s="177"/>
      <c r="AH13" s="221"/>
      <c r="AI13" s="177"/>
      <c r="AJ13" s="222"/>
      <c r="AK13" s="177"/>
      <c r="AL13" s="221"/>
      <c r="AM13" s="223"/>
      <c r="AN13" s="221"/>
      <c r="AO13" s="223"/>
      <c r="AP13" s="219"/>
      <c r="AQ13" s="223"/>
      <c r="AR13" s="219"/>
      <c r="AS13" s="177"/>
      <c r="AT13" s="222"/>
      <c r="AU13" s="94"/>
      <c r="AV13" s="95"/>
      <c r="AW13" s="177"/>
      <c r="AX13" s="178"/>
      <c r="AY13" s="31"/>
      <c r="AZ13" s="32"/>
      <c r="BA13" s="177"/>
      <c r="BB13" s="178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si="9"/>
        <v>0</v>
      </c>
      <c r="DA13" s="188">
        <f t="shared" si="10"/>
        <v>0</v>
      </c>
      <c r="DB13" s="189">
        <f t="shared" si="11"/>
        <v>37136</v>
      </c>
      <c r="DC13" s="188">
        <f t="shared" si="12"/>
        <v>0</v>
      </c>
      <c r="DD13" s="190">
        <v>16</v>
      </c>
      <c r="DE13" s="188">
        <v>1</v>
      </c>
      <c r="DF13" s="170">
        <f t="shared" si="13"/>
        <v>0</v>
      </c>
      <c r="DG13" s="170">
        <f t="shared" si="14"/>
        <v>0</v>
      </c>
      <c r="DH13" s="170">
        <f t="shared" si="15"/>
        <v>0</v>
      </c>
      <c r="DI13" s="170">
        <f t="shared" si="16"/>
        <v>0</v>
      </c>
      <c r="DK13" s="189">
        <v>36840</v>
      </c>
      <c r="DL13" s="167">
        <v>-49.725383758544922</v>
      </c>
      <c r="DN13" s="167">
        <f t="shared" si="17"/>
        <v>1</v>
      </c>
    </row>
    <row r="14" spans="1:118" ht="18.75" x14ac:dyDescent="0.3">
      <c r="A14" s="80">
        <f>'NYISO A'!A14</f>
        <v>37137</v>
      </c>
      <c r="B14" s="114">
        <f>[4]Nepool!$L5/16</f>
        <v>0</v>
      </c>
      <c r="C14" s="22">
        <f t="shared" si="0"/>
        <v>0</v>
      </c>
      <c r="D14" s="21">
        <f t="shared" si="18"/>
        <v>0</v>
      </c>
      <c r="E14" s="23">
        <f t="shared" si="19"/>
        <v>0</v>
      </c>
      <c r="F14" s="24">
        <f>[4]Nepool!$C5</f>
        <v>32</v>
      </c>
      <c r="G14" s="24">
        <f t="shared" si="1"/>
        <v>13.75</v>
      </c>
      <c r="H14" s="25">
        <f t="shared" si="2"/>
        <v>45.75</v>
      </c>
      <c r="I14" s="26">
        <f t="shared" si="3"/>
        <v>0</v>
      </c>
      <c r="J14" s="27">
        <f t="shared" si="4"/>
        <v>0</v>
      </c>
      <c r="K14" s="27">
        <f t="shared" si="20"/>
        <v>0</v>
      </c>
      <c r="L14" s="172"/>
      <c r="M14" s="28">
        <f t="shared" si="5"/>
        <v>37137</v>
      </c>
      <c r="N14" s="210">
        <v>45.75</v>
      </c>
      <c r="O14" s="210">
        <v>45.75</v>
      </c>
      <c r="P14" s="29">
        <f t="shared" si="21"/>
        <v>13.75</v>
      </c>
      <c r="Q14" s="213"/>
      <c r="R14" s="215">
        <f t="shared" si="6"/>
        <v>45.75</v>
      </c>
      <c r="S14" s="172"/>
      <c r="T14" s="172"/>
      <c r="U14" s="175"/>
      <c r="V14" s="30">
        <f t="shared" si="7"/>
        <v>37137</v>
      </c>
      <c r="W14" s="177"/>
      <c r="X14" s="178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177"/>
      <c r="AN14" s="178"/>
      <c r="AO14" s="177"/>
      <c r="AP14" s="178"/>
      <c r="AQ14" s="177"/>
      <c r="AR14" s="178"/>
      <c r="AS14" s="177"/>
      <c r="AT14" s="178"/>
      <c r="AU14" s="94"/>
      <c r="AV14" s="95"/>
      <c r="AW14" s="177"/>
      <c r="AX14" s="178"/>
      <c r="AY14" s="31"/>
      <c r="AZ14" s="32"/>
      <c r="BA14" s="177"/>
      <c r="BB14" s="178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8"/>
        <v>0</v>
      </c>
      <c r="CZ14" s="34">
        <f t="shared" si="9"/>
        <v>0</v>
      </c>
      <c r="DA14" s="188">
        <f t="shared" si="10"/>
        <v>0</v>
      </c>
      <c r="DB14" s="189">
        <f t="shared" si="11"/>
        <v>37137</v>
      </c>
      <c r="DC14" s="188">
        <f t="shared" si="12"/>
        <v>0</v>
      </c>
      <c r="DD14" s="190">
        <v>16</v>
      </c>
      <c r="DE14" s="188">
        <v>1</v>
      </c>
      <c r="DF14" s="170">
        <f t="shared" si="13"/>
        <v>0</v>
      </c>
      <c r="DG14" s="170">
        <f t="shared" si="14"/>
        <v>0</v>
      </c>
      <c r="DH14" s="170">
        <f t="shared" si="15"/>
        <v>0</v>
      </c>
      <c r="DI14" s="170">
        <f t="shared" si="16"/>
        <v>0</v>
      </c>
      <c r="DK14" s="189">
        <v>36841</v>
      </c>
      <c r="DL14" s="167">
        <v>0</v>
      </c>
      <c r="DN14" s="167">
        <f t="shared" si="17"/>
        <v>0</v>
      </c>
    </row>
    <row r="15" spans="1:118" ht="18.75" x14ac:dyDescent="0.3">
      <c r="A15" s="80">
        <f>'NYISO A'!A15</f>
        <v>37138</v>
      </c>
      <c r="B15" s="114">
        <f>[4]Nepool!$L6/16</f>
        <v>149.24832153320312</v>
      </c>
      <c r="C15" s="35">
        <f t="shared" si="0"/>
        <v>0</v>
      </c>
      <c r="D15" s="36">
        <f t="shared" si="18"/>
        <v>0</v>
      </c>
      <c r="E15" s="23">
        <f t="shared" si="19"/>
        <v>149.24832153320312</v>
      </c>
      <c r="F15" s="24">
        <f>[4]Nepool!$C6</f>
        <v>44.5</v>
      </c>
      <c r="G15" s="38">
        <f t="shared" si="1"/>
        <v>0.5</v>
      </c>
      <c r="H15" s="39">
        <f t="shared" si="2"/>
        <v>45</v>
      </c>
      <c r="I15" s="36">
        <f t="shared" si="3"/>
        <v>1193.986572265625</v>
      </c>
      <c r="J15" s="27">
        <f t="shared" si="4"/>
        <v>0</v>
      </c>
      <c r="K15" s="40">
        <f t="shared" si="20"/>
        <v>1193.986572265625</v>
      </c>
      <c r="L15" s="172"/>
      <c r="M15" s="28">
        <f t="shared" si="5"/>
        <v>37138</v>
      </c>
      <c r="N15" s="210">
        <v>45</v>
      </c>
      <c r="O15" s="210">
        <v>45</v>
      </c>
      <c r="P15" s="29">
        <f t="shared" si="21"/>
        <v>0.5</v>
      </c>
      <c r="Q15" s="213"/>
      <c r="R15" s="215">
        <f t="shared" si="6"/>
        <v>45</v>
      </c>
      <c r="S15" s="172"/>
      <c r="T15" s="172"/>
      <c r="U15" s="175"/>
      <c r="V15" s="30">
        <f t="shared" si="7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177"/>
      <c r="AX15" s="178"/>
      <c r="AY15" s="31"/>
      <c r="AZ15" s="32"/>
      <c r="BA15" s="177"/>
      <c r="BB15" s="178"/>
      <c r="BC15" s="31"/>
      <c r="BD15" s="32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8"/>
        <v>0</v>
      </c>
      <c r="CZ15" s="34">
        <f t="shared" si="9"/>
        <v>0</v>
      </c>
      <c r="DA15" s="188">
        <f t="shared" si="10"/>
        <v>0</v>
      </c>
      <c r="DB15" s="189">
        <f t="shared" si="11"/>
        <v>37138</v>
      </c>
      <c r="DC15" s="188">
        <f t="shared" si="12"/>
        <v>0</v>
      </c>
      <c r="DD15" s="190">
        <v>16</v>
      </c>
      <c r="DE15" s="188">
        <v>1</v>
      </c>
      <c r="DF15" s="170">
        <f t="shared" si="13"/>
        <v>0</v>
      </c>
      <c r="DG15" s="170">
        <f t="shared" si="14"/>
        <v>0</v>
      </c>
      <c r="DH15" s="170">
        <f t="shared" si="15"/>
        <v>0</v>
      </c>
      <c r="DI15" s="170">
        <f t="shared" si="16"/>
        <v>0</v>
      </c>
      <c r="DK15" s="189">
        <v>36842</v>
      </c>
      <c r="DL15" s="167">
        <v>0</v>
      </c>
      <c r="DN15" s="167">
        <f t="shared" si="17"/>
        <v>0</v>
      </c>
    </row>
    <row r="16" spans="1:118" ht="18.75" x14ac:dyDescent="0.3">
      <c r="A16" s="80">
        <f>'NYISO A'!A16</f>
        <v>37139</v>
      </c>
      <c r="B16" s="114">
        <f>[4]Nepool!$L7/16</f>
        <v>149.24832153320312</v>
      </c>
      <c r="C16" s="22">
        <f t="shared" si="0"/>
        <v>0</v>
      </c>
      <c r="D16" s="21">
        <f t="shared" si="18"/>
        <v>0</v>
      </c>
      <c r="E16" s="23">
        <f t="shared" si="19"/>
        <v>149.24832153320312</v>
      </c>
      <c r="F16" s="24">
        <f>[4]Nepool!$C7</f>
        <v>44.5</v>
      </c>
      <c r="G16" s="24">
        <f t="shared" si="1"/>
        <v>-0.5</v>
      </c>
      <c r="H16" s="25">
        <f t="shared" si="2"/>
        <v>44</v>
      </c>
      <c r="I16" s="26">
        <f t="shared" si="3"/>
        <v>-1193.986572265625</v>
      </c>
      <c r="J16" s="27">
        <f t="shared" si="4"/>
        <v>0</v>
      </c>
      <c r="K16" s="27">
        <f t="shared" si="20"/>
        <v>-1193.986572265625</v>
      </c>
      <c r="L16" s="389">
        <f>+AVERAGE(N15:O16,N18:O19,N22:O26,N29:O33,N36:O40,N42:O42)</f>
        <v>40.186000000000014</v>
      </c>
      <c r="M16" s="28">
        <f t="shared" si="5"/>
        <v>37139</v>
      </c>
      <c r="N16" s="210">
        <v>44</v>
      </c>
      <c r="O16" s="210">
        <v>44</v>
      </c>
      <c r="P16" s="29">
        <f t="shared" si="21"/>
        <v>-0.5</v>
      </c>
      <c r="Q16" s="213"/>
      <c r="R16" s="215">
        <f t="shared" si="6"/>
        <v>44</v>
      </c>
      <c r="S16" s="172"/>
      <c r="T16" s="172"/>
      <c r="U16" s="175"/>
      <c r="V16" s="30">
        <f t="shared" si="7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219"/>
      <c r="AS16" s="177"/>
      <c r="AT16" s="178"/>
      <c r="AU16" s="94"/>
      <c r="AV16" s="95"/>
      <c r="AW16" s="177"/>
      <c r="AX16" s="178"/>
      <c r="AY16" s="31"/>
      <c r="AZ16" s="32"/>
      <c r="BA16" s="177"/>
      <c r="BB16" s="178"/>
      <c r="BC16" s="31"/>
      <c r="BD16" s="32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9"/>
        <v>0</v>
      </c>
      <c r="DA16" s="188">
        <f t="shared" si="10"/>
        <v>0</v>
      </c>
      <c r="DB16" s="189">
        <f t="shared" si="11"/>
        <v>37139</v>
      </c>
      <c r="DC16" s="188">
        <f t="shared" si="12"/>
        <v>0</v>
      </c>
      <c r="DD16" s="190">
        <v>16</v>
      </c>
      <c r="DE16" s="188">
        <v>1</v>
      </c>
      <c r="DF16" s="170">
        <f t="shared" si="13"/>
        <v>0</v>
      </c>
      <c r="DG16" s="170">
        <f t="shared" si="14"/>
        <v>0</v>
      </c>
      <c r="DH16" s="170">
        <f t="shared" si="15"/>
        <v>0</v>
      </c>
      <c r="DI16" s="170">
        <f t="shared" si="16"/>
        <v>0</v>
      </c>
      <c r="DK16" s="189">
        <v>36843</v>
      </c>
      <c r="DL16" s="167">
        <v>-49.725383758544922</v>
      </c>
      <c r="DN16" s="167">
        <f t="shared" si="17"/>
        <v>1</v>
      </c>
    </row>
    <row r="17" spans="1:118" ht="18.75" x14ac:dyDescent="0.3">
      <c r="A17" s="80">
        <f>'NYISO A'!A17</f>
        <v>37140</v>
      </c>
      <c r="B17" s="114">
        <f>[4]Nepool!$L8/16</f>
        <v>149.24832153320312</v>
      </c>
      <c r="C17" s="35">
        <f t="shared" si="0"/>
        <v>0</v>
      </c>
      <c r="D17" s="36">
        <f t="shared" si="18"/>
        <v>0</v>
      </c>
      <c r="E17" s="23">
        <f t="shared" si="19"/>
        <v>149.24832153320312</v>
      </c>
      <c r="F17" s="24">
        <f>[4]Nepool!$C8</f>
        <v>44.5</v>
      </c>
      <c r="G17" s="38">
        <f t="shared" si="1"/>
        <v>-0.5</v>
      </c>
      <c r="H17" s="39">
        <f t="shared" si="2"/>
        <v>44</v>
      </c>
      <c r="I17" s="36">
        <f t="shared" si="3"/>
        <v>-1193.986572265625</v>
      </c>
      <c r="J17" s="27">
        <f t="shared" si="4"/>
        <v>0</v>
      </c>
      <c r="K17" s="40">
        <f t="shared" si="20"/>
        <v>-1193.986572265625</v>
      </c>
      <c r="L17" s="389"/>
      <c r="M17" s="28">
        <f t="shared" si="5"/>
        <v>37140</v>
      </c>
      <c r="N17" s="210">
        <v>44</v>
      </c>
      <c r="O17" s="210">
        <v>44</v>
      </c>
      <c r="P17" s="29">
        <f t="shared" si="21"/>
        <v>-0.5</v>
      </c>
      <c r="Q17" s="213"/>
      <c r="R17" s="215">
        <f t="shared" si="6"/>
        <v>44</v>
      </c>
      <c r="S17" s="172"/>
      <c r="T17" s="172"/>
      <c r="U17" s="175"/>
      <c r="V17" s="30">
        <f t="shared" si="7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219"/>
      <c r="AS17" s="177"/>
      <c r="AT17" s="178"/>
      <c r="AU17" s="94"/>
      <c r="AV17" s="95"/>
      <c r="AW17" s="177"/>
      <c r="AX17" s="178"/>
      <c r="AY17" s="31"/>
      <c r="AZ17" s="32"/>
      <c r="BA17" s="177"/>
      <c r="BB17" s="178"/>
      <c r="BC17" s="31"/>
      <c r="BD17" s="32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9"/>
        <v>0</v>
      </c>
      <c r="DA17" s="188">
        <f t="shared" si="10"/>
        <v>0</v>
      </c>
      <c r="DB17" s="189">
        <f t="shared" si="11"/>
        <v>37140</v>
      </c>
      <c r="DC17" s="188">
        <f t="shared" si="12"/>
        <v>0</v>
      </c>
      <c r="DD17" s="190">
        <v>16</v>
      </c>
      <c r="DE17" s="188">
        <v>1</v>
      </c>
      <c r="DF17" s="170">
        <f t="shared" si="13"/>
        <v>0</v>
      </c>
      <c r="DG17" s="170">
        <f t="shared" si="14"/>
        <v>0</v>
      </c>
      <c r="DH17" s="170">
        <f t="shared" si="15"/>
        <v>0</v>
      </c>
      <c r="DI17" s="170">
        <f t="shared" si="16"/>
        <v>0</v>
      </c>
      <c r="DK17" s="189">
        <v>36844</v>
      </c>
      <c r="DL17" s="167">
        <v>-49.725383758544922</v>
      </c>
      <c r="DN17" s="167">
        <f t="shared" si="17"/>
        <v>1</v>
      </c>
    </row>
    <row r="18" spans="1:118" ht="18.75" x14ac:dyDescent="0.3">
      <c r="A18" s="80">
        <f>'NYISO A'!A18</f>
        <v>37141</v>
      </c>
      <c r="B18" s="114">
        <f>[4]Nepool!$L9/16</f>
        <v>149.24832153320312</v>
      </c>
      <c r="C18" s="22">
        <f t="shared" si="0"/>
        <v>0</v>
      </c>
      <c r="D18" s="21">
        <f t="shared" si="18"/>
        <v>0</v>
      </c>
      <c r="E18" s="23">
        <f t="shared" si="19"/>
        <v>149.24832153320312</v>
      </c>
      <c r="F18" s="24">
        <f>[4]Nepool!$C9</f>
        <v>44.5</v>
      </c>
      <c r="G18" s="24">
        <f t="shared" si="1"/>
        <v>-0.5</v>
      </c>
      <c r="H18" s="25">
        <f t="shared" si="2"/>
        <v>44</v>
      </c>
      <c r="I18" s="26">
        <f t="shared" si="3"/>
        <v>-1193.986572265625</v>
      </c>
      <c r="J18" s="27">
        <f t="shared" si="4"/>
        <v>0</v>
      </c>
      <c r="K18" s="27">
        <f t="shared" si="20"/>
        <v>-1193.986572265625</v>
      </c>
      <c r="M18" s="28">
        <f t="shared" si="5"/>
        <v>37141</v>
      </c>
      <c r="N18" s="210">
        <v>44</v>
      </c>
      <c r="O18" s="210">
        <v>44</v>
      </c>
      <c r="P18" s="29">
        <f t="shared" si="21"/>
        <v>-0.5</v>
      </c>
      <c r="Q18" s="213"/>
      <c r="R18" s="215">
        <f t="shared" si="6"/>
        <v>44</v>
      </c>
      <c r="S18" s="172"/>
      <c r="T18" s="172"/>
      <c r="U18" s="175"/>
      <c r="V18" s="30">
        <f t="shared" si="7"/>
        <v>37141</v>
      </c>
      <c r="W18" s="177"/>
      <c r="X18" s="178"/>
      <c r="Y18" s="177"/>
      <c r="Z18" s="178"/>
      <c r="AA18" s="177"/>
      <c r="AB18" s="222"/>
      <c r="AC18" s="177"/>
      <c r="AD18" s="222"/>
      <c r="AE18" s="177"/>
      <c r="AF18" s="222"/>
      <c r="AG18" s="177"/>
      <c r="AH18" s="222"/>
      <c r="AI18" s="177"/>
      <c r="AJ18" s="222"/>
      <c r="AK18" s="177"/>
      <c r="AL18" s="222"/>
      <c r="AM18" s="177"/>
      <c r="AN18" s="178"/>
      <c r="AO18" s="177"/>
      <c r="AP18" s="222"/>
      <c r="AQ18" s="177"/>
      <c r="AR18" s="219"/>
      <c r="AS18" s="177"/>
      <c r="AT18" s="178"/>
      <c r="AU18" s="94"/>
      <c r="AV18" s="95"/>
      <c r="AW18" s="177"/>
      <c r="AX18" s="178"/>
      <c r="AY18" s="31"/>
      <c r="AZ18" s="32"/>
      <c r="BA18" s="177"/>
      <c r="BB18" s="178"/>
      <c r="BC18" s="31"/>
      <c r="BD18" s="32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9"/>
        <v>0</v>
      </c>
      <c r="DA18" s="188">
        <f t="shared" si="10"/>
        <v>0</v>
      </c>
      <c r="DB18" s="189">
        <f t="shared" si="11"/>
        <v>37141</v>
      </c>
      <c r="DC18" s="188">
        <f t="shared" si="12"/>
        <v>0</v>
      </c>
      <c r="DD18" s="190">
        <v>16</v>
      </c>
      <c r="DE18" s="188">
        <v>1</v>
      </c>
      <c r="DF18" s="170">
        <f t="shared" si="13"/>
        <v>0</v>
      </c>
      <c r="DG18" s="170">
        <f t="shared" si="14"/>
        <v>0</v>
      </c>
      <c r="DH18" s="170">
        <f t="shared" si="15"/>
        <v>0</v>
      </c>
      <c r="DI18" s="170">
        <f t="shared" si="16"/>
        <v>0</v>
      </c>
      <c r="DK18" s="189">
        <v>36845</v>
      </c>
      <c r="DL18" s="167">
        <v>-49.725383758544922</v>
      </c>
      <c r="DN18" s="167">
        <f t="shared" si="17"/>
        <v>1</v>
      </c>
    </row>
    <row r="19" spans="1:118" ht="18.75" x14ac:dyDescent="0.3">
      <c r="A19" s="80">
        <f>'NYISO A'!A19</f>
        <v>37142</v>
      </c>
      <c r="B19" s="114">
        <f>[4]Nepool!$L10/16</f>
        <v>0</v>
      </c>
      <c r="C19" s="35">
        <f t="shared" si="0"/>
        <v>0</v>
      </c>
      <c r="D19" s="36">
        <f t="shared" si="18"/>
        <v>0</v>
      </c>
      <c r="E19" s="23">
        <f t="shared" si="19"/>
        <v>0</v>
      </c>
      <c r="F19" s="24">
        <f>[4]Nepool!$C10</f>
        <v>30</v>
      </c>
      <c r="G19" s="38">
        <f t="shared" si="1"/>
        <v>14</v>
      </c>
      <c r="H19" s="39">
        <f t="shared" si="2"/>
        <v>44</v>
      </c>
      <c r="I19" s="36">
        <f t="shared" si="3"/>
        <v>0</v>
      </c>
      <c r="J19" s="27">
        <f t="shared" si="4"/>
        <v>0</v>
      </c>
      <c r="K19" s="40">
        <f t="shared" si="20"/>
        <v>0</v>
      </c>
      <c r="L19" s="389"/>
      <c r="M19" s="28">
        <f t="shared" si="5"/>
        <v>37142</v>
      </c>
      <c r="N19" s="210">
        <v>44</v>
      </c>
      <c r="O19" s="210">
        <v>44</v>
      </c>
      <c r="P19" s="29">
        <f t="shared" si="21"/>
        <v>14</v>
      </c>
      <c r="Q19" s="213"/>
      <c r="R19" s="215">
        <f t="shared" si="6"/>
        <v>44</v>
      </c>
      <c r="S19" s="172"/>
      <c r="T19" s="172"/>
      <c r="U19" s="175"/>
      <c r="V19" s="30">
        <f t="shared" si="7"/>
        <v>37142</v>
      </c>
      <c r="W19" s="177"/>
      <c r="X19" s="178"/>
      <c r="Y19" s="177"/>
      <c r="Z19" s="178"/>
      <c r="AA19" s="177"/>
      <c r="AB19" s="222"/>
      <c r="AC19" s="177"/>
      <c r="AD19" s="222"/>
      <c r="AE19" s="177"/>
      <c r="AF19" s="222"/>
      <c r="AG19" s="177"/>
      <c r="AH19" s="222"/>
      <c r="AI19" s="177"/>
      <c r="AJ19" s="222"/>
      <c r="AK19" s="177"/>
      <c r="AL19" s="222"/>
      <c r="AM19" s="177"/>
      <c r="AN19" s="178"/>
      <c r="AO19" s="177"/>
      <c r="AP19" s="222"/>
      <c r="AQ19" s="177"/>
      <c r="AR19" s="219"/>
      <c r="AS19" s="177"/>
      <c r="AT19" s="222"/>
      <c r="AU19" s="94"/>
      <c r="AV19" s="95"/>
      <c r="AW19" s="177"/>
      <c r="AX19" s="222"/>
      <c r="AY19" s="31"/>
      <c r="AZ19" s="32"/>
      <c r="BA19" s="177"/>
      <c r="BB19" s="222"/>
      <c r="BC19" s="31"/>
      <c r="BD19" s="32"/>
      <c r="BE19" s="177"/>
      <c r="BF19" s="22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9"/>
        <v>0</v>
      </c>
      <c r="DA19" s="188">
        <f t="shared" si="10"/>
        <v>0</v>
      </c>
      <c r="DB19" s="189">
        <f t="shared" si="11"/>
        <v>37142</v>
      </c>
      <c r="DC19" s="188">
        <f t="shared" si="12"/>
        <v>0</v>
      </c>
      <c r="DD19" s="190">
        <v>16</v>
      </c>
      <c r="DE19" s="188">
        <v>1</v>
      </c>
      <c r="DF19" s="170">
        <f t="shared" si="13"/>
        <v>0</v>
      </c>
      <c r="DG19" s="170">
        <f t="shared" si="14"/>
        <v>0</v>
      </c>
      <c r="DH19" s="170">
        <f t="shared" si="15"/>
        <v>0</v>
      </c>
      <c r="DI19" s="170">
        <f t="shared" si="16"/>
        <v>0</v>
      </c>
      <c r="DK19" s="189">
        <v>36846</v>
      </c>
      <c r="DL19" s="167">
        <v>-49.725383758544922</v>
      </c>
      <c r="DN19" s="167">
        <f t="shared" si="17"/>
        <v>1</v>
      </c>
    </row>
    <row r="20" spans="1:118" ht="18.75" x14ac:dyDescent="0.3">
      <c r="A20" s="80">
        <f>'NYISO A'!A20</f>
        <v>37143</v>
      </c>
      <c r="B20" s="114">
        <f>[4]Nepool!$L11/16</f>
        <v>0</v>
      </c>
      <c r="C20" s="22">
        <f t="shared" si="0"/>
        <v>0</v>
      </c>
      <c r="D20" s="21">
        <f t="shared" si="18"/>
        <v>0</v>
      </c>
      <c r="E20" s="23">
        <f t="shared" si="19"/>
        <v>0</v>
      </c>
      <c r="F20" s="24">
        <f>[4]Nepool!$C11</f>
        <v>30</v>
      </c>
      <c r="G20" s="24">
        <f t="shared" si="1"/>
        <v>8.5</v>
      </c>
      <c r="H20" s="25">
        <f t="shared" si="2"/>
        <v>38.5</v>
      </c>
      <c r="I20" s="26">
        <f t="shared" si="3"/>
        <v>0</v>
      </c>
      <c r="J20" s="27">
        <f t="shared" si="4"/>
        <v>0</v>
      </c>
      <c r="K20" s="27">
        <f t="shared" si="20"/>
        <v>0</v>
      </c>
      <c r="L20" s="389"/>
      <c r="M20" s="28">
        <f t="shared" si="5"/>
        <v>37143</v>
      </c>
      <c r="N20" s="210">
        <v>38.5</v>
      </c>
      <c r="O20" s="210">
        <v>38.5</v>
      </c>
      <c r="P20" s="29">
        <f t="shared" si="21"/>
        <v>8.5</v>
      </c>
      <c r="Q20" s="213"/>
      <c r="R20" s="215">
        <f t="shared" si="6"/>
        <v>38.5</v>
      </c>
      <c r="S20" s="172"/>
      <c r="T20" s="172"/>
      <c r="U20" s="175"/>
      <c r="V20" s="30">
        <f t="shared" si="7"/>
        <v>37143</v>
      </c>
      <c r="W20" s="177"/>
      <c r="X20" s="178"/>
      <c r="Y20" s="177"/>
      <c r="Z20" s="222"/>
      <c r="AA20" s="177"/>
      <c r="AB20" s="222"/>
      <c r="AC20" s="177"/>
      <c r="AD20" s="222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222"/>
      <c r="AQ20" s="177"/>
      <c r="AR20" s="219"/>
      <c r="AS20" s="177"/>
      <c r="AT20" s="178"/>
      <c r="AU20" s="94"/>
      <c r="AV20" s="95"/>
      <c r="AW20" s="177"/>
      <c r="AX20" s="222"/>
      <c r="AY20" s="31"/>
      <c r="AZ20" s="32"/>
      <c r="BA20" s="177"/>
      <c r="BB20" s="222"/>
      <c r="BC20" s="31"/>
      <c r="BD20" s="32"/>
      <c r="BE20" s="177"/>
      <c r="BF20" s="22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9"/>
        <v>0</v>
      </c>
      <c r="DA20" s="188">
        <f t="shared" si="10"/>
        <v>0</v>
      </c>
      <c r="DB20" s="189">
        <f t="shared" si="11"/>
        <v>37143</v>
      </c>
      <c r="DC20" s="188">
        <f t="shared" si="12"/>
        <v>0</v>
      </c>
      <c r="DD20" s="190">
        <v>16</v>
      </c>
      <c r="DE20" s="188">
        <v>1</v>
      </c>
      <c r="DF20" s="170">
        <f t="shared" si="13"/>
        <v>0</v>
      </c>
      <c r="DG20" s="170">
        <f t="shared" si="14"/>
        <v>0</v>
      </c>
      <c r="DH20" s="170">
        <f t="shared" si="15"/>
        <v>0</v>
      </c>
      <c r="DI20" s="170">
        <f t="shared" si="16"/>
        <v>0</v>
      </c>
      <c r="DK20" s="189">
        <v>36847</v>
      </c>
      <c r="DL20" s="167">
        <v>-49.725383758544922</v>
      </c>
      <c r="DN20" s="167">
        <f t="shared" si="17"/>
        <v>1</v>
      </c>
    </row>
    <row r="21" spans="1:118" ht="18.75" x14ac:dyDescent="0.3">
      <c r="A21" s="80">
        <f>'NYISO A'!A21</f>
        <v>37144</v>
      </c>
      <c r="B21" s="114">
        <f>[4]Nepool!$L12/16</f>
        <v>-198.99775695800781</v>
      </c>
      <c r="C21" s="35">
        <f t="shared" si="0"/>
        <v>0</v>
      </c>
      <c r="D21" s="36">
        <f t="shared" si="18"/>
        <v>0</v>
      </c>
      <c r="E21" s="23">
        <f t="shared" si="19"/>
        <v>-198.99775695800781</v>
      </c>
      <c r="F21" s="24">
        <f>[4]Nepool!$C12</f>
        <v>40.5</v>
      </c>
      <c r="G21" s="38">
        <f t="shared" si="1"/>
        <v>-1.3299999999999983</v>
      </c>
      <c r="H21" s="39">
        <f t="shared" si="2"/>
        <v>39.17</v>
      </c>
      <c r="I21" s="36">
        <f t="shared" si="3"/>
        <v>4234.6722680664006</v>
      </c>
      <c r="J21" s="27">
        <f t="shared" si="4"/>
        <v>0</v>
      </c>
      <c r="K21" s="40">
        <f t="shared" si="20"/>
        <v>4234.6722680664006</v>
      </c>
      <c r="L21" s="389"/>
      <c r="M21" s="28">
        <f t="shared" si="5"/>
        <v>37144</v>
      </c>
      <c r="N21" s="210">
        <v>39.17</v>
      </c>
      <c r="O21" s="210">
        <v>39.17</v>
      </c>
      <c r="P21" s="29">
        <f t="shared" si="21"/>
        <v>-1.3299999999999983</v>
      </c>
      <c r="Q21" s="213"/>
      <c r="R21" s="215">
        <f t="shared" si="6"/>
        <v>39.17</v>
      </c>
      <c r="S21" s="172"/>
      <c r="T21" s="172"/>
      <c r="U21" s="175"/>
      <c r="V21" s="30">
        <f t="shared" si="7"/>
        <v>37144</v>
      </c>
      <c r="W21" s="177"/>
      <c r="X21" s="178"/>
      <c r="Y21" s="177"/>
      <c r="Z21" s="222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219"/>
      <c r="AS21" s="177"/>
      <c r="AT21" s="178"/>
      <c r="AU21" s="94"/>
      <c r="AV21" s="95"/>
      <c r="AW21" s="177"/>
      <c r="AX21" s="222"/>
      <c r="AY21" s="31"/>
      <c r="AZ21" s="32"/>
      <c r="BA21" s="177"/>
      <c r="BB21" s="222"/>
      <c r="BC21" s="31"/>
      <c r="BD21" s="32"/>
      <c r="BE21" s="177"/>
      <c r="BF21" s="22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9"/>
        <v>0</v>
      </c>
      <c r="DA21" s="188">
        <f t="shared" si="10"/>
        <v>0</v>
      </c>
      <c r="DB21" s="189">
        <f t="shared" si="11"/>
        <v>37144</v>
      </c>
      <c r="DC21" s="188">
        <f t="shared" si="12"/>
        <v>0</v>
      </c>
      <c r="DD21" s="190">
        <v>16</v>
      </c>
      <c r="DE21" s="188">
        <v>1</v>
      </c>
      <c r="DF21" s="170">
        <f t="shared" si="13"/>
        <v>0</v>
      </c>
      <c r="DG21" s="170">
        <f t="shared" si="14"/>
        <v>0</v>
      </c>
      <c r="DH21" s="170">
        <f t="shared" si="15"/>
        <v>0</v>
      </c>
      <c r="DI21" s="170">
        <f t="shared" si="16"/>
        <v>0</v>
      </c>
      <c r="DK21" s="189">
        <v>36848</v>
      </c>
      <c r="DL21" s="167">
        <v>0</v>
      </c>
      <c r="DN21" s="167">
        <f t="shared" si="17"/>
        <v>0</v>
      </c>
    </row>
    <row r="22" spans="1:118" ht="18.75" x14ac:dyDescent="0.3">
      <c r="A22" s="80">
        <f>'NYISO A'!A22</f>
        <v>37145</v>
      </c>
      <c r="B22" s="114">
        <f>[4]Nepool!$L13/16</f>
        <v>-198.99775695800781</v>
      </c>
      <c r="C22" s="22">
        <f t="shared" si="0"/>
        <v>0</v>
      </c>
      <c r="D22" s="21">
        <f t="shared" si="18"/>
        <v>0</v>
      </c>
      <c r="E22" s="23">
        <f t="shared" si="19"/>
        <v>-198.99775695800781</v>
      </c>
      <c r="F22" s="24">
        <f>[4]Nepool!$C13</f>
        <v>40.5</v>
      </c>
      <c r="G22" s="24">
        <f t="shared" si="1"/>
        <v>-1.3299999999999983</v>
      </c>
      <c r="H22" s="25">
        <f t="shared" si="2"/>
        <v>39.17</v>
      </c>
      <c r="I22" s="26">
        <f t="shared" si="3"/>
        <v>4234.6722680664006</v>
      </c>
      <c r="J22" s="27">
        <f t="shared" si="4"/>
        <v>0</v>
      </c>
      <c r="K22" s="27">
        <f t="shared" si="20"/>
        <v>4234.6722680664006</v>
      </c>
      <c r="L22" s="172"/>
      <c r="M22" s="28">
        <f t="shared" si="5"/>
        <v>37145</v>
      </c>
      <c r="N22" s="210">
        <v>39.17</v>
      </c>
      <c r="O22" s="210">
        <v>39.17</v>
      </c>
      <c r="P22" s="29">
        <f t="shared" si="21"/>
        <v>-1.3299999999999983</v>
      </c>
      <c r="Q22" s="213"/>
      <c r="R22" s="215">
        <f t="shared" si="6"/>
        <v>39.17</v>
      </c>
      <c r="S22" s="172"/>
      <c r="T22" s="172"/>
      <c r="U22" s="175"/>
      <c r="V22" s="30">
        <f t="shared" si="7"/>
        <v>37145</v>
      </c>
      <c r="W22" s="177"/>
      <c r="X22" s="178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177"/>
      <c r="AX22" s="178"/>
      <c r="AY22" s="31"/>
      <c r="AZ22" s="32"/>
      <c r="BA22" s="177"/>
      <c r="BB22" s="178"/>
      <c r="BC22" s="31"/>
      <c r="BD22" s="32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8"/>
        <v>0</v>
      </c>
      <c r="CZ22" s="34">
        <f t="shared" si="9"/>
        <v>0</v>
      </c>
      <c r="DA22" s="188">
        <f t="shared" si="10"/>
        <v>0</v>
      </c>
      <c r="DB22" s="189">
        <f t="shared" si="11"/>
        <v>37145</v>
      </c>
      <c r="DC22" s="188">
        <f t="shared" si="12"/>
        <v>0</v>
      </c>
      <c r="DD22" s="190">
        <v>16</v>
      </c>
      <c r="DE22" s="188">
        <v>1</v>
      </c>
      <c r="DF22" s="170">
        <f t="shared" si="13"/>
        <v>0</v>
      </c>
      <c r="DG22" s="170">
        <f t="shared" si="14"/>
        <v>0</v>
      </c>
      <c r="DH22" s="170">
        <f t="shared" si="15"/>
        <v>0</v>
      </c>
      <c r="DI22" s="170">
        <f t="shared" si="16"/>
        <v>0</v>
      </c>
      <c r="DK22" s="189">
        <v>36849</v>
      </c>
      <c r="DL22" s="167">
        <v>0</v>
      </c>
      <c r="DN22" s="167">
        <f t="shared" si="17"/>
        <v>0</v>
      </c>
    </row>
    <row r="23" spans="1:118" ht="18.75" x14ac:dyDescent="0.3">
      <c r="A23" s="80">
        <f>'NYISO A'!A23</f>
        <v>37146</v>
      </c>
      <c r="B23" s="114">
        <f>[4]Nepool!$L14/16</f>
        <v>-198.99775695800781</v>
      </c>
      <c r="C23" s="35">
        <f t="shared" si="0"/>
        <v>0</v>
      </c>
      <c r="D23" s="36">
        <f t="shared" si="18"/>
        <v>0</v>
      </c>
      <c r="E23" s="23">
        <f t="shared" si="19"/>
        <v>-198.99775695800781</v>
      </c>
      <c r="F23" s="24">
        <f>[4]Nepool!$C14</f>
        <v>40.5</v>
      </c>
      <c r="G23" s="38">
        <f t="shared" si="1"/>
        <v>-1.3299999999999983</v>
      </c>
      <c r="H23" s="39">
        <f t="shared" si="2"/>
        <v>39.17</v>
      </c>
      <c r="I23" s="36">
        <f t="shared" si="3"/>
        <v>4234.6722680664006</v>
      </c>
      <c r="J23" s="27">
        <f t="shared" si="4"/>
        <v>0</v>
      </c>
      <c r="K23" s="40">
        <f t="shared" si="20"/>
        <v>4234.6722680664006</v>
      </c>
      <c r="L23" s="172"/>
      <c r="M23" s="28">
        <f t="shared" si="5"/>
        <v>37146</v>
      </c>
      <c r="N23" s="210">
        <v>39.17</v>
      </c>
      <c r="O23" s="210">
        <v>39.17</v>
      </c>
      <c r="P23" s="29">
        <f t="shared" si="21"/>
        <v>-1.3299999999999983</v>
      </c>
      <c r="Q23" s="213"/>
      <c r="R23" s="215">
        <f t="shared" si="6"/>
        <v>39.17</v>
      </c>
      <c r="S23" s="172"/>
      <c r="T23" s="172"/>
      <c r="U23" s="175"/>
      <c r="V23" s="30">
        <f t="shared" si="7"/>
        <v>37146</v>
      </c>
      <c r="W23" s="177"/>
      <c r="X23" s="178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177"/>
      <c r="AX23" s="178"/>
      <c r="AY23" s="31"/>
      <c r="AZ23" s="32"/>
      <c r="BA23" s="177"/>
      <c r="BB23" s="178"/>
      <c r="BC23" s="31"/>
      <c r="BD23" s="32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8"/>
        <v>0</v>
      </c>
      <c r="CZ23" s="34">
        <f t="shared" si="9"/>
        <v>0</v>
      </c>
      <c r="DA23" s="188">
        <f t="shared" si="10"/>
        <v>0</v>
      </c>
      <c r="DB23" s="189">
        <f t="shared" si="11"/>
        <v>37146</v>
      </c>
      <c r="DC23" s="188">
        <f t="shared" si="12"/>
        <v>0</v>
      </c>
      <c r="DD23" s="190">
        <v>16</v>
      </c>
      <c r="DE23" s="188">
        <v>1</v>
      </c>
      <c r="DF23" s="170">
        <f t="shared" si="13"/>
        <v>0</v>
      </c>
      <c r="DG23" s="170">
        <f t="shared" si="14"/>
        <v>0</v>
      </c>
      <c r="DH23" s="170">
        <f t="shared" si="15"/>
        <v>0</v>
      </c>
      <c r="DI23" s="170">
        <f t="shared" si="16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7"/>
        <v>1</v>
      </c>
    </row>
    <row r="24" spans="1:118" ht="18.75" x14ac:dyDescent="0.3">
      <c r="A24" s="80">
        <f>'NYISO A'!A24</f>
        <v>37147</v>
      </c>
      <c r="B24" s="114">
        <f>[4]Nepool!$L15/16</f>
        <v>-198.99775695800781</v>
      </c>
      <c r="C24" s="22">
        <f t="shared" si="0"/>
        <v>0</v>
      </c>
      <c r="D24" s="21">
        <f t="shared" si="18"/>
        <v>0</v>
      </c>
      <c r="E24" s="23">
        <f t="shared" si="19"/>
        <v>-198.99775695800781</v>
      </c>
      <c r="F24" s="24">
        <f>[4]Nepool!$C15</f>
        <v>40.5</v>
      </c>
      <c r="G24" s="24">
        <f t="shared" si="1"/>
        <v>-1.3299999999999983</v>
      </c>
      <c r="H24" s="25">
        <f t="shared" si="2"/>
        <v>39.17</v>
      </c>
      <c r="I24" s="26">
        <f t="shared" si="3"/>
        <v>4234.6722680664006</v>
      </c>
      <c r="J24" s="27">
        <f t="shared" si="4"/>
        <v>0</v>
      </c>
      <c r="K24" s="27">
        <f t="shared" si="20"/>
        <v>4234.6722680664006</v>
      </c>
      <c r="L24" s="392"/>
      <c r="M24" s="28">
        <f t="shared" si="5"/>
        <v>37147</v>
      </c>
      <c r="N24" s="210">
        <v>39.17</v>
      </c>
      <c r="O24" s="210">
        <v>39.17</v>
      </c>
      <c r="P24" s="29">
        <f t="shared" si="21"/>
        <v>-1.3299999999999983</v>
      </c>
      <c r="Q24" s="213"/>
      <c r="R24" s="215">
        <f t="shared" si="6"/>
        <v>39.17</v>
      </c>
      <c r="S24" s="172"/>
      <c r="T24" s="172"/>
      <c r="U24" s="175"/>
      <c r="V24" s="30">
        <f t="shared" si="7"/>
        <v>37147</v>
      </c>
      <c r="W24" s="177"/>
      <c r="X24" s="178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219"/>
      <c r="AS24" s="177"/>
      <c r="AT24" s="178"/>
      <c r="AU24" s="94"/>
      <c r="AV24" s="95"/>
      <c r="AW24" s="177"/>
      <c r="AX24" s="178"/>
      <c r="AY24" s="31"/>
      <c r="AZ24" s="32"/>
      <c r="BA24" s="177"/>
      <c r="BB24" s="178"/>
      <c r="BC24" s="31"/>
      <c r="BD24" s="32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8"/>
        <v>0</v>
      </c>
      <c r="CZ24" s="34">
        <f t="shared" si="9"/>
        <v>0</v>
      </c>
      <c r="DA24" s="188">
        <f t="shared" si="10"/>
        <v>0</v>
      </c>
      <c r="DB24" s="189">
        <f t="shared" si="11"/>
        <v>37147</v>
      </c>
      <c r="DC24" s="188">
        <f t="shared" si="12"/>
        <v>0</v>
      </c>
      <c r="DD24" s="190">
        <v>16</v>
      </c>
      <c r="DE24" s="188">
        <v>1</v>
      </c>
      <c r="DF24" s="170">
        <f t="shared" si="13"/>
        <v>0</v>
      </c>
      <c r="DG24" s="170">
        <f t="shared" si="14"/>
        <v>0</v>
      </c>
      <c r="DH24" s="170">
        <f t="shared" si="15"/>
        <v>0</v>
      </c>
      <c r="DI24" s="170">
        <f t="shared" si="16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7"/>
        <v>1</v>
      </c>
    </row>
    <row r="25" spans="1:118" ht="18.75" x14ac:dyDescent="0.3">
      <c r="A25" s="80">
        <f>'NYISO A'!A25</f>
        <v>37148</v>
      </c>
      <c r="B25" s="114">
        <f>[4]Nepool!$L16/16</f>
        <v>-198.99775695800781</v>
      </c>
      <c r="C25" s="35">
        <f t="shared" si="0"/>
        <v>0</v>
      </c>
      <c r="D25" s="36">
        <f t="shared" si="18"/>
        <v>0</v>
      </c>
      <c r="E25" s="23">
        <f t="shared" si="19"/>
        <v>-198.99775695800781</v>
      </c>
      <c r="F25" s="24">
        <f>[4]Nepool!$C16</f>
        <v>40.5</v>
      </c>
      <c r="G25" s="38">
        <f t="shared" si="1"/>
        <v>-1.3299999999999983</v>
      </c>
      <c r="H25" s="39">
        <f t="shared" si="2"/>
        <v>39.17</v>
      </c>
      <c r="I25" s="36">
        <f t="shared" si="3"/>
        <v>4234.6722680664006</v>
      </c>
      <c r="J25" s="27">
        <f t="shared" si="4"/>
        <v>0</v>
      </c>
      <c r="K25" s="40">
        <f t="shared" si="20"/>
        <v>4234.6722680664006</v>
      </c>
      <c r="L25" s="172"/>
      <c r="M25" s="28">
        <f t="shared" si="5"/>
        <v>37148</v>
      </c>
      <c r="N25" s="210">
        <v>39.17</v>
      </c>
      <c r="O25" s="210">
        <v>39.17</v>
      </c>
      <c r="P25" s="29">
        <f t="shared" si="21"/>
        <v>-1.3299999999999983</v>
      </c>
      <c r="Q25" s="213"/>
      <c r="R25" s="215">
        <f t="shared" si="6"/>
        <v>39.17</v>
      </c>
      <c r="S25" s="172"/>
      <c r="T25" s="172"/>
      <c r="U25" s="175"/>
      <c r="V25" s="30">
        <f t="shared" si="7"/>
        <v>37148</v>
      </c>
      <c r="W25" s="177"/>
      <c r="X25" s="178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219"/>
      <c r="AS25" s="177"/>
      <c r="AT25" s="178"/>
      <c r="AU25" s="94"/>
      <c r="AV25" s="95"/>
      <c r="AW25" s="177"/>
      <c r="AX25" s="178"/>
      <c r="AY25" s="31"/>
      <c r="AZ25" s="32"/>
      <c r="BA25" s="177"/>
      <c r="BB25" s="178"/>
      <c r="BC25" s="31"/>
      <c r="BD25" s="32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8"/>
        <v>0</v>
      </c>
      <c r="CZ25" s="34">
        <f t="shared" si="9"/>
        <v>0</v>
      </c>
      <c r="DA25" s="188">
        <f t="shared" si="10"/>
        <v>0</v>
      </c>
      <c r="DB25" s="189">
        <f t="shared" si="11"/>
        <v>37148</v>
      </c>
      <c r="DC25" s="188">
        <f t="shared" si="12"/>
        <v>0</v>
      </c>
      <c r="DD25" s="190">
        <v>16</v>
      </c>
      <c r="DE25" s="188">
        <v>1</v>
      </c>
      <c r="DF25" s="170">
        <f t="shared" si="13"/>
        <v>0</v>
      </c>
      <c r="DG25" s="170">
        <f t="shared" si="14"/>
        <v>0</v>
      </c>
      <c r="DH25" s="170">
        <f t="shared" si="15"/>
        <v>0</v>
      </c>
      <c r="DI25" s="170">
        <f t="shared" si="16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7"/>
        <v>1</v>
      </c>
    </row>
    <row r="26" spans="1:118" ht="18.75" x14ac:dyDescent="0.3">
      <c r="A26" s="80">
        <f>'NYISO A'!A26</f>
        <v>37149</v>
      </c>
      <c r="B26" s="114">
        <f>[4]Nepool!$L17/16</f>
        <v>0</v>
      </c>
      <c r="C26" s="22">
        <f t="shared" si="0"/>
        <v>0</v>
      </c>
      <c r="D26" s="21">
        <f t="shared" si="18"/>
        <v>0</v>
      </c>
      <c r="E26" s="23">
        <f t="shared" si="19"/>
        <v>0</v>
      </c>
      <c r="F26" s="24">
        <f>[4]Nepool!$C17</f>
        <v>35</v>
      </c>
      <c r="G26" s="24">
        <f t="shared" si="1"/>
        <v>4.1700000000000017</v>
      </c>
      <c r="H26" s="25">
        <f t="shared" si="2"/>
        <v>39.17</v>
      </c>
      <c r="I26" s="26">
        <f t="shared" si="3"/>
        <v>0</v>
      </c>
      <c r="J26" s="27">
        <f t="shared" si="4"/>
        <v>0</v>
      </c>
      <c r="K26" s="27">
        <f t="shared" si="20"/>
        <v>0</v>
      </c>
      <c r="L26" s="172"/>
      <c r="M26" s="28">
        <f t="shared" si="5"/>
        <v>37149</v>
      </c>
      <c r="N26" s="210">
        <v>39.17</v>
      </c>
      <c r="O26" s="210">
        <v>39.17</v>
      </c>
      <c r="P26" s="29">
        <f t="shared" si="21"/>
        <v>4.1700000000000017</v>
      </c>
      <c r="Q26" s="213"/>
      <c r="R26" s="215">
        <f t="shared" si="6"/>
        <v>39.17</v>
      </c>
      <c r="S26" s="172"/>
      <c r="T26" s="172"/>
      <c r="U26" s="175"/>
      <c r="V26" s="30">
        <f t="shared" si="7"/>
        <v>37149</v>
      </c>
      <c r="W26" s="177"/>
      <c r="X26" s="178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219"/>
      <c r="AS26" s="177"/>
      <c r="AT26" s="178"/>
      <c r="AU26" s="94"/>
      <c r="AV26" s="95"/>
      <c r="AW26" s="177"/>
      <c r="AX26" s="178"/>
      <c r="AY26" s="31"/>
      <c r="AZ26" s="32"/>
      <c r="BA26" s="177"/>
      <c r="BB26" s="222"/>
      <c r="BC26" s="31"/>
      <c r="BD26" s="32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8"/>
        <v>0</v>
      </c>
      <c r="CZ26" s="34">
        <f t="shared" si="9"/>
        <v>0</v>
      </c>
      <c r="DA26" s="188">
        <f t="shared" si="10"/>
        <v>0</v>
      </c>
      <c r="DB26" s="189">
        <f t="shared" si="11"/>
        <v>37149</v>
      </c>
      <c r="DC26" s="188">
        <f t="shared" si="12"/>
        <v>0</v>
      </c>
      <c r="DD26" s="190">
        <v>16</v>
      </c>
      <c r="DE26" s="188">
        <v>1</v>
      </c>
      <c r="DF26" s="170">
        <f t="shared" si="13"/>
        <v>0</v>
      </c>
      <c r="DG26" s="170">
        <f t="shared" si="14"/>
        <v>0</v>
      </c>
      <c r="DH26" s="170">
        <f t="shared" si="15"/>
        <v>0</v>
      </c>
      <c r="DI26" s="170">
        <f t="shared" si="16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7"/>
        <v>1</v>
      </c>
    </row>
    <row r="27" spans="1:118" ht="18.75" x14ac:dyDescent="0.3">
      <c r="A27" s="80">
        <f>'NYISO A'!A27</f>
        <v>37150</v>
      </c>
      <c r="B27" s="114">
        <f>[4]Nepool!$L18/16</f>
        <v>0</v>
      </c>
      <c r="C27" s="35">
        <f t="shared" si="0"/>
        <v>0</v>
      </c>
      <c r="D27" s="36">
        <f t="shared" si="18"/>
        <v>0</v>
      </c>
      <c r="E27" s="23">
        <f t="shared" si="19"/>
        <v>0</v>
      </c>
      <c r="F27" s="24">
        <f>[4]Nepool!$C18</f>
        <v>35</v>
      </c>
      <c r="G27" s="38">
        <f t="shared" si="1"/>
        <v>4.1700000000000017</v>
      </c>
      <c r="H27" s="39">
        <f t="shared" si="2"/>
        <v>39.17</v>
      </c>
      <c r="I27" s="36">
        <f t="shared" si="3"/>
        <v>0</v>
      </c>
      <c r="J27" s="27">
        <f t="shared" si="4"/>
        <v>0</v>
      </c>
      <c r="K27" s="40">
        <f t="shared" si="20"/>
        <v>0</v>
      </c>
      <c r="L27" s="172"/>
      <c r="M27" s="28">
        <f t="shared" si="5"/>
        <v>37150</v>
      </c>
      <c r="N27" s="210">
        <v>39.17</v>
      </c>
      <c r="O27" s="210">
        <v>39.17</v>
      </c>
      <c r="P27" s="29">
        <f t="shared" si="21"/>
        <v>4.1700000000000017</v>
      </c>
      <c r="Q27" s="213"/>
      <c r="R27" s="215">
        <f t="shared" si="6"/>
        <v>39.17</v>
      </c>
      <c r="S27" s="172"/>
      <c r="T27" s="172"/>
      <c r="U27" s="175"/>
      <c r="V27" s="30">
        <f t="shared" si="7"/>
        <v>37150</v>
      </c>
      <c r="W27" s="177"/>
      <c r="X27" s="178"/>
      <c r="Y27" s="177"/>
      <c r="Z27" s="178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219"/>
      <c r="AS27" s="177"/>
      <c r="AT27" s="178"/>
      <c r="AU27" s="94"/>
      <c r="AV27" s="95"/>
      <c r="AW27" s="177"/>
      <c r="AX27" s="178"/>
      <c r="AY27" s="31"/>
      <c r="AZ27" s="32"/>
      <c r="BA27" s="177"/>
      <c r="BB27" s="178"/>
      <c r="BC27" s="31"/>
      <c r="BD27" s="32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8"/>
        <v>0</v>
      </c>
      <c r="CZ27" s="34">
        <f t="shared" si="9"/>
        <v>0</v>
      </c>
      <c r="DA27" s="188">
        <f t="shared" si="10"/>
        <v>0</v>
      </c>
      <c r="DB27" s="189">
        <f t="shared" si="11"/>
        <v>37150</v>
      </c>
      <c r="DC27" s="188">
        <f t="shared" si="12"/>
        <v>0</v>
      </c>
      <c r="DD27" s="190">
        <v>16</v>
      </c>
      <c r="DE27" s="188">
        <v>1</v>
      </c>
      <c r="DF27" s="170">
        <f t="shared" si="13"/>
        <v>0</v>
      </c>
      <c r="DG27" s="170">
        <f t="shared" si="14"/>
        <v>0</v>
      </c>
      <c r="DH27" s="170">
        <f t="shared" si="15"/>
        <v>0</v>
      </c>
      <c r="DI27" s="170">
        <f t="shared" si="16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7"/>
        <v>1</v>
      </c>
    </row>
    <row r="28" spans="1:118" ht="18.75" x14ac:dyDescent="0.3">
      <c r="A28" s="80">
        <f>'NYISO A'!A28</f>
        <v>37151</v>
      </c>
      <c r="B28" s="114">
        <f>[4]Nepool!$L19/16</f>
        <v>-198.99775695800781</v>
      </c>
      <c r="C28" s="22">
        <f t="shared" si="0"/>
        <v>0</v>
      </c>
      <c r="D28" s="21">
        <f t="shared" si="18"/>
        <v>0</v>
      </c>
      <c r="E28" s="23">
        <f t="shared" si="19"/>
        <v>-198.99775695800781</v>
      </c>
      <c r="F28" s="24">
        <f>[4]Nepool!$C19</f>
        <v>39</v>
      </c>
      <c r="G28" s="24">
        <f t="shared" si="1"/>
        <v>0.17000000000000171</v>
      </c>
      <c r="H28" s="25">
        <f t="shared" si="2"/>
        <v>39.17</v>
      </c>
      <c r="I28" s="26">
        <f t="shared" si="3"/>
        <v>-541.27389892578663</v>
      </c>
      <c r="J28" s="27">
        <f t="shared" si="4"/>
        <v>0</v>
      </c>
      <c r="K28" s="27">
        <f t="shared" si="20"/>
        <v>-541.27389892578663</v>
      </c>
      <c r="L28" s="172"/>
      <c r="M28" s="28">
        <f t="shared" si="5"/>
        <v>37151</v>
      </c>
      <c r="N28" s="210">
        <v>39.17</v>
      </c>
      <c r="O28" s="210">
        <v>39.17</v>
      </c>
      <c r="P28" s="29">
        <f t="shared" si="21"/>
        <v>0.17000000000000171</v>
      </c>
      <c r="Q28" s="213"/>
      <c r="R28" s="215">
        <f t="shared" si="6"/>
        <v>39.17</v>
      </c>
      <c r="S28" s="172"/>
      <c r="T28" s="172"/>
      <c r="U28" s="175"/>
      <c r="V28" s="30">
        <f t="shared" si="7"/>
        <v>37151</v>
      </c>
      <c r="W28" s="177"/>
      <c r="X28" s="178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219"/>
      <c r="AS28" s="177"/>
      <c r="AT28" s="178"/>
      <c r="AU28" s="94"/>
      <c r="AV28" s="95"/>
      <c r="AW28" s="177"/>
      <c r="AX28" s="178"/>
      <c r="AY28" s="31"/>
      <c r="AZ28" s="32"/>
      <c r="BA28" s="177"/>
      <c r="BB28" s="178"/>
      <c r="BC28" s="31"/>
      <c r="BD28" s="32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8"/>
        <v>0</v>
      </c>
      <c r="CZ28" s="34">
        <f t="shared" si="9"/>
        <v>0</v>
      </c>
      <c r="DA28" s="188">
        <f t="shared" si="10"/>
        <v>0</v>
      </c>
      <c r="DB28" s="189">
        <f t="shared" si="11"/>
        <v>37151</v>
      </c>
      <c r="DC28" s="188">
        <f t="shared" si="12"/>
        <v>0</v>
      </c>
      <c r="DD28" s="190">
        <v>16</v>
      </c>
      <c r="DE28" s="188">
        <v>1</v>
      </c>
      <c r="DF28" s="170">
        <f t="shared" si="13"/>
        <v>0</v>
      </c>
      <c r="DG28" s="170">
        <f t="shared" si="14"/>
        <v>0</v>
      </c>
      <c r="DH28" s="170">
        <f t="shared" si="15"/>
        <v>0</v>
      </c>
      <c r="DI28" s="170">
        <f t="shared" si="16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7"/>
        <v>0</v>
      </c>
    </row>
    <row r="29" spans="1:118" ht="18.75" x14ac:dyDescent="0.3">
      <c r="A29" s="80">
        <f>'NYISO A'!A29</f>
        <v>37152</v>
      </c>
      <c r="B29" s="114">
        <f>[4]Nepool!$L20/16</f>
        <v>-198.99775695800781</v>
      </c>
      <c r="C29" s="35">
        <f t="shared" si="0"/>
        <v>0</v>
      </c>
      <c r="D29" s="36">
        <f t="shared" si="18"/>
        <v>0</v>
      </c>
      <c r="E29" s="23">
        <f t="shared" si="19"/>
        <v>-198.99775695800781</v>
      </c>
      <c r="F29" s="24">
        <f>[4]Nepool!$C20</f>
        <v>39</v>
      </c>
      <c r="G29" s="38">
        <f t="shared" si="1"/>
        <v>0.17000000000000171</v>
      </c>
      <c r="H29" s="39">
        <f t="shared" si="2"/>
        <v>39.17</v>
      </c>
      <c r="I29" s="36">
        <f t="shared" si="3"/>
        <v>-541.27389892578663</v>
      </c>
      <c r="J29" s="27">
        <f t="shared" si="4"/>
        <v>0</v>
      </c>
      <c r="K29" s="40">
        <f t="shared" si="20"/>
        <v>-541.27389892578663</v>
      </c>
      <c r="L29" s="172"/>
      <c r="M29" s="28">
        <f t="shared" si="5"/>
        <v>37152</v>
      </c>
      <c r="N29" s="210">
        <v>39.17</v>
      </c>
      <c r="O29" s="210">
        <v>39.17</v>
      </c>
      <c r="P29" s="29">
        <f t="shared" si="21"/>
        <v>0.17000000000000171</v>
      </c>
      <c r="Q29" s="213"/>
      <c r="R29" s="215">
        <f t="shared" si="6"/>
        <v>39.17</v>
      </c>
      <c r="S29" s="172"/>
      <c r="T29" s="172"/>
      <c r="U29" s="175"/>
      <c r="V29" s="30">
        <f t="shared" si="7"/>
        <v>37152</v>
      </c>
      <c r="W29" s="177"/>
      <c r="X29" s="178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177"/>
      <c r="AX29" s="178"/>
      <c r="AY29" s="31"/>
      <c r="AZ29" s="32"/>
      <c r="BA29" s="177"/>
      <c r="BB29" s="178"/>
      <c r="BC29" s="31"/>
      <c r="BD29" s="32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8"/>
        <v>0</v>
      </c>
      <c r="CZ29" s="34">
        <f t="shared" si="9"/>
        <v>0</v>
      </c>
      <c r="DA29" s="188">
        <f t="shared" si="10"/>
        <v>0</v>
      </c>
      <c r="DB29" s="189">
        <f t="shared" si="11"/>
        <v>37152</v>
      </c>
      <c r="DC29" s="188">
        <f t="shared" si="12"/>
        <v>0</v>
      </c>
      <c r="DD29" s="190">
        <v>16</v>
      </c>
      <c r="DE29" s="188">
        <v>1</v>
      </c>
      <c r="DF29" s="170">
        <f t="shared" si="13"/>
        <v>0</v>
      </c>
      <c r="DG29" s="170">
        <f t="shared" si="14"/>
        <v>0</v>
      </c>
      <c r="DH29" s="170">
        <f t="shared" si="15"/>
        <v>0</v>
      </c>
      <c r="DI29" s="170">
        <f t="shared" si="16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7"/>
        <v>0</v>
      </c>
    </row>
    <row r="30" spans="1:118" ht="18.75" x14ac:dyDescent="0.3">
      <c r="A30" s="80">
        <f>'NYISO A'!A30</f>
        <v>37153</v>
      </c>
      <c r="B30" s="114">
        <f>[4]Nepool!$L21/16</f>
        <v>-198.99775695800781</v>
      </c>
      <c r="C30" s="22">
        <f t="shared" si="0"/>
        <v>0</v>
      </c>
      <c r="D30" s="21">
        <f t="shared" si="18"/>
        <v>0</v>
      </c>
      <c r="E30" s="23">
        <f t="shared" si="19"/>
        <v>-198.99775695800781</v>
      </c>
      <c r="F30" s="24">
        <f>[4]Nepool!$C21</f>
        <v>39</v>
      </c>
      <c r="G30" s="24">
        <f t="shared" si="1"/>
        <v>0.17000000000000171</v>
      </c>
      <c r="H30" s="25">
        <f t="shared" si="2"/>
        <v>39.17</v>
      </c>
      <c r="I30" s="26">
        <f t="shared" si="3"/>
        <v>-541.27389892578663</v>
      </c>
      <c r="J30" s="27">
        <f t="shared" si="4"/>
        <v>0</v>
      </c>
      <c r="K30" s="27">
        <f t="shared" si="20"/>
        <v>-541.27389892578663</v>
      </c>
      <c r="L30" s="172"/>
      <c r="M30" s="28">
        <f t="shared" si="5"/>
        <v>37153</v>
      </c>
      <c r="N30" s="210">
        <v>39.17</v>
      </c>
      <c r="O30" s="210">
        <v>39.17</v>
      </c>
      <c r="P30" s="29">
        <f t="shared" si="21"/>
        <v>0.17000000000000171</v>
      </c>
      <c r="Q30" s="213"/>
      <c r="R30" s="215">
        <f t="shared" si="6"/>
        <v>39.17</v>
      </c>
      <c r="S30" s="172"/>
      <c r="T30" s="172"/>
      <c r="U30" s="175"/>
      <c r="V30" s="30">
        <f t="shared" si="7"/>
        <v>37153</v>
      </c>
      <c r="W30" s="177"/>
      <c r="X30" s="178"/>
      <c r="Y30" s="177"/>
      <c r="Z30" s="178"/>
      <c r="AA30" s="177"/>
      <c r="AB30" s="178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177"/>
      <c r="AX30" s="178"/>
      <c r="AY30" s="31"/>
      <c r="AZ30" s="32"/>
      <c r="BA30" s="177"/>
      <c r="BB30" s="178"/>
      <c r="BC30" s="31"/>
      <c r="BD30" s="32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8"/>
        <v>0</v>
      </c>
      <c r="CZ30" s="34">
        <f t="shared" si="9"/>
        <v>0</v>
      </c>
      <c r="DA30" s="188">
        <f t="shared" si="10"/>
        <v>0</v>
      </c>
      <c r="DB30" s="189">
        <f t="shared" si="11"/>
        <v>37153</v>
      </c>
      <c r="DC30" s="188">
        <f t="shared" si="12"/>
        <v>0</v>
      </c>
      <c r="DD30" s="190">
        <v>16</v>
      </c>
      <c r="DE30" s="188">
        <v>1</v>
      </c>
      <c r="DF30" s="170">
        <f t="shared" si="13"/>
        <v>0</v>
      </c>
      <c r="DG30" s="170">
        <f t="shared" si="14"/>
        <v>0</v>
      </c>
      <c r="DH30" s="170">
        <f t="shared" si="15"/>
        <v>0</v>
      </c>
      <c r="DI30" s="170">
        <f t="shared" si="16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7"/>
        <v>1</v>
      </c>
    </row>
    <row r="31" spans="1:118" ht="18.75" x14ac:dyDescent="0.3">
      <c r="A31" s="80">
        <f>'NYISO A'!A31</f>
        <v>37154</v>
      </c>
      <c r="B31" s="114">
        <f>[4]Nepool!$L22/16</f>
        <v>-198.99775695800781</v>
      </c>
      <c r="C31" s="35">
        <f t="shared" si="0"/>
        <v>0</v>
      </c>
      <c r="D31" s="36">
        <f t="shared" si="18"/>
        <v>0</v>
      </c>
      <c r="E31" s="23">
        <f t="shared" si="19"/>
        <v>-198.99775695800781</v>
      </c>
      <c r="F31" s="24">
        <f>[4]Nepool!$C22</f>
        <v>39</v>
      </c>
      <c r="G31" s="38">
        <f t="shared" si="1"/>
        <v>0.17000000000000171</v>
      </c>
      <c r="H31" s="39">
        <f t="shared" si="2"/>
        <v>39.17</v>
      </c>
      <c r="I31" s="36">
        <f t="shared" si="3"/>
        <v>-541.27389892578663</v>
      </c>
      <c r="J31" s="27">
        <f t="shared" si="4"/>
        <v>0</v>
      </c>
      <c r="K31" s="40">
        <f t="shared" si="20"/>
        <v>-541.27389892578663</v>
      </c>
      <c r="L31" s="172"/>
      <c r="M31" s="28">
        <f t="shared" si="5"/>
        <v>37154</v>
      </c>
      <c r="N31" s="210">
        <v>39.17</v>
      </c>
      <c r="O31" s="210">
        <v>39.17</v>
      </c>
      <c r="P31" s="29">
        <f t="shared" si="21"/>
        <v>0.17000000000000171</v>
      </c>
      <c r="Q31" s="213"/>
      <c r="R31" s="215">
        <f t="shared" si="6"/>
        <v>39.17</v>
      </c>
      <c r="S31" s="172"/>
      <c r="T31" s="172"/>
      <c r="U31" s="175"/>
      <c r="V31" s="30">
        <f t="shared" si="7"/>
        <v>37154</v>
      </c>
      <c r="W31" s="177"/>
      <c r="X31" s="178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219"/>
      <c r="AS31" s="177"/>
      <c r="AT31" s="178"/>
      <c r="AU31" s="94"/>
      <c r="AV31" s="95"/>
      <c r="AW31" s="177"/>
      <c r="AX31" s="178"/>
      <c r="AY31" s="31"/>
      <c r="AZ31" s="32"/>
      <c r="BA31" s="177"/>
      <c r="BB31" s="178"/>
      <c r="BC31" s="31"/>
      <c r="BD31" s="32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8"/>
        <v>0</v>
      </c>
      <c r="CZ31" s="34">
        <f t="shared" si="9"/>
        <v>0</v>
      </c>
      <c r="DA31" s="188">
        <f t="shared" si="10"/>
        <v>0</v>
      </c>
      <c r="DB31" s="189">
        <f t="shared" si="11"/>
        <v>37154</v>
      </c>
      <c r="DC31" s="188">
        <f t="shared" si="12"/>
        <v>0</v>
      </c>
      <c r="DD31" s="190">
        <v>16</v>
      </c>
      <c r="DE31" s="188">
        <v>1</v>
      </c>
      <c r="DF31" s="170">
        <f t="shared" si="13"/>
        <v>0</v>
      </c>
      <c r="DG31" s="170">
        <f t="shared" si="14"/>
        <v>0</v>
      </c>
      <c r="DH31" s="170">
        <f t="shared" si="15"/>
        <v>0</v>
      </c>
      <c r="DI31" s="170">
        <f t="shared" si="16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7"/>
        <v>1</v>
      </c>
    </row>
    <row r="32" spans="1:118" ht="18.75" x14ac:dyDescent="0.3">
      <c r="A32" s="80">
        <f>'NYISO A'!A32</f>
        <v>37155</v>
      </c>
      <c r="B32" s="114">
        <f>[4]Nepool!$L23/16</f>
        <v>-198.99775695800781</v>
      </c>
      <c r="C32" s="22">
        <f t="shared" si="0"/>
        <v>0</v>
      </c>
      <c r="D32" s="21">
        <f t="shared" si="18"/>
        <v>0</v>
      </c>
      <c r="E32" s="23">
        <f t="shared" si="19"/>
        <v>-198.99775695800781</v>
      </c>
      <c r="F32" s="24">
        <f>[4]Nepool!$C23</f>
        <v>39</v>
      </c>
      <c r="G32" s="24">
        <f t="shared" si="1"/>
        <v>0.17000000000000171</v>
      </c>
      <c r="H32" s="25">
        <f t="shared" si="2"/>
        <v>39.17</v>
      </c>
      <c r="I32" s="26">
        <f t="shared" si="3"/>
        <v>-541.27389892578663</v>
      </c>
      <c r="J32" s="27">
        <f t="shared" si="4"/>
        <v>0</v>
      </c>
      <c r="K32" s="27">
        <f t="shared" si="20"/>
        <v>-541.27389892578663</v>
      </c>
      <c r="L32" s="172"/>
      <c r="M32" s="28">
        <f t="shared" si="5"/>
        <v>37155</v>
      </c>
      <c r="N32" s="210">
        <v>39.17</v>
      </c>
      <c r="O32" s="210">
        <v>39.17</v>
      </c>
      <c r="P32" s="29">
        <f t="shared" si="21"/>
        <v>0.17000000000000171</v>
      </c>
      <c r="Q32" s="213"/>
      <c r="R32" s="215">
        <f t="shared" si="6"/>
        <v>39.17</v>
      </c>
      <c r="S32" s="172"/>
      <c r="T32" s="172"/>
      <c r="U32" s="175"/>
      <c r="V32" s="30">
        <f t="shared" si="7"/>
        <v>37155</v>
      </c>
      <c r="W32" s="177"/>
      <c r="X32" s="178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219"/>
      <c r="AS32" s="177"/>
      <c r="AT32" s="178"/>
      <c r="AU32" s="94"/>
      <c r="AV32" s="95"/>
      <c r="AW32" s="177"/>
      <c r="AX32" s="178"/>
      <c r="AY32" s="31"/>
      <c r="AZ32" s="32"/>
      <c r="BA32" s="177"/>
      <c r="BB32" s="178"/>
      <c r="BC32" s="31"/>
      <c r="BD32" s="32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8"/>
        <v>0</v>
      </c>
      <c r="CZ32" s="34">
        <f t="shared" si="9"/>
        <v>0</v>
      </c>
      <c r="DA32" s="188">
        <f t="shared" si="10"/>
        <v>0</v>
      </c>
      <c r="DB32" s="189">
        <f t="shared" si="11"/>
        <v>37155</v>
      </c>
      <c r="DC32" s="188">
        <f t="shared" si="12"/>
        <v>0</v>
      </c>
      <c r="DD32" s="190">
        <v>16</v>
      </c>
      <c r="DE32" s="188">
        <v>1</v>
      </c>
      <c r="DF32" s="170">
        <f t="shared" si="13"/>
        <v>0</v>
      </c>
      <c r="DG32" s="170">
        <f t="shared" si="14"/>
        <v>0</v>
      </c>
      <c r="DH32" s="170">
        <f t="shared" si="15"/>
        <v>0</v>
      </c>
      <c r="DI32" s="170">
        <f t="shared" si="16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7"/>
        <v>1</v>
      </c>
    </row>
    <row r="33" spans="1:124" ht="18.75" x14ac:dyDescent="0.3">
      <c r="A33" s="80">
        <f>'NYISO A'!A33</f>
        <v>37156</v>
      </c>
      <c r="B33" s="114">
        <f>[4]Nepool!$L24/16</f>
        <v>0</v>
      </c>
      <c r="C33" s="35">
        <f t="shared" si="0"/>
        <v>0</v>
      </c>
      <c r="D33" s="36">
        <f t="shared" si="18"/>
        <v>0</v>
      </c>
      <c r="E33" s="23">
        <f t="shared" si="19"/>
        <v>0</v>
      </c>
      <c r="F33" s="24">
        <f>[4]Nepool!$C24</f>
        <v>35</v>
      </c>
      <c r="G33" s="38">
        <f t="shared" si="1"/>
        <v>4.1700000000000017</v>
      </c>
      <c r="H33" s="39">
        <f t="shared" si="2"/>
        <v>39.17</v>
      </c>
      <c r="I33" s="36">
        <f t="shared" si="3"/>
        <v>0</v>
      </c>
      <c r="J33" s="27">
        <f t="shared" si="4"/>
        <v>0</v>
      </c>
      <c r="K33" s="40">
        <f t="shared" si="20"/>
        <v>0</v>
      </c>
      <c r="L33" s="172"/>
      <c r="M33" s="28">
        <f t="shared" si="5"/>
        <v>37156</v>
      </c>
      <c r="N33" s="210">
        <v>39.17</v>
      </c>
      <c r="O33" s="210">
        <v>39.17</v>
      </c>
      <c r="P33" s="29">
        <f t="shared" si="21"/>
        <v>4.1700000000000017</v>
      </c>
      <c r="Q33" s="213"/>
      <c r="R33" s="215">
        <f t="shared" si="6"/>
        <v>39.17</v>
      </c>
      <c r="S33" s="172"/>
      <c r="T33" s="172"/>
      <c r="U33" s="175"/>
      <c r="V33" s="30">
        <f t="shared" si="7"/>
        <v>37156</v>
      </c>
      <c r="W33" s="177"/>
      <c r="X33" s="178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219"/>
      <c r="AS33" s="177"/>
      <c r="AT33" s="178"/>
      <c r="AU33" s="94"/>
      <c r="AV33" s="95"/>
      <c r="AW33" s="177"/>
      <c r="AX33" s="178"/>
      <c r="AY33" s="31"/>
      <c r="AZ33" s="32"/>
      <c r="BA33" s="177"/>
      <c r="BB33" s="222"/>
      <c r="BC33" s="31"/>
      <c r="BD33" s="32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8"/>
        <v>0</v>
      </c>
      <c r="CZ33" s="34">
        <f t="shared" si="9"/>
        <v>0</v>
      </c>
      <c r="DA33" s="188">
        <f t="shared" si="10"/>
        <v>0</v>
      </c>
      <c r="DB33" s="189">
        <f t="shared" si="11"/>
        <v>37156</v>
      </c>
      <c r="DC33" s="188">
        <f t="shared" si="12"/>
        <v>0</v>
      </c>
      <c r="DD33" s="190">
        <v>16</v>
      </c>
      <c r="DE33" s="188">
        <v>1</v>
      </c>
      <c r="DF33" s="170">
        <f t="shared" si="13"/>
        <v>0</v>
      </c>
      <c r="DG33" s="170">
        <f t="shared" si="14"/>
        <v>0</v>
      </c>
      <c r="DH33" s="170">
        <f t="shared" si="15"/>
        <v>0</v>
      </c>
      <c r="DI33" s="170">
        <f t="shared" si="16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7"/>
        <v>1</v>
      </c>
    </row>
    <row r="34" spans="1:124" ht="18.75" x14ac:dyDescent="0.3">
      <c r="A34" s="80">
        <f>'NYISO A'!A34</f>
        <v>37157</v>
      </c>
      <c r="B34" s="114">
        <f>[4]Nepool!$L25/16</f>
        <v>0</v>
      </c>
      <c r="C34" s="22">
        <f t="shared" si="0"/>
        <v>0</v>
      </c>
      <c r="D34" s="21">
        <f t="shared" si="18"/>
        <v>0</v>
      </c>
      <c r="E34" s="23">
        <f t="shared" si="19"/>
        <v>0</v>
      </c>
      <c r="F34" s="24">
        <f>[4]Nepool!$C25</f>
        <v>35</v>
      </c>
      <c r="G34" s="24">
        <f t="shared" si="1"/>
        <v>4.1700000000000017</v>
      </c>
      <c r="H34" s="25">
        <f t="shared" si="2"/>
        <v>39.17</v>
      </c>
      <c r="I34" s="26">
        <f t="shared" si="3"/>
        <v>0</v>
      </c>
      <c r="J34" s="27">
        <f t="shared" si="4"/>
        <v>0</v>
      </c>
      <c r="K34" s="27">
        <f t="shared" si="20"/>
        <v>0</v>
      </c>
      <c r="L34" s="172"/>
      <c r="M34" s="28">
        <f t="shared" si="5"/>
        <v>37157</v>
      </c>
      <c r="N34" s="210">
        <v>39.17</v>
      </c>
      <c r="O34" s="210">
        <v>39.17</v>
      </c>
      <c r="P34" s="29">
        <f t="shared" si="21"/>
        <v>4.1700000000000017</v>
      </c>
      <c r="Q34" s="213"/>
      <c r="R34" s="215">
        <f t="shared" si="6"/>
        <v>39.17</v>
      </c>
      <c r="S34" s="172"/>
      <c r="T34" s="172"/>
      <c r="U34" s="175"/>
      <c r="V34" s="30">
        <f t="shared" si="7"/>
        <v>37157</v>
      </c>
      <c r="W34" s="177"/>
      <c r="X34" s="178"/>
      <c r="Y34" s="177"/>
      <c r="Z34" s="178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219"/>
      <c r="AS34" s="177"/>
      <c r="AT34" s="178"/>
      <c r="AU34" s="94"/>
      <c r="AV34" s="95"/>
      <c r="AW34" s="177"/>
      <c r="AX34" s="178"/>
      <c r="AY34" s="31"/>
      <c r="AZ34" s="32"/>
      <c r="BA34" s="177"/>
      <c r="BB34" s="178"/>
      <c r="BC34" s="31"/>
      <c r="BD34" s="32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8"/>
        <v>0</v>
      </c>
      <c r="CZ34" s="34">
        <f t="shared" si="9"/>
        <v>0</v>
      </c>
      <c r="DA34" s="188">
        <f t="shared" si="10"/>
        <v>0</v>
      </c>
      <c r="DB34" s="189">
        <f t="shared" si="11"/>
        <v>37157</v>
      </c>
      <c r="DC34" s="188">
        <f t="shared" si="12"/>
        <v>0</v>
      </c>
      <c r="DD34" s="190">
        <v>16</v>
      </c>
      <c r="DE34" s="188">
        <v>1</v>
      </c>
      <c r="DF34" s="170">
        <f t="shared" si="13"/>
        <v>0</v>
      </c>
      <c r="DG34" s="170">
        <f t="shared" si="14"/>
        <v>0</v>
      </c>
      <c r="DH34" s="170">
        <f t="shared" si="15"/>
        <v>0</v>
      </c>
      <c r="DI34" s="170">
        <f t="shared" si="16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7"/>
        <v>1</v>
      </c>
    </row>
    <row r="35" spans="1:124" ht="18.75" x14ac:dyDescent="0.3">
      <c r="A35" s="80">
        <f>'NYISO A'!A35</f>
        <v>37158</v>
      </c>
      <c r="B35" s="114">
        <f>[4]Nepool!$L26/16</f>
        <v>-198.99775695800781</v>
      </c>
      <c r="C35" s="35">
        <f t="shared" si="0"/>
        <v>0</v>
      </c>
      <c r="D35" s="36">
        <f t="shared" si="18"/>
        <v>0</v>
      </c>
      <c r="E35" s="23">
        <f t="shared" si="19"/>
        <v>-198.99775695800781</v>
      </c>
      <c r="F35" s="24">
        <f>[4]Nepool!$C26</f>
        <v>38</v>
      </c>
      <c r="G35" s="38">
        <f t="shared" si="1"/>
        <v>1.1700000000000017</v>
      </c>
      <c r="H35" s="39">
        <f t="shared" si="2"/>
        <v>39.17</v>
      </c>
      <c r="I35" s="36">
        <f t="shared" si="3"/>
        <v>-3725.2380102539119</v>
      </c>
      <c r="J35" s="27">
        <f t="shared" si="4"/>
        <v>0</v>
      </c>
      <c r="K35" s="40">
        <f t="shared" si="20"/>
        <v>-3725.2380102539119</v>
      </c>
      <c r="L35" s="172"/>
      <c r="M35" s="28">
        <f t="shared" si="5"/>
        <v>37158</v>
      </c>
      <c r="N35" s="210">
        <v>39.17</v>
      </c>
      <c r="O35" s="210">
        <v>39.17</v>
      </c>
      <c r="P35" s="29">
        <f t="shared" si="21"/>
        <v>1.1700000000000017</v>
      </c>
      <c r="Q35" s="213"/>
      <c r="R35" s="215">
        <f t="shared" si="6"/>
        <v>39.17</v>
      </c>
      <c r="S35" s="172"/>
      <c r="T35" s="172"/>
      <c r="U35" s="175"/>
      <c r="V35" s="30">
        <f t="shared" si="7"/>
        <v>37158</v>
      </c>
      <c r="W35" s="177"/>
      <c r="X35" s="178"/>
      <c r="Y35" s="177"/>
      <c r="Z35" s="178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219"/>
      <c r="AS35" s="177"/>
      <c r="AT35" s="178"/>
      <c r="AU35" s="94"/>
      <c r="AV35" s="95"/>
      <c r="AW35" s="177"/>
      <c r="AX35" s="178"/>
      <c r="AY35" s="31"/>
      <c r="AZ35" s="32"/>
      <c r="BA35" s="177"/>
      <c r="BB35" s="178"/>
      <c r="BC35" s="31"/>
      <c r="BD35" s="32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8"/>
        <v>0</v>
      </c>
      <c r="CZ35" s="34">
        <f t="shared" si="9"/>
        <v>0</v>
      </c>
      <c r="DA35" s="188">
        <f t="shared" si="10"/>
        <v>0</v>
      </c>
      <c r="DB35" s="189">
        <f t="shared" si="11"/>
        <v>37158</v>
      </c>
      <c r="DC35" s="188">
        <f t="shared" si="12"/>
        <v>0</v>
      </c>
      <c r="DD35" s="190">
        <v>16</v>
      </c>
      <c r="DE35" s="188">
        <v>1</v>
      </c>
      <c r="DF35" s="170">
        <f t="shared" si="13"/>
        <v>0</v>
      </c>
      <c r="DG35" s="170">
        <f t="shared" si="14"/>
        <v>0</v>
      </c>
      <c r="DH35" s="170">
        <f t="shared" si="15"/>
        <v>0</v>
      </c>
      <c r="DI35" s="170">
        <f t="shared" si="16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7"/>
        <v>0</v>
      </c>
    </row>
    <row r="36" spans="1:124" ht="18.75" x14ac:dyDescent="0.3">
      <c r="A36" s="80">
        <f>'NYISO A'!A36</f>
        <v>37159</v>
      </c>
      <c r="B36" s="114">
        <f>[4]Nepool!$L27/16</f>
        <v>-198.99775695800781</v>
      </c>
      <c r="C36" s="22">
        <f t="shared" si="0"/>
        <v>0</v>
      </c>
      <c r="D36" s="21">
        <f t="shared" si="18"/>
        <v>0</v>
      </c>
      <c r="E36" s="23">
        <f t="shared" si="19"/>
        <v>-198.99775695800781</v>
      </c>
      <c r="F36" s="24">
        <f>[4]Nepool!$C27</f>
        <v>38</v>
      </c>
      <c r="G36" s="24">
        <f t="shared" si="1"/>
        <v>1.1700000000000017</v>
      </c>
      <c r="H36" s="25">
        <f t="shared" si="2"/>
        <v>39.17</v>
      </c>
      <c r="I36" s="26">
        <f t="shared" si="3"/>
        <v>-3725.2380102539119</v>
      </c>
      <c r="J36" s="27">
        <f t="shared" si="4"/>
        <v>0</v>
      </c>
      <c r="K36" s="27">
        <f t="shared" si="20"/>
        <v>-3725.2380102539119</v>
      </c>
      <c r="L36" s="172"/>
      <c r="M36" s="28">
        <f t="shared" si="5"/>
        <v>37159</v>
      </c>
      <c r="N36" s="210">
        <v>39.17</v>
      </c>
      <c r="O36" s="210">
        <v>39.17</v>
      </c>
      <c r="P36" s="29">
        <f t="shared" si="21"/>
        <v>1.1700000000000017</v>
      </c>
      <c r="Q36" s="213"/>
      <c r="R36" s="215">
        <f t="shared" si="6"/>
        <v>39.17</v>
      </c>
      <c r="S36" s="172"/>
      <c r="T36" s="172"/>
      <c r="U36" s="175"/>
      <c r="V36" s="30">
        <f t="shared" si="7"/>
        <v>37159</v>
      </c>
      <c r="W36" s="177"/>
      <c r="X36" s="1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178"/>
      <c r="AU36" s="94"/>
      <c r="AV36" s="95"/>
      <c r="AW36" s="177"/>
      <c r="AX36" s="178"/>
      <c r="AY36" s="31"/>
      <c r="AZ36" s="32"/>
      <c r="BA36" s="177"/>
      <c r="BB36" s="178"/>
      <c r="BC36" s="31"/>
      <c r="BD36" s="32"/>
      <c r="BE36" s="177"/>
      <c r="BF36" s="178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8"/>
        <v>0</v>
      </c>
      <c r="CZ36" s="34">
        <f t="shared" si="9"/>
        <v>0</v>
      </c>
      <c r="DA36" s="188">
        <f t="shared" si="10"/>
        <v>0</v>
      </c>
      <c r="DB36" s="189">
        <f t="shared" si="11"/>
        <v>37159</v>
      </c>
      <c r="DC36" s="188">
        <f t="shared" si="12"/>
        <v>0</v>
      </c>
      <c r="DD36" s="190">
        <v>16</v>
      </c>
      <c r="DE36" s="188">
        <v>1</v>
      </c>
      <c r="DF36" s="170">
        <f t="shared" si="13"/>
        <v>0</v>
      </c>
      <c r="DG36" s="170">
        <f t="shared" si="14"/>
        <v>0</v>
      </c>
      <c r="DH36" s="170">
        <f t="shared" si="15"/>
        <v>0</v>
      </c>
      <c r="DI36" s="170">
        <f t="shared" si="16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7"/>
        <v>0</v>
      </c>
    </row>
    <row r="37" spans="1:124" ht="18.75" x14ac:dyDescent="0.3">
      <c r="A37" s="80">
        <f>'NYISO A'!A37</f>
        <v>37160</v>
      </c>
      <c r="B37" s="114">
        <f>[4]Nepool!$L28/16</f>
        <v>-198.99775695800781</v>
      </c>
      <c r="C37" s="35">
        <f t="shared" si="0"/>
        <v>0</v>
      </c>
      <c r="D37" s="36">
        <f t="shared" si="18"/>
        <v>0</v>
      </c>
      <c r="E37" s="23">
        <f t="shared" si="19"/>
        <v>-198.99775695800781</v>
      </c>
      <c r="F37" s="24">
        <f>[4]Nepool!$C28</f>
        <v>38</v>
      </c>
      <c r="G37" s="38">
        <f t="shared" si="1"/>
        <v>1.1700000000000017</v>
      </c>
      <c r="H37" s="39">
        <f t="shared" si="2"/>
        <v>39.17</v>
      </c>
      <c r="I37" s="36">
        <f t="shared" si="3"/>
        <v>-3725.2380102539119</v>
      </c>
      <c r="J37" s="27">
        <f t="shared" si="4"/>
        <v>0</v>
      </c>
      <c r="K37" s="40">
        <f t="shared" si="20"/>
        <v>-3725.2380102539119</v>
      </c>
      <c r="L37" s="172"/>
      <c r="M37" s="28">
        <f t="shared" si="5"/>
        <v>37160</v>
      </c>
      <c r="N37" s="210">
        <v>39.17</v>
      </c>
      <c r="O37" s="210">
        <v>39.17</v>
      </c>
      <c r="P37" s="29">
        <f t="shared" si="21"/>
        <v>1.1700000000000017</v>
      </c>
      <c r="Q37" s="213"/>
      <c r="R37" s="215">
        <f t="shared" si="6"/>
        <v>39.17</v>
      </c>
      <c r="S37" s="172"/>
      <c r="T37" s="172"/>
      <c r="U37" s="175"/>
      <c r="V37" s="30">
        <f t="shared" si="7"/>
        <v>37160</v>
      </c>
      <c r="W37" s="177"/>
      <c r="X37" s="178"/>
      <c r="Y37" s="177"/>
      <c r="Z37" s="178"/>
      <c r="AA37" s="177"/>
      <c r="AB37" s="178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94"/>
      <c r="AV37" s="95"/>
      <c r="AW37" s="177"/>
      <c r="AX37" s="178"/>
      <c r="AY37" s="31"/>
      <c r="AZ37" s="32"/>
      <c r="BA37" s="177"/>
      <c r="BB37" s="178"/>
      <c r="BC37" s="31"/>
      <c r="BD37" s="32"/>
      <c r="BE37" s="177"/>
      <c r="BF37" s="178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8"/>
        <v>0</v>
      </c>
      <c r="CZ37" s="34">
        <f t="shared" si="9"/>
        <v>0</v>
      </c>
      <c r="DA37" s="188">
        <f t="shared" si="10"/>
        <v>0</v>
      </c>
      <c r="DB37" s="189">
        <f t="shared" si="11"/>
        <v>37160</v>
      </c>
      <c r="DC37" s="188">
        <f t="shared" si="12"/>
        <v>0</v>
      </c>
      <c r="DD37" s="190">
        <v>16</v>
      </c>
      <c r="DE37" s="188">
        <v>1</v>
      </c>
      <c r="DF37" s="170">
        <f t="shared" si="13"/>
        <v>0</v>
      </c>
      <c r="DG37" s="170">
        <f t="shared" si="14"/>
        <v>0</v>
      </c>
      <c r="DH37" s="170">
        <f t="shared" si="15"/>
        <v>0</v>
      </c>
      <c r="DI37" s="170">
        <f t="shared" si="16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7"/>
        <v>1</v>
      </c>
    </row>
    <row r="38" spans="1:124" ht="18.75" x14ac:dyDescent="0.3">
      <c r="A38" s="80">
        <f>'NYISO A'!A38</f>
        <v>37161</v>
      </c>
      <c r="B38" s="114">
        <f>[4]Nepool!$L29/16</f>
        <v>-198.99775695800781</v>
      </c>
      <c r="C38" s="22">
        <f t="shared" si="0"/>
        <v>0</v>
      </c>
      <c r="D38" s="21">
        <f t="shared" si="18"/>
        <v>0</v>
      </c>
      <c r="E38" s="23">
        <f t="shared" si="19"/>
        <v>-198.99775695800781</v>
      </c>
      <c r="F38" s="24">
        <f>[4]Nepool!$C29</f>
        <v>38</v>
      </c>
      <c r="G38" s="24">
        <f t="shared" si="1"/>
        <v>1.1700000000000017</v>
      </c>
      <c r="H38" s="25">
        <f t="shared" si="2"/>
        <v>39.17</v>
      </c>
      <c r="I38" s="26">
        <f t="shared" si="3"/>
        <v>-3725.2380102539119</v>
      </c>
      <c r="J38" s="27">
        <f t="shared" si="4"/>
        <v>0</v>
      </c>
      <c r="K38" s="27">
        <f t="shared" si="20"/>
        <v>-3725.2380102539119</v>
      </c>
      <c r="L38" s="172"/>
      <c r="M38" s="28">
        <f t="shared" si="5"/>
        <v>37161</v>
      </c>
      <c r="N38" s="210">
        <v>39.17</v>
      </c>
      <c r="O38" s="210">
        <v>39.17</v>
      </c>
      <c r="P38" s="29">
        <f t="shared" si="21"/>
        <v>1.1700000000000017</v>
      </c>
      <c r="Q38" s="213"/>
      <c r="R38" s="215">
        <f t="shared" si="6"/>
        <v>39.17</v>
      </c>
      <c r="S38" s="172"/>
      <c r="T38" s="172"/>
      <c r="U38" s="175"/>
      <c r="V38" s="30">
        <f t="shared" si="7"/>
        <v>37161</v>
      </c>
      <c r="W38" s="177"/>
      <c r="X38" s="178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219"/>
      <c r="AS38" s="177"/>
      <c r="AT38" s="178"/>
      <c r="AU38" s="94"/>
      <c r="AV38" s="95"/>
      <c r="AW38" s="177"/>
      <c r="AX38" s="178"/>
      <c r="AY38" s="31"/>
      <c r="AZ38" s="32"/>
      <c r="BA38" s="177"/>
      <c r="BB38" s="178"/>
      <c r="BC38" s="31"/>
      <c r="BD38" s="32"/>
      <c r="BE38" s="177"/>
      <c r="BF38" s="178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8"/>
        <v>0</v>
      </c>
      <c r="CZ38" s="34">
        <f t="shared" si="9"/>
        <v>0</v>
      </c>
      <c r="DA38" s="188">
        <f t="shared" si="10"/>
        <v>0</v>
      </c>
      <c r="DB38" s="189">
        <f t="shared" si="11"/>
        <v>37161</v>
      </c>
      <c r="DC38" s="188">
        <f t="shared" si="12"/>
        <v>0</v>
      </c>
      <c r="DD38" s="190">
        <v>16</v>
      </c>
      <c r="DE38" s="188">
        <v>1</v>
      </c>
      <c r="DF38" s="170">
        <f t="shared" si="13"/>
        <v>0</v>
      </c>
      <c r="DG38" s="170">
        <f t="shared" si="14"/>
        <v>0</v>
      </c>
      <c r="DH38" s="170">
        <f t="shared" si="15"/>
        <v>0</v>
      </c>
      <c r="DI38" s="170">
        <f t="shared" si="16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7"/>
        <v>1</v>
      </c>
    </row>
    <row r="39" spans="1:124" ht="18.75" x14ac:dyDescent="0.3">
      <c r="A39" s="80">
        <f>'NYISO A'!A39</f>
        <v>37162</v>
      </c>
      <c r="B39" s="114">
        <f>[4]Nepool!$L30/16</f>
        <v>-198.99775695800781</v>
      </c>
      <c r="C39" s="35">
        <f t="shared" si="0"/>
        <v>0</v>
      </c>
      <c r="D39" s="36">
        <f t="shared" si="18"/>
        <v>0</v>
      </c>
      <c r="E39" s="23">
        <f t="shared" si="19"/>
        <v>-198.99775695800781</v>
      </c>
      <c r="F39" s="24">
        <f>[4]Nepool!$C30</f>
        <v>38</v>
      </c>
      <c r="G39" s="38">
        <f t="shared" si="1"/>
        <v>1.1700000000000017</v>
      </c>
      <c r="H39" s="39">
        <f t="shared" si="2"/>
        <v>39.17</v>
      </c>
      <c r="I39" s="36">
        <f t="shared" si="3"/>
        <v>-3725.2380102539119</v>
      </c>
      <c r="J39" s="27">
        <f t="shared" si="4"/>
        <v>0</v>
      </c>
      <c r="K39" s="40">
        <f t="shared" si="20"/>
        <v>-3725.2380102539119</v>
      </c>
      <c r="L39" s="172"/>
      <c r="M39" s="28">
        <f t="shared" si="5"/>
        <v>37162</v>
      </c>
      <c r="N39" s="210">
        <v>39.17</v>
      </c>
      <c r="O39" s="210">
        <v>39.17</v>
      </c>
      <c r="P39" s="29">
        <f t="shared" si="21"/>
        <v>1.1700000000000017</v>
      </c>
      <c r="Q39" s="213"/>
      <c r="R39" s="215">
        <f t="shared" si="6"/>
        <v>39.17</v>
      </c>
      <c r="S39" s="172"/>
      <c r="T39" s="172"/>
      <c r="U39" s="175"/>
      <c r="V39" s="30">
        <f t="shared" si="7"/>
        <v>37162</v>
      </c>
      <c r="W39" s="177"/>
      <c r="X39" s="178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219"/>
      <c r="AS39" s="177"/>
      <c r="AT39" s="178"/>
      <c r="AU39" s="94"/>
      <c r="AV39" s="95"/>
      <c r="AW39" s="177"/>
      <c r="AX39" s="178"/>
      <c r="AY39" s="31"/>
      <c r="AZ39" s="32"/>
      <c r="BA39" s="177"/>
      <c r="BB39" s="178"/>
      <c r="BC39" s="31"/>
      <c r="BD39" s="32"/>
      <c r="BE39" s="177"/>
      <c r="BF39" s="178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8"/>
        <v>0</v>
      </c>
      <c r="CZ39" s="34">
        <f t="shared" si="9"/>
        <v>0</v>
      </c>
      <c r="DA39" s="188">
        <f t="shared" si="10"/>
        <v>0</v>
      </c>
      <c r="DB39" s="189">
        <f t="shared" si="11"/>
        <v>37162</v>
      </c>
      <c r="DC39" s="188">
        <f t="shared" si="12"/>
        <v>0</v>
      </c>
      <c r="DD39" s="190">
        <v>16</v>
      </c>
      <c r="DE39" s="188">
        <v>1</v>
      </c>
      <c r="DF39" s="170">
        <f t="shared" si="13"/>
        <v>0</v>
      </c>
      <c r="DG39" s="170">
        <f t="shared" si="14"/>
        <v>0</v>
      </c>
      <c r="DH39" s="170">
        <f t="shared" si="15"/>
        <v>0</v>
      </c>
      <c r="DI39" s="170">
        <f t="shared" si="16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7"/>
        <v>1</v>
      </c>
    </row>
    <row r="40" spans="1:124" ht="18.75" x14ac:dyDescent="0.3">
      <c r="A40" s="80">
        <f>'NYISO A'!A40</f>
        <v>37163</v>
      </c>
      <c r="B40" s="114">
        <f>[4]Nepool!$L31/16</f>
        <v>0</v>
      </c>
      <c r="C40" s="22">
        <f t="shared" si="0"/>
        <v>0</v>
      </c>
      <c r="D40" s="21">
        <f t="shared" si="18"/>
        <v>0</v>
      </c>
      <c r="E40" s="23">
        <f t="shared" si="19"/>
        <v>0</v>
      </c>
      <c r="F40" s="24">
        <f>[4]Nepool!$C31</f>
        <v>35</v>
      </c>
      <c r="G40" s="24">
        <f t="shared" si="1"/>
        <v>4.1700000000000017</v>
      </c>
      <c r="H40" s="25">
        <f t="shared" si="2"/>
        <v>39.17</v>
      </c>
      <c r="I40" s="26">
        <f t="shared" si="3"/>
        <v>0</v>
      </c>
      <c r="J40" s="27">
        <f t="shared" si="4"/>
        <v>0</v>
      </c>
      <c r="K40" s="27">
        <f t="shared" si="20"/>
        <v>0</v>
      </c>
      <c r="L40" s="172"/>
      <c r="M40" s="28">
        <f t="shared" si="5"/>
        <v>37163</v>
      </c>
      <c r="N40" s="210">
        <v>39.17</v>
      </c>
      <c r="O40" s="210">
        <v>39.17</v>
      </c>
      <c r="P40" s="29">
        <f t="shared" si="21"/>
        <v>4.1700000000000017</v>
      </c>
      <c r="Q40" s="213"/>
      <c r="R40" s="215">
        <f t="shared" si="6"/>
        <v>39.17</v>
      </c>
      <c r="S40" s="172"/>
      <c r="T40" s="172"/>
      <c r="U40" s="175"/>
      <c r="V40" s="30">
        <f t="shared" si="7"/>
        <v>37163</v>
      </c>
      <c r="W40" s="177"/>
      <c r="X40" s="178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219"/>
      <c r="AS40" s="177"/>
      <c r="AT40" s="178"/>
      <c r="AU40" s="94"/>
      <c r="AV40" s="95"/>
      <c r="AW40" s="177"/>
      <c r="AX40" s="178"/>
      <c r="AY40" s="31"/>
      <c r="AZ40" s="32"/>
      <c r="BA40" s="177"/>
      <c r="BB40" s="222"/>
      <c r="BC40" s="31"/>
      <c r="BD40" s="32"/>
      <c r="BE40" s="177"/>
      <c r="BF40" s="178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8"/>
        <v>0</v>
      </c>
      <c r="CZ40" s="34">
        <f t="shared" si="9"/>
        <v>0</v>
      </c>
      <c r="DA40" s="188">
        <f t="shared" si="10"/>
        <v>0</v>
      </c>
      <c r="DB40" s="189">
        <f t="shared" si="11"/>
        <v>37163</v>
      </c>
      <c r="DC40" s="188">
        <f t="shared" si="12"/>
        <v>0</v>
      </c>
      <c r="DD40" s="190">
        <v>16</v>
      </c>
      <c r="DE40" s="188">
        <v>1</v>
      </c>
      <c r="DF40" s="170">
        <f t="shared" si="13"/>
        <v>0</v>
      </c>
      <c r="DG40" s="170">
        <f t="shared" si="14"/>
        <v>0</v>
      </c>
      <c r="DH40" s="170">
        <f t="shared" si="15"/>
        <v>0</v>
      </c>
      <c r="DI40" s="170">
        <f t="shared" si="16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7"/>
        <v>1</v>
      </c>
    </row>
    <row r="41" spans="1:124" ht="18.75" x14ac:dyDescent="0.3">
      <c r="A41" s="80">
        <f>'NYISO A'!A41</f>
        <v>37164</v>
      </c>
      <c r="B41" s="114">
        <f>[4]Nepool!$L32/16</f>
        <v>0</v>
      </c>
      <c r="C41" s="35">
        <f t="shared" si="0"/>
        <v>0</v>
      </c>
      <c r="D41" s="36">
        <f t="shared" si="18"/>
        <v>0</v>
      </c>
      <c r="E41" s="23">
        <f t="shared" si="19"/>
        <v>0</v>
      </c>
      <c r="F41" s="24">
        <f>[4]Nepool!$C32</f>
        <v>35</v>
      </c>
      <c r="G41" s="38">
        <f t="shared" si="1"/>
        <v>4.1700000000000017</v>
      </c>
      <c r="H41" s="39">
        <f t="shared" si="2"/>
        <v>39.17</v>
      </c>
      <c r="I41" s="36">
        <f t="shared" si="3"/>
        <v>0</v>
      </c>
      <c r="J41" s="27">
        <f t="shared" si="4"/>
        <v>0</v>
      </c>
      <c r="K41" s="40">
        <f t="shared" si="20"/>
        <v>0</v>
      </c>
      <c r="L41" s="172"/>
      <c r="M41" s="28">
        <f t="shared" si="5"/>
        <v>37164</v>
      </c>
      <c r="N41" s="210">
        <v>39.17</v>
      </c>
      <c r="O41" s="210">
        <v>39.17</v>
      </c>
      <c r="P41" s="29">
        <f t="shared" si="21"/>
        <v>4.1700000000000017</v>
      </c>
      <c r="Q41" s="213"/>
      <c r="R41" s="215">
        <f t="shared" si="6"/>
        <v>39.17</v>
      </c>
      <c r="S41" s="172"/>
      <c r="T41" s="172"/>
      <c r="U41" s="175"/>
      <c r="V41" s="30">
        <f t="shared" si="7"/>
        <v>37164</v>
      </c>
      <c r="W41" s="177"/>
      <c r="X41" s="178"/>
      <c r="Y41" s="177"/>
      <c r="Z41" s="178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219"/>
      <c r="AS41" s="177"/>
      <c r="AT41" s="219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8"/>
        <v>0</v>
      </c>
      <c r="CZ41" s="34">
        <f t="shared" si="9"/>
        <v>0</v>
      </c>
      <c r="DA41" s="188">
        <f t="shared" si="10"/>
        <v>0</v>
      </c>
      <c r="DB41" s="189">
        <f t="shared" si="11"/>
        <v>37164</v>
      </c>
      <c r="DC41" s="188">
        <f t="shared" si="12"/>
        <v>0</v>
      </c>
      <c r="DD41" s="190">
        <v>16</v>
      </c>
      <c r="DE41" s="188">
        <v>1</v>
      </c>
      <c r="DF41" s="170">
        <f t="shared" si="13"/>
        <v>0</v>
      </c>
      <c r="DG41" s="170">
        <f t="shared" si="14"/>
        <v>0</v>
      </c>
      <c r="DH41" s="170">
        <f t="shared" si="15"/>
        <v>0</v>
      </c>
      <c r="DI41" s="170">
        <f t="shared" si="16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7"/>
        <v>1</v>
      </c>
    </row>
    <row r="42" spans="1:124" ht="18.75" x14ac:dyDescent="0.3">
      <c r="A42" s="80">
        <f>'NYISO A'!A42</f>
        <v>37165</v>
      </c>
      <c r="B42" s="114">
        <f>[4]Nepool!$L33/16</f>
        <v>0</v>
      </c>
      <c r="C42" s="22">
        <f t="shared" si="0"/>
        <v>0</v>
      </c>
      <c r="D42" s="21">
        <f t="shared" si="18"/>
        <v>0</v>
      </c>
      <c r="E42" s="23">
        <f t="shared" si="19"/>
        <v>0</v>
      </c>
      <c r="F42" s="24">
        <f>[4]Nepool!$C33</f>
        <v>38</v>
      </c>
      <c r="G42" s="24">
        <f t="shared" si="1"/>
        <v>1.1700000000000017</v>
      </c>
      <c r="H42" s="25">
        <f t="shared" si="2"/>
        <v>39.17</v>
      </c>
      <c r="I42" s="26">
        <f t="shared" si="3"/>
        <v>0</v>
      </c>
      <c r="J42" s="27">
        <f t="shared" si="4"/>
        <v>0</v>
      </c>
      <c r="K42" s="27">
        <f t="shared" si="20"/>
        <v>0</v>
      </c>
      <c r="L42" s="172"/>
      <c r="M42" s="28">
        <f t="shared" si="5"/>
        <v>37165</v>
      </c>
      <c r="N42" s="210">
        <v>39.17</v>
      </c>
      <c r="O42" s="210">
        <v>39.17</v>
      </c>
      <c r="P42" s="29">
        <f t="shared" si="21"/>
        <v>1.1700000000000017</v>
      </c>
      <c r="Q42" s="213"/>
      <c r="R42" s="215">
        <f t="shared" si="6"/>
        <v>39.17</v>
      </c>
      <c r="S42" s="172"/>
      <c r="T42" s="172"/>
      <c r="U42" s="175"/>
      <c r="V42" s="30">
        <f t="shared" si="7"/>
        <v>37165</v>
      </c>
      <c r="W42" s="177"/>
      <c r="X42" s="178"/>
      <c r="Y42" s="177"/>
      <c r="Z42" s="178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219"/>
      <c r="AS42" s="177"/>
      <c r="AT42" s="219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8"/>
        <v>0</v>
      </c>
      <c r="CZ42" s="34">
        <f t="shared" si="9"/>
        <v>0</v>
      </c>
      <c r="DA42" s="188">
        <f t="shared" si="10"/>
        <v>0</v>
      </c>
      <c r="DB42" s="189">
        <f t="shared" si="11"/>
        <v>37165</v>
      </c>
      <c r="DC42" s="188">
        <f t="shared" si="12"/>
        <v>0</v>
      </c>
      <c r="DD42" s="190">
        <v>16</v>
      </c>
      <c r="DE42" s="188">
        <v>1</v>
      </c>
      <c r="DF42" s="170">
        <f t="shared" si="13"/>
        <v>0</v>
      </c>
      <c r="DG42" s="170">
        <f t="shared" si="14"/>
        <v>0</v>
      </c>
      <c r="DH42" s="170">
        <f t="shared" si="15"/>
        <v>0</v>
      </c>
      <c r="DI42" s="170">
        <f t="shared" si="16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7"/>
        <v>0</v>
      </c>
      <c r="DS42" s="172"/>
      <c r="DT42" s="172"/>
    </row>
    <row r="43" spans="1:124" ht="19.5" thickBot="1" x14ac:dyDescent="0.35">
      <c r="A43" s="80">
        <f>'NYISO A'!A43</f>
        <v>37195</v>
      </c>
      <c r="B43" s="365">
        <f>[4]Nepool!$L34</f>
        <v>0</v>
      </c>
      <c r="C43" s="35">
        <f t="shared" si="0"/>
        <v>0</v>
      </c>
      <c r="D43" s="36">
        <f t="shared" si="18"/>
        <v>0</v>
      </c>
      <c r="E43" s="37">
        <f t="shared" si="19"/>
        <v>0</v>
      </c>
      <c r="F43" s="24">
        <f>[4]Nepool!$C34</f>
        <v>38</v>
      </c>
      <c r="G43" s="38">
        <f t="shared" si="1"/>
        <v>1.25</v>
      </c>
      <c r="H43" s="39">
        <f t="shared" si="2"/>
        <v>39.25</v>
      </c>
      <c r="I43" s="400">
        <f>B43*G43</f>
        <v>0</v>
      </c>
      <c r="J43" s="40">
        <f t="shared" si="4"/>
        <v>0</v>
      </c>
      <c r="K43" s="40">
        <f t="shared" si="20"/>
        <v>0</v>
      </c>
      <c r="L43" s="172"/>
      <c r="M43" s="28">
        <f t="shared" si="5"/>
        <v>37195</v>
      </c>
      <c r="N43" s="210">
        <v>39.25</v>
      </c>
      <c r="O43" s="210">
        <v>39.25</v>
      </c>
      <c r="P43" s="29">
        <f t="shared" si="21"/>
        <v>1.25</v>
      </c>
      <c r="Q43" s="213"/>
      <c r="R43" s="215">
        <f t="shared" si="6"/>
        <v>39.25</v>
      </c>
      <c r="S43" s="172"/>
      <c r="T43" s="172"/>
      <c r="U43" s="175"/>
      <c r="V43" s="28">
        <f t="shared" si="7"/>
        <v>37195</v>
      </c>
      <c r="W43" s="177"/>
      <c r="X43" s="17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8"/>
        <v>0</v>
      </c>
      <c r="CZ43" s="236">
        <f t="shared" si="9"/>
        <v>0</v>
      </c>
      <c r="DA43" s="188">
        <f t="shared" si="10"/>
        <v>0</v>
      </c>
      <c r="DB43" s="189">
        <f t="shared" si="11"/>
        <v>37195</v>
      </c>
      <c r="DC43" s="188">
        <f t="shared" si="12"/>
        <v>0</v>
      </c>
      <c r="DD43" s="190">
        <f>16</f>
        <v>16</v>
      </c>
      <c r="DE43" s="188">
        <v>1</v>
      </c>
      <c r="DF43" s="170">
        <f t="shared" si="13"/>
        <v>0</v>
      </c>
      <c r="DG43" s="170">
        <f t="shared" si="14"/>
        <v>0</v>
      </c>
      <c r="DH43" s="170">
        <f t="shared" si="15"/>
        <v>0</v>
      </c>
      <c r="DI43" s="170">
        <f t="shared" si="16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9.5" thickBot="1" x14ac:dyDescent="0.35">
      <c r="A44" s="144">
        <f>'NYISO A'!A44</f>
        <v>37196</v>
      </c>
      <c r="B44" s="118">
        <v>0</v>
      </c>
      <c r="C44" s="120">
        <f t="shared" si="0"/>
        <v>0</v>
      </c>
      <c r="D44" s="115">
        <f t="shared" si="18"/>
        <v>0</v>
      </c>
      <c r="E44" s="116">
        <f t="shared" si="19"/>
        <v>0</v>
      </c>
      <c r="F44" s="138">
        <f>[4]Nepool!$C35</f>
        <v>39</v>
      </c>
      <c r="G44" s="141">
        <f t="shared" si="1"/>
        <v>40</v>
      </c>
      <c r="H44" s="135">
        <f t="shared" si="2"/>
        <v>79</v>
      </c>
      <c r="I44" s="270">
        <f t="shared" ref="I44:I55" si="22">B44*G44*DD44*DR44</f>
        <v>0</v>
      </c>
      <c r="J44" s="275">
        <f>+(W44*(H44-X44)+Y44*(H44-Z44)+AA44*(H44-AB44))*DD44*DR44</f>
        <v>0</v>
      </c>
      <c r="K44" s="272">
        <f t="shared" ref="K44:K55" si="23">I44+J44</f>
        <v>0</v>
      </c>
      <c r="L44" s="172"/>
      <c r="M44" s="130">
        <f t="shared" si="5"/>
        <v>37196</v>
      </c>
      <c r="N44" s="138">
        <v>79</v>
      </c>
      <c r="O44" s="138">
        <v>79</v>
      </c>
      <c r="P44" s="131">
        <f t="shared" si="21"/>
        <v>40</v>
      </c>
      <c r="Q44" s="216"/>
      <c r="R44" s="214">
        <f t="shared" si="6"/>
        <v>79</v>
      </c>
      <c r="S44" s="172"/>
      <c r="T44" s="172"/>
      <c r="U44" s="176"/>
      <c r="V44" s="238">
        <f t="shared" si="7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8"/>
        <v>0</v>
      </c>
      <c r="CZ44" s="105">
        <f t="shared" si="9"/>
        <v>0</v>
      </c>
      <c r="DA44" s="188">
        <f t="shared" si="10"/>
        <v>0</v>
      </c>
      <c r="DB44" s="189">
        <f t="shared" si="11"/>
        <v>37196</v>
      </c>
      <c r="DC44" s="188">
        <f t="shared" si="12"/>
        <v>0</v>
      </c>
      <c r="DD44" s="190">
        <f>16</f>
        <v>16</v>
      </c>
      <c r="DE44" s="188">
        <v>1</v>
      </c>
      <c r="DF44" s="170">
        <f t="shared" si="13"/>
        <v>0</v>
      </c>
      <c r="DG44" s="170">
        <f t="shared" si="14"/>
        <v>0</v>
      </c>
      <c r="DH44" s="170">
        <f t="shared" si="15"/>
        <v>0</v>
      </c>
      <c r="DI44" s="170">
        <f t="shared" si="16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9.5" thickBot="1" x14ac:dyDescent="0.35">
      <c r="A45" s="145">
        <f>'NYISO A'!A45</f>
        <v>37226</v>
      </c>
      <c r="B45" s="118">
        <f>[4]Nepool!$L36/16/DR45</f>
        <v>0</v>
      </c>
      <c r="C45" s="85">
        <f t="shared" si="0"/>
        <v>0</v>
      </c>
      <c r="D45" s="106">
        <f t="shared" si="18"/>
        <v>0</v>
      </c>
      <c r="E45" s="122">
        <f t="shared" si="19"/>
        <v>0</v>
      </c>
      <c r="F45" s="139">
        <f>[4]Nepool!$C36</f>
        <v>41.5</v>
      </c>
      <c r="G45" s="142">
        <f t="shared" si="1"/>
        <v>15.75</v>
      </c>
      <c r="H45" s="136">
        <f t="shared" si="2"/>
        <v>57.25</v>
      </c>
      <c r="I45" s="270">
        <f t="shared" si="22"/>
        <v>0</v>
      </c>
      <c r="J45" s="276">
        <f t="shared" ref="J45:J55" si="24">+(W45*(H45-X45)+Y45*(H45-Z45)+AA45*(H45-AB45))*DD45*DR45</f>
        <v>0</v>
      </c>
      <c r="K45" s="273">
        <f t="shared" si="23"/>
        <v>0</v>
      </c>
      <c r="L45" s="172"/>
      <c r="M45" s="132">
        <f t="shared" si="5"/>
        <v>37226</v>
      </c>
      <c r="N45" s="139">
        <v>57.25</v>
      </c>
      <c r="O45" s="139">
        <v>57.25</v>
      </c>
      <c r="P45" s="29">
        <f t="shared" si="21"/>
        <v>15.75</v>
      </c>
      <c r="Q45" s="213"/>
      <c r="R45" s="215">
        <f t="shared" si="6"/>
        <v>57.25</v>
      </c>
      <c r="S45" s="172"/>
      <c r="T45" s="172"/>
      <c r="U45" s="176"/>
      <c r="V45" s="237">
        <f t="shared" si="7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104">
        <f t="shared" ref="CY45:CY55" si="25">W45+Y45+AA45+AC45+AE45+AG45+AI45+AK45+AM45+AO45+AQ45+AS45+AU45+AW45+AY45+BA45+BC45+BE45+BG45+BI45+BK45+BM45+BO45+BQ45+BS45+BU45+BW45+BY45+CA45+CC45+CE45+CG45+CI45+CK45+CM45+CO45+CQ45+CS45+CU45+CW45</f>
        <v>0</v>
      </c>
      <c r="CZ45" s="105">
        <f t="shared" ref="CZ45:CZ55" si="26">IF(AND(CY45=0,DC45=0),0,(DF45+DG45)/DC45)</f>
        <v>0</v>
      </c>
      <c r="DB45" s="189">
        <f t="shared" si="11"/>
        <v>37226</v>
      </c>
      <c r="DC45" s="188">
        <f t="shared" si="12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9.5" thickBot="1" x14ac:dyDescent="0.35">
      <c r="A46" s="145">
        <f>'NYISO A'!A46</f>
        <v>37257</v>
      </c>
      <c r="B46" s="118">
        <f>[4]Nepool!$L37/16/DR46</f>
        <v>0</v>
      </c>
      <c r="C46" s="85">
        <f t="shared" si="0"/>
        <v>0</v>
      </c>
      <c r="D46" s="106">
        <f t="shared" si="18"/>
        <v>0</v>
      </c>
      <c r="E46" s="122">
        <f t="shared" si="19"/>
        <v>0</v>
      </c>
      <c r="F46" s="139">
        <f>[4]Nepool!$C37</f>
        <v>45.5</v>
      </c>
      <c r="G46" s="142">
        <f t="shared" si="1"/>
        <v>6.5</v>
      </c>
      <c r="H46" s="136">
        <f t="shared" si="2"/>
        <v>52</v>
      </c>
      <c r="I46" s="270">
        <f t="shared" si="22"/>
        <v>0</v>
      </c>
      <c r="J46" s="276">
        <f t="shared" si="24"/>
        <v>0</v>
      </c>
      <c r="K46" s="273">
        <f t="shared" si="23"/>
        <v>0</v>
      </c>
      <c r="L46" s="172"/>
      <c r="M46" s="132">
        <f t="shared" si="5"/>
        <v>37257</v>
      </c>
      <c r="N46" s="139">
        <v>52</v>
      </c>
      <c r="O46" s="139">
        <v>52</v>
      </c>
      <c r="P46" s="29">
        <f t="shared" si="21"/>
        <v>6.5</v>
      </c>
      <c r="Q46" s="213"/>
      <c r="R46" s="215">
        <f t="shared" si="6"/>
        <v>52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104">
        <f t="shared" si="25"/>
        <v>0</v>
      </c>
      <c r="CZ46" s="105">
        <f t="shared" si="26"/>
        <v>0</v>
      </c>
      <c r="DB46" s="189">
        <f t="shared" si="11"/>
        <v>37257</v>
      </c>
      <c r="DC46" s="188">
        <f t="shared" si="12"/>
        <v>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9.5" thickBot="1" x14ac:dyDescent="0.35">
      <c r="A47" s="145">
        <f>'NYISO A'!A47</f>
        <v>37288</v>
      </c>
      <c r="B47" s="118">
        <f>[4]Nepool!$L38/16/DR47</f>
        <v>0</v>
      </c>
      <c r="C47" s="85">
        <f t="shared" si="0"/>
        <v>0</v>
      </c>
      <c r="D47" s="106">
        <f t="shared" si="18"/>
        <v>0</v>
      </c>
      <c r="E47" s="122">
        <f t="shared" si="19"/>
        <v>0</v>
      </c>
      <c r="F47" s="139">
        <f>[4]Nepool!$C38</f>
        <v>45.5</v>
      </c>
      <c r="G47" s="142">
        <f t="shared" si="1"/>
        <v>10.5</v>
      </c>
      <c r="H47" s="136">
        <f t="shared" si="2"/>
        <v>56</v>
      </c>
      <c r="I47" s="270">
        <f t="shared" si="22"/>
        <v>0</v>
      </c>
      <c r="J47" s="276">
        <f t="shared" si="24"/>
        <v>0</v>
      </c>
      <c r="K47" s="273">
        <f t="shared" si="23"/>
        <v>0</v>
      </c>
      <c r="L47" s="172"/>
      <c r="M47" s="132">
        <f t="shared" si="5"/>
        <v>37288</v>
      </c>
      <c r="N47" s="139">
        <v>56</v>
      </c>
      <c r="O47" s="139">
        <v>56</v>
      </c>
      <c r="P47" s="29">
        <f t="shared" si="21"/>
        <v>10.5</v>
      </c>
      <c r="Q47" s="213"/>
      <c r="R47" s="215">
        <f t="shared" si="6"/>
        <v>56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104">
        <f t="shared" si="25"/>
        <v>0</v>
      </c>
      <c r="CZ47" s="105">
        <f t="shared" si="26"/>
        <v>0</v>
      </c>
      <c r="DB47" s="189">
        <f t="shared" si="11"/>
        <v>37288</v>
      </c>
      <c r="DC47" s="188">
        <f t="shared" si="12"/>
        <v>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9.5" thickBot="1" x14ac:dyDescent="0.35">
      <c r="A48" s="145">
        <f>'NYISO A'!A48</f>
        <v>37316</v>
      </c>
      <c r="B48" s="118">
        <f>[4]Nepool!$L39/16/DR48</f>
        <v>0</v>
      </c>
      <c r="C48" s="85">
        <f t="shared" si="0"/>
        <v>0</v>
      </c>
      <c r="D48" s="106">
        <f t="shared" si="18"/>
        <v>0</v>
      </c>
      <c r="E48" s="122">
        <f t="shared" si="19"/>
        <v>0</v>
      </c>
      <c r="F48" s="139">
        <f>[4]Nepool!$C39</f>
        <v>36.75</v>
      </c>
      <c r="G48" s="142">
        <f t="shared" si="1"/>
        <v>36.25</v>
      </c>
      <c r="H48" s="136">
        <f t="shared" si="2"/>
        <v>73</v>
      </c>
      <c r="I48" s="270">
        <f t="shared" si="22"/>
        <v>0</v>
      </c>
      <c r="J48" s="276">
        <f t="shared" si="24"/>
        <v>0</v>
      </c>
      <c r="K48" s="273">
        <f t="shared" si="23"/>
        <v>0</v>
      </c>
      <c r="L48" s="172"/>
      <c r="M48" s="132">
        <f t="shared" si="5"/>
        <v>37316</v>
      </c>
      <c r="N48" s="139">
        <v>73</v>
      </c>
      <c r="O48" s="139">
        <v>73</v>
      </c>
      <c r="P48" s="29">
        <f t="shared" si="21"/>
        <v>36.25</v>
      </c>
      <c r="Q48" s="213"/>
      <c r="R48" s="215">
        <f t="shared" si="6"/>
        <v>73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104">
        <f t="shared" si="25"/>
        <v>0</v>
      </c>
      <c r="CZ48" s="105">
        <f t="shared" si="26"/>
        <v>0</v>
      </c>
      <c r="DB48" s="189">
        <f t="shared" si="11"/>
        <v>37316</v>
      </c>
      <c r="DC48" s="188">
        <f t="shared" si="12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9.5" thickBot="1" x14ac:dyDescent="0.35">
      <c r="A49" s="145">
        <f>'NYISO A'!A49</f>
        <v>37347</v>
      </c>
      <c r="B49" s="118">
        <f>[4]Nepool!$L40/16/DR49</f>
        <v>0</v>
      </c>
      <c r="C49" s="85">
        <f t="shared" si="0"/>
        <v>0</v>
      </c>
      <c r="D49" s="106">
        <f t="shared" si="18"/>
        <v>0</v>
      </c>
      <c r="E49" s="122">
        <f t="shared" si="19"/>
        <v>0</v>
      </c>
      <c r="F49" s="139">
        <f>[4]Nepool!$C40</f>
        <v>36.75</v>
      </c>
      <c r="G49" s="142">
        <f t="shared" si="1"/>
        <v>68.25</v>
      </c>
      <c r="H49" s="136">
        <f t="shared" si="2"/>
        <v>105</v>
      </c>
      <c r="I49" s="270">
        <f t="shared" si="22"/>
        <v>0</v>
      </c>
      <c r="J49" s="276">
        <f t="shared" si="24"/>
        <v>0</v>
      </c>
      <c r="K49" s="273">
        <f t="shared" si="23"/>
        <v>0</v>
      </c>
      <c r="L49" s="172"/>
      <c r="M49" s="132">
        <f t="shared" si="5"/>
        <v>37347</v>
      </c>
      <c r="N49" s="139">
        <v>105</v>
      </c>
      <c r="O49" s="139">
        <v>105</v>
      </c>
      <c r="P49" s="29">
        <f t="shared" si="21"/>
        <v>68.25</v>
      </c>
      <c r="Q49" s="213"/>
      <c r="R49" s="215">
        <f t="shared" si="6"/>
        <v>105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104">
        <f t="shared" si="25"/>
        <v>0</v>
      </c>
      <c r="CZ49" s="105">
        <f t="shared" si="26"/>
        <v>0</v>
      </c>
      <c r="DB49" s="189">
        <f t="shared" si="11"/>
        <v>37347</v>
      </c>
      <c r="DC49" s="188">
        <f t="shared" si="12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9.5" thickBot="1" x14ac:dyDescent="0.35">
      <c r="A50" s="145">
        <f>'NYISO A'!A50</f>
        <v>37377</v>
      </c>
      <c r="B50" s="118">
        <f>[4]Nepool!$L41/16/DR50</f>
        <v>0</v>
      </c>
      <c r="C50" s="85">
        <f t="shared" si="0"/>
        <v>0</v>
      </c>
      <c r="D50" s="106">
        <f t="shared" si="18"/>
        <v>0</v>
      </c>
      <c r="E50" s="122">
        <f t="shared" si="19"/>
        <v>0</v>
      </c>
      <c r="F50" s="139">
        <f>[4]Nepool!$C41</f>
        <v>37</v>
      </c>
      <c r="G50" s="142">
        <f t="shared" si="1"/>
        <v>68</v>
      </c>
      <c r="H50" s="136">
        <f t="shared" si="2"/>
        <v>105</v>
      </c>
      <c r="I50" s="270">
        <f t="shared" si="22"/>
        <v>0</v>
      </c>
      <c r="J50" s="276">
        <f t="shared" si="24"/>
        <v>0</v>
      </c>
      <c r="K50" s="273">
        <f t="shared" si="23"/>
        <v>0</v>
      </c>
      <c r="L50" s="172"/>
      <c r="M50" s="132">
        <f t="shared" si="5"/>
        <v>37377</v>
      </c>
      <c r="N50" s="139">
        <v>105</v>
      </c>
      <c r="O50" s="139">
        <v>105</v>
      </c>
      <c r="P50" s="29">
        <f t="shared" si="21"/>
        <v>68</v>
      </c>
      <c r="Q50" s="213"/>
      <c r="R50" s="215">
        <f t="shared" si="6"/>
        <v>105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104">
        <f t="shared" si="25"/>
        <v>0</v>
      </c>
      <c r="CZ50" s="105">
        <f t="shared" si="26"/>
        <v>0</v>
      </c>
      <c r="DB50" s="189">
        <f t="shared" si="11"/>
        <v>37377</v>
      </c>
      <c r="DC50" s="188">
        <f t="shared" si="12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9.5" thickBot="1" x14ac:dyDescent="0.35">
      <c r="A51" s="145">
        <f>'NYISO A'!A51</f>
        <v>37408</v>
      </c>
      <c r="B51" s="118">
        <f>[4]Nepool!$L42/16/DR51</f>
        <v>0</v>
      </c>
      <c r="C51" s="85">
        <f t="shared" si="0"/>
        <v>0</v>
      </c>
      <c r="D51" s="106">
        <f t="shared" si="18"/>
        <v>0</v>
      </c>
      <c r="E51" s="122">
        <f t="shared" si="19"/>
        <v>0</v>
      </c>
      <c r="F51" s="139">
        <f>[4]Nepool!$C42</f>
        <v>44.75</v>
      </c>
      <c r="G51" s="142">
        <f t="shared" si="1"/>
        <v>8.25</v>
      </c>
      <c r="H51" s="136">
        <f t="shared" si="2"/>
        <v>53</v>
      </c>
      <c r="I51" s="270">
        <f t="shared" si="22"/>
        <v>0</v>
      </c>
      <c r="J51" s="276">
        <f t="shared" si="24"/>
        <v>0</v>
      </c>
      <c r="K51" s="273">
        <f t="shared" si="23"/>
        <v>0</v>
      </c>
      <c r="L51" s="172"/>
      <c r="M51" s="132">
        <f t="shared" si="5"/>
        <v>37408</v>
      </c>
      <c r="N51" s="139">
        <v>53</v>
      </c>
      <c r="O51" s="139">
        <v>53</v>
      </c>
      <c r="P51" s="29">
        <f t="shared" si="21"/>
        <v>8.25</v>
      </c>
      <c r="Q51" s="213"/>
      <c r="R51" s="215">
        <f t="shared" si="6"/>
        <v>53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104">
        <f t="shared" si="25"/>
        <v>0</v>
      </c>
      <c r="CZ51" s="105">
        <f t="shared" si="26"/>
        <v>0</v>
      </c>
      <c r="DB51" s="189">
        <f t="shared" si="11"/>
        <v>37408</v>
      </c>
      <c r="DC51" s="188">
        <f t="shared" si="12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9.5" thickBot="1" x14ac:dyDescent="0.35">
      <c r="A52" s="145">
        <f>'NYISO A'!A52</f>
        <v>37438</v>
      </c>
      <c r="B52" s="118">
        <f>[4]Nepool!$L43/16/DR52</f>
        <v>0</v>
      </c>
      <c r="C52" s="85">
        <f t="shared" si="0"/>
        <v>0</v>
      </c>
      <c r="D52" s="106">
        <f t="shared" si="18"/>
        <v>0</v>
      </c>
      <c r="E52" s="122">
        <f t="shared" si="19"/>
        <v>0</v>
      </c>
      <c r="F52" s="139">
        <f>[4]Nepool!$C43</f>
        <v>58.5</v>
      </c>
      <c r="G52" s="142">
        <f t="shared" si="1"/>
        <v>-8.25</v>
      </c>
      <c r="H52" s="136">
        <f t="shared" si="2"/>
        <v>50.25</v>
      </c>
      <c r="I52" s="270">
        <f t="shared" si="22"/>
        <v>0</v>
      </c>
      <c r="J52" s="276">
        <f t="shared" si="24"/>
        <v>0</v>
      </c>
      <c r="K52" s="273">
        <f t="shared" si="23"/>
        <v>0</v>
      </c>
      <c r="L52" s="172"/>
      <c r="M52" s="132">
        <f t="shared" si="5"/>
        <v>37438</v>
      </c>
      <c r="N52" s="139">
        <v>50.25</v>
      </c>
      <c r="O52" s="139">
        <v>50.25</v>
      </c>
      <c r="P52" s="29">
        <f t="shared" si="21"/>
        <v>-8.25</v>
      </c>
      <c r="Q52" s="213"/>
      <c r="R52" s="215">
        <f t="shared" si="6"/>
        <v>50.25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104">
        <f t="shared" si="25"/>
        <v>0</v>
      </c>
      <c r="CZ52" s="105">
        <f t="shared" si="26"/>
        <v>0</v>
      </c>
      <c r="DB52" s="189">
        <f t="shared" si="11"/>
        <v>37438</v>
      </c>
      <c r="DC52" s="188">
        <f t="shared" si="12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9.5" thickBot="1" x14ac:dyDescent="0.35">
      <c r="A53" s="145">
        <f>'NYISO A'!A53</f>
        <v>37469</v>
      </c>
      <c r="B53" s="118">
        <f>[4]Nepool!$L44/16/DR53</f>
        <v>0</v>
      </c>
      <c r="C53" s="85">
        <f t="shared" si="0"/>
        <v>0</v>
      </c>
      <c r="D53" s="106">
        <f t="shared" si="18"/>
        <v>0</v>
      </c>
      <c r="E53" s="122">
        <f t="shared" si="19"/>
        <v>0</v>
      </c>
      <c r="F53" s="139">
        <f>[4]Nepool!$C44</f>
        <v>58.5</v>
      </c>
      <c r="G53" s="142">
        <f t="shared" si="1"/>
        <v>-6.75</v>
      </c>
      <c r="H53" s="136">
        <f t="shared" si="2"/>
        <v>51.75</v>
      </c>
      <c r="I53" s="270">
        <f t="shared" si="22"/>
        <v>0</v>
      </c>
      <c r="J53" s="276">
        <f t="shared" si="24"/>
        <v>0</v>
      </c>
      <c r="K53" s="273">
        <f t="shared" si="23"/>
        <v>0</v>
      </c>
      <c r="L53" s="172"/>
      <c r="M53" s="132">
        <f t="shared" si="5"/>
        <v>37469</v>
      </c>
      <c r="N53" s="139">
        <v>51.75</v>
      </c>
      <c r="O53" s="139">
        <v>51.75</v>
      </c>
      <c r="P53" s="29">
        <f t="shared" si="21"/>
        <v>-6.75</v>
      </c>
      <c r="Q53" s="213"/>
      <c r="R53" s="215">
        <f t="shared" si="6"/>
        <v>51.75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104">
        <f t="shared" si="25"/>
        <v>0</v>
      </c>
      <c r="CZ53" s="105">
        <f t="shared" si="26"/>
        <v>0</v>
      </c>
      <c r="DB53" s="189">
        <f t="shared" si="11"/>
        <v>37469</v>
      </c>
      <c r="DC53" s="188">
        <f t="shared" si="12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9.5" thickBot="1" x14ac:dyDescent="0.35">
      <c r="A54" s="145">
        <f>'NYISO A'!A54</f>
        <v>37500</v>
      </c>
      <c r="B54" s="118">
        <f>[4]Nepool!$L45/16/DR54</f>
        <v>0</v>
      </c>
      <c r="C54" s="85">
        <f t="shared" si="0"/>
        <v>0</v>
      </c>
      <c r="D54" s="106">
        <f t="shared" si="18"/>
        <v>0</v>
      </c>
      <c r="E54" s="122">
        <f t="shared" si="19"/>
        <v>0</v>
      </c>
      <c r="F54" s="139">
        <f>[4]Nepool!$C45</f>
        <v>36.25</v>
      </c>
      <c r="G54" s="142">
        <f t="shared" si="1"/>
        <v>17</v>
      </c>
      <c r="H54" s="136">
        <f t="shared" si="2"/>
        <v>53.25</v>
      </c>
      <c r="I54" s="270">
        <f t="shared" si="22"/>
        <v>0</v>
      </c>
      <c r="J54" s="276">
        <f t="shared" si="24"/>
        <v>0</v>
      </c>
      <c r="K54" s="273">
        <f t="shared" si="23"/>
        <v>0</v>
      </c>
      <c r="L54" s="172"/>
      <c r="M54" s="132">
        <f t="shared" si="5"/>
        <v>37500</v>
      </c>
      <c r="N54" s="139">
        <v>53.25</v>
      </c>
      <c r="O54" s="139">
        <v>53.25</v>
      </c>
      <c r="P54" s="29">
        <f t="shared" si="21"/>
        <v>17</v>
      </c>
      <c r="Q54" s="213"/>
      <c r="R54" s="215">
        <f t="shared" si="6"/>
        <v>53.25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104">
        <f t="shared" si="25"/>
        <v>0</v>
      </c>
      <c r="CZ54" s="105">
        <f t="shared" si="26"/>
        <v>0</v>
      </c>
      <c r="DB54" s="189">
        <f t="shared" si="11"/>
        <v>37500</v>
      </c>
      <c r="DC54" s="188">
        <f t="shared" si="12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9.5" thickBot="1" x14ac:dyDescent="0.35">
      <c r="A55" s="145">
        <f>'NYISO A'!A55</f>
        <v>37530</v>
      </c>
      <c r="B55" s="118">
        <f>[4]Nepool!$L46/16/DR55</f>
        <v>0</v>
      </c>
      <c r="C55" s="85">
        <f t="shared" si="0"/>
        <v>0</v>
      </c>
      <c r="D55" s="106">
        <f t="shared" si="18"/>
        <v>0</v>
      </c>
      <c r="E55" s="122">
        <f t="shared" si="19"/>
        <v>0</v>
      </c>
      <c r="F55" s="139">
        <f>[4]Nepool!$C46</f>
        <v>34.75</v>
      </c>
      <c r="G55" s="142">
        <f t="shared" si="1"/>
        <v>38.75</v>
      </c>
      <c r="H55" s="136">
        <f t="shared" si="2"/>
        <v>73.5</v>
      </c>
      <c r="I55" s="270">
        <f t="shared" si="22"/>
        <v>0</v>
      </c>
      <c r="J55" s="276">
        <f t="shared" si="24"/>
        <v>0</v>
      </c>
      <c r="K55" s="273">
        <f t="shared" si="23"/>
        <v>0</v>
      </c>
      <c r="L55" s="172"/>
      <c r="M55" s="132">
        <f t="shared" si="5"/>
        <v>37530</v>
      </c>
      <c r="N55" s="139">
        <v>73.5</v>
      </c>
      <c r="O55" s="139">
        <v>73.5</v>
      </c>
      <c r="P55" s="29">
        <f t="shared" si="21"/>
        <v>38.75</v>
      </c>
      <c r="Q55" s="213"/>
      <c r="R55" s="215">
        <f t="shared" si="6"/>
        <v>73.5</v>
      </c>
      <c r="S55" s="172"/>
      <c r="T55" s="172"/>
      <c r="U55" s="176"/>
      <c r="V55" s="132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499">
        <f t="shared" si="25"/>
        <v>0</v>
      </c>
      <c r="CZ55" s="500">
        <f t="shared" si="26"/>
        <v>0</v>
      </c>
      <c r="DB55" s="189">
        <f t="shared" si="11"/>
        <v>37530</v>
      </c>
      <c r="DC55" s="188">
        <f t="shared" si="12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9.5" thickBot="1" x14ac:dyDescent="0.35">
      <c r="A56" s="145">
        <f>'NYISO A'!A56</f>
        <v>37561</v>
      </c>
      <c r="B56" s="118">
        <f>[4]Nepool!$L47/16/DR56</f>
        <v>0</v>
      </c>
      <c r="C56" s="85">
        <f>CY56</f>
        <v>0</v>
      </c>
      <c r="D56" s="106">
        <f t="shared" si="18"/>
        <v>0</v>
      </c>
      <c r="E56" s="122">
        <f>B56+C56+D56</f>
        <v>0</v>
      </c>
      <c r="F56" s="139">
        <f>[4]Nepool!$C47</f>
        <v>34.75</v>
      </c>
      <c r="G56" s="142">
        <f>IF($Q$9,Q56,P56)</f>
        <v>4.5</v>
      </c>
      <c r="H56" s="136">
        <f>F56+G56</f>
        <v>39.25</v>
      </c>
      <c r="I56" s="270">
        <f>B56*G56*DD56*DR56</f>
        <v>0</v>
      </c>
      <c r="J56" s="276">
        <f>+(W56*(H56-X56)+Y56*(H56-Z56)+AA56*(H56-AB56))*DD56*DR56</f>
        <v>0</v>
      </c>
      <c r="K56" s="273">
        <f>I56+J56</f>
        <v>0</v>
      </c>
      <c r="L56" s="172"/>
      <c r="M56" s="132">
        <f>A56</f>
        <v>37561</v>
      </c>
      <c r="N56" s="139">
        <v>39.25</v>
      </c>
      <c r="O56" s="139">
        <v>39.25</v>
      </c>
      <c r="P56" s="29">
        <f>AVERAGE(N56:O56)-F56</f>
        <v>4.5</v>
      </c>
      <c r="Q56" s="213"/>
      <c r="R56" s="215">
        <f>H56</f>
        <v>39.25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499">
        <f>W56+Y56+AA56+AC56+AE56+AG56+AI56+AK56+AM56+AO56+AQ56+AS56+AU56+AW56+AY56+BA56+BC56+BE56+BG56+BI56+BK56+BM56+BO56+BQ56+BS56+BU56+BW56+BY56+CA56+CC56+CE56+CG56+CI56+CK56+CM56+CO56+CQ56+CS56+CU56+CW56</f>
        <v>0</v>
      </c>
      <c r="CZ56" s="500">
        <f>IF(AND(CY56=0,DC56=0),0,(DF56+DG56)/DC56)</f>
        <v>0</v>
      </c>
      <c r="DB56" s="189">
        <f t="shared" si="11"/>
        <v>37561</v>
      </c>
      <c r="DC56" s="188">
        <f t="shared" si="12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ht="19.5" thickBot="1" x14ac:dyDescent="0.35">
      <c r="A57" s="145">
        <f>'NYISO A'!A57</f>
        <v>37591</v>
      </c>
      <c r="B57" s="118">
        <v>48</v>
      </c>
      <c r="C57" s="85">
        <f>CY57</f>
        <v>0</v>
      </c>
      <c r="D57" s="106">
        <f t="shared" si="18"/>
        <v>0</v>
      </c>
      <c r="E57" s="122">
        <f>B57+C57+D57</f>
        <v>48</v>
      </c>
      <c r="F57" s="139">
        <f>[4]Nepool!$C48</f>
        <v>0</v>
      </c>
      <c r="G57" s="142">
        <f>IF($Q$9,Q57,P57)</f>
        <v>40</v>
      </c>
      <c r="H57" s="136">
        <f>F57+G57</f>
        <v>40</v>
      </c>
      <c r="I57" s="270">
        <f>B57*G57*DD57*DR57</f>
        <v>0</v>
      </c>
      <c r="J57" s="276">
        <f>+(W57*(H57-X57)+Y57*(H57-Z57)+AA57*(H57-AB57))*DD57*DR57</f>
        <v>0</v>
      </c>
      <c r="K57" s="273">
        <f>I57+J57</f>
        <v>0</v>
      </c>
      <c r="L57" s="172"/>
      <c r="M57" s="132">
        <f>A57</f>
        <v>37591</v>
      </c>
      <c r="N57" s="139">
        <v>40</v>
      </c>
      <c r="O57" s="139">
        <v>40</v>
      </c>
      <c r="P57" s="29">
        <f>AVERAGE(N57:O57)-F57</f>
        <v>40</v>
      </c>
      <c r="Q57" s="213"/>
      <c r="R57" s="215">
        <f>H57</f>
        <v>40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499">
        <f>W57+Y57+AA57+AC57+AE57+AG57+AI57+AK57+AM57+AO57+AQ57+AS57+AU57+AW57+AY57+BA57+BC57+BE57+BG57+BI57+BK57+BM57+BO57+BQ57+BS57+BU57+BW57+BY57+CA57+CC57+CE57+CG57+CI57+CK57+CM57+CO57+CQ57+CS57+CU57+CW57</f>
        <v>0</v>
      </c>
      <c r="CZ57" s="500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J'!DR57</f>
        <v>21</v>
      </c>
    </row>
    <row r="58" spans="1:122" ht="19.5" thickBot="1" x14ac:dyDescent="0.35">
      <c r="A58" s="145">
        <f>'NYISO A'!A58</f>
        <v>37622</v>
      </c>
      <c r="B58" s="118">
        <v>48</v>
      </c>
      <c r="C58" s="85">
        <f>CY58</f>
        <v>0</v>
      </c>
      <c r="D58" s="106">
        <f t="shared" si="18"/>
        <v>0</v>
      </c>
      <c r="E58" s="122">
        <f>B58+C58+D58</f>
        <v>48</v>
      </c>
      <c r="F58" s="139">
        <f>[4]Nepool!$C49</f>
        <v>0</v>
      </c>
      <c r="G58" s="142">
        <f>IF($Q$9,Q58,P58)</f>
        <v>40</v>
      </c>
      <c r="H58" s="136">
        <f>F58+G58</f>
        <v>40</v>
      </c>
      <c r="I58" s="270">
        <f>B58*G58*DD58*DR58</f>
        <v>0</v>
      </c>
      <c r="J58" s="276">
        <f>+(W58*(H58-X58)+Y58*(H58-Z58)+AA58*(H58-AB58))*DD58*DR58</f>
        <v>0</v>
      </c>
      <c r="K58" s="273">
        <f>I58+J58</f>
        <v>0</v>
      </c>
      <c r="L58" s="172"/>
      <c r="M58" s="132">
        <f>A58</f>
        <v>37622</v>
      </c>
      <c r="N58" s="139">
        <v>40</v>
      </c>
      <c r="O58" s="139">
        <v>40</v>
      </c>
      <c r="P58" s="29">
        <f>AVERAGE(N58:O58)-F58</f>
        <v>40</v>
      </c>
      <c r="Q58" s="213"/>
      <c r="R58" s="215">
        <f>H58</f>
        <v>40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499">
        <f>W58+Y58+AA58+AC58+AE58+AG58+AI58+AK58+AM58+AO58+AQ58+AS58+AU58+AW58+AY58+BA58+BC58+BE58+BG58+BI58+BK58+BM58+BO58+BQ58+BS58+BU58+BW58+BY58+CA58+CC58+CE58+CG58+CI58+CK58+CM58+CO58+CQ58+CS58+CU58+CW58</f>
        <v>0</v>
      </c>
      <c r="CZ58" s="500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J'!DR58</f>
        <v>21</v>
      </c>
    </row>
    <row r="59" spans="1:122" ht="19.5" thickBot="1" x14ac:dyDescent="0.35">
      <c r="A59" s="145">
        <f>'NYISO A'!A59</f>
        <v>37653</v>
      </c>
      <c r="B59" s="118">
        <f>[4]Nepool!$L50/16/DR59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[4]Nepool!$C50</f>
        <v>0</v>
      </c>
      <c r="G59" s="142">
        <f>IF($Q$9,Q59,P59)</f>
        <v>73.5</v>
      </c>
      <c r="H59" s="136">
        <f>F59+G59</f>
        <v>73.5</v>
      </c>
      <c r="I59" s="270">
        <f>B59*G59*DD59*DR59</f>
        <v>0</v>
      </c>
      <c r="J59" s="276">
        <f>+(W59*(H59-X59)+Y59*(H59-Z59)+AA59*(H59-AB59))*DD59*DR59</f>
        <v>0</v>
      </c>
      <c r="K59" s="273">
        <f>I59+J59</f>
        <v>0</v>
      </c>
      <c r="L59" s="172"/>
      <c r="M59" s="132">
        <f>A59</f>
        <v>37653</v>
      </c>
      <c r="N59" s="139">
        <v>73.5</v>
      </c>
      <c r="O59" s="139">
        <v>73.5</v>
      </c>
      <c r="P59" s="29">
        <f>AVERAGE(N59:O59)-F59</f>
        <v>73.5</v>
      </c>
      <c r="Q59" s="213"/>
      <c r="R59" s="215">
        <f>H59</f>
        <v>73.5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499">
        <f>W59+Y59+AA59+AC59+AE59+AG59+AI59+AK59+AM59+AO59+AQ59+AS59+AU59+AW59+AY59+BA59+BC59+BE59+BG59+BI59+BK59+BM59+BO59+BQ59+BS59+BU59+BW59+BY59+CA59+CC59+CE59+CG59+CI59+CK59+CM59+CO59+CQ59+CS59+CU59+CW59</f>
        <v>0</v>
      </c>
      <c r="CZ59" s="500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J'!DR59</f>
        <v>22</v>
      </c>
    </row>
    <row r="60" spans="1:122" ht="19.5" thickBot="1" x14ac:dyDescent="0.35">
      <c r="A60" s="146">
        <f>'NYISO A'!A60</f>
        <v>37681</v>
      </c>
      <c r="B60" s="119">
        <f>[4]Nepool!$L51/16/DR60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[4]Nepool!$C51</f>
        <v>0</v>
      </c>
      <c r="G60" s="143">
        <f>IF($Q$9,Q60,P60)</f>
        <v>73.5</v>
      </c>
      <c r="H60" s="137">
        <f>F60+G60</f>
        <v>73.5</v>
      </c>
      <c r="I60" s="271">
        <f>B60*G60*DD60*DR60</f>
        <v>0</v>
      </c>
      <c r="J60" s="277">
        <f>+(W60*(H60-X60)+Y60*(H60-Z60)+AA60*(H60-AB60))*DD60*DR60</f>
        <v>0</v>
      </c>
      <c r="K60" s="274">
        <f>I60+J60</f>
        <v>0</v>
      </c>
      <c r="L60" s="172"/>
      <c r="M60" s="133">
        <f>A60</f>
        <v>37681</v>
      </c>
      <c r="N60" s="140">
        <v>73.5</v>
      </c>
      <c r="O60" s="140">
        <v>73.5</v>
      </c>
      <c r="P60" s="134">
        <f>AVERAGE(N60:O60)-F60</f>
        <v>73.5</v>
      </c>
      <c r="Q60" s="217"/>
      <c r="R60" s="218">
        <f>H60</f>
        <v>73.5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501">
        <f>W60+Y60+AA60+AC60+AE60+AG60+AI60+AK60+AM60+AO60+AQ60+AS60+AU60+AW60+AY60+BA60+BC60+BE60+BG60+BI60+BK60+BM60+BO60+BQ60+BS60+BU60+BW60+BY60+CA60+CC60+CE60+CG60+CI60+CK60+CM60+CO60+CQ60+CS60+CU60+CW60</f>
        <v>0</v>
      </c>
      <c r="CZ60" s="502">
        <f>IF(AND(CY60=0,DC60=0),0,(DF60+DG60)/DC60)</f>
        <v>0</v>
      </c>
      <c r="DL60" s="167">
        <v>0</v>
      </c>
      <c r="DR60" s="193">
        <f>+'NYISO J'!DR60</f>
        <v>20</v>
      </c>
    </row>
    <row r="61" spans="1:122" ht="16.5" thickBot="1" x14ac:dyDescent="0.3">
      <c r="A61" s="172"/>
      <c r="B61" s="172"/>
      <c r="E61" s="184"/>
      <c r="L61" s="172"/>
      <c r="N61" s="172"/>
      <c r="O61" s="172"/>
      <c r="DA61" s="167">
        <f>SUM(DA12:DA60)</f>
        <v>0</v>
      </c>
      <c r="DR61" s="193">
        <f>+'NYISO J'!DR61</f>
        <v>0</v>
      </c>
    </row>
    <row r="62" spans="1:122" s="194" customFormat="1" ht="21" thickBot="1" x14ac:dyDescent="0.35">
      <c r="A62" s="46"/>
      <c r="B62" s="47" t="s">
        <v>36</v>
      </c>
      <c r="C62" s="48"/>
      <c r="D62" s="48"/>
      <c r="E62" s="48"/>
      <c r="F62" s="48"/>
      <c r="G62" s="48"/>
      <c r="H62" s="48"/>
      <c r="I62" s="48"/>
      <c r="J62" s="48"/>
      <c r="K62" s="49"/>
      <c r="L62" s="127" t="s">
        <v>37</v>
      </c>
      <c r="M62" s="128"/>
      <c r="N62" s="129"/>
      <c r="O62" s="129"/>
      <c r="P62" s="48"/>
      <c r="Q62" s="48"/>
      <c r="R62" s="48"/>
      <c r="S62" s="50"/>
      <c r="T62" s="81"/>
      <c r="U62" s="82"/>
      <c r="V62" s="47" t="s">
        <v>38</v>
      </c>
      <c r="W62" s="48"/>
      <c r="X62" s="48"/>
      <c r="Y62" s="48"/>
      <c r="Z62" s="48"/>
      <c r="AA62" s="48"/>
      <c r="AB62" s="48"/>
      <c r="AC62" s="48"/>
      <c r="AD62" s="48"/>
      <c r="AE62" s="49"/>
      <c r="AF62" s="47"/>
      <c r="AG62" s="48"/>
      <c r="AH62" s="48"/>
      <c r="AI62" s="48"/>
      <c r="AJ62" s="48"/>
      <c r="AK62" s="48"/>
      <c r="AL62" s="48"/>
      <c r="AM62" s="49"/>
      <c r="DR62" s="193">
        <f>+'NYISO J'!DR63</f>
        <v>0</v>
      </c>
    </row>
    <row r="63" spans="1:122" s="195" customFormat="1" ht="19.5" thickBot="1" x14ac:dyDescent="0.35">
      <c r="A63" s="51"/>
      <c r="B63" s="52" t="s">
        <v>40</v>
      </c>
      <c r="C63" s="53"/>
      <c r="D63" s="53"/>
      <c r="E63" s="53"/>
      <c r="F63" s="54"/>
      <c r="G63" s="55" t="s">
        <v>41</v>
      </c>
      <c r="H63" s="56"/>
      <c r="I63" s="56"/>
      <c r="J63" s="56"/>
      <c r="K63" s="57"/>
      <c r="L63" s="52" t="s">
        <v>40</v>
      </c>
      <c r="M63" s="124"/>
      <c r="N63" s="125"/>
      <c r="O63" s="125"/>
      <c r="P63" s="126"/>
      <c r="Q63" s="55" t="s">
        <v>41</v>
      </c>
      <c r="R63" s="56"/>
      <c r="S63" s="58"/>
      <c r="T63" s="83"/>
      <c r="U63" s="84"/>
      <c r="V63" s="52" t="s">
        <v>40</v>
      </c>
      <c r="W63" s="53"/>
      <c r="X63" s="53"/>
      <c r="Y63" s="53"/>
      <c r="Z63" s="54"/>
      <c r="AA63" s="55" t="s">
        <v>41</v>
      </c>
      <c r="AB63" s="56"/>
      <c r="AC63" s="56"/>
      <c r="AD63" s="56"/>
      <c r="AE63" s="57"/>
      <c r="AF63" s="52" t="s">
        <v>40</v>
      </c>
      <c r="AG63" s="53"/>
      <c r="AH63" s="53"/>
      <c r="AI63" s="55"/>
      <c r="AJ63" s="56"/>
      <c r="AK63" s="56" t="s">
        <v>41</v>
      </c>
      <c r="AL63" s="56"/>
      <c r="AM63" s="57"/>
    </row>
    <row r="64" spans="1:122" s="196" customFormat="1" ht="16.5" thickBot="1" x14ac:dyDescent="0.3">
      <c r="A64" s="59" t="s">
        <v>42</v>
      </c>
      <c r="B64" s="60">
        <v>0</v>
      </c>
      <c r="C64" s="61">
        <v>0</v>
      </c>
      <c r="D64" s="61">
        <v>0</v>
      </c>
      <c r="E64" s="61">
        <v>0</v>
      </c>
      <c r="F64" s="62">
        <v>0</v>
      </c>
      <c r="G64" s="60">
        <v>0</v>
      </c>
      <c r="H64" s="61">
        <v>0</v>
      </c>
      <c r="I64" s="61">
        <v>0</v>
      </c>
      <c r="J64" s="61">
        <v>0</v>
      </c>
      <c r="K64" s="62">
        <v>0</v>
      </c>
      <c r="L64" s="60">
        <v>0</v>
      </c>
      <c r="M64" s="61">
        <v>0</v>
      </c>
      <c r="N64" s="61">
        <v>0</v>
      </c>
      <c r="O64" s="61">
        <v>0</v>
      </c>
      <c r="P64" s="62">
        <v>0</v>
      </c>
      <c r="Q64" s="60">
        <v>0</v>
      </c>
      <c r="R64" s="61">
        <v>0</v>
      </c>
      <c r="S64" s="61">
        <v>0</v>
      </c>
      <c r="T64" s="61">
        <v>0</v>
      </c>
      <c r="U64" s="62">
        <v>0</v>
      </c>
      <c r="V64" s="60">
        <v>0</v>
      </c>
      <c r="W64" s="61">
        <v>0</v>
      </c>
      <c r="X64" s="61">
        <v>0</v>
      </c>
      <c r="Y64" s="61">
        <v>0</v>
      </c>
      <c r="Z64" s="62">
        <v>0</v>
      </c>
      <c r="AA64" s="60">
        <v>0</v>
      </c>
      <c r="AB64" s="61">
        <v>0</v>
      </c>
      <c r="AC64" s="61">
        <v>0</v>
      </c>
      <c r="AD64" s="61">
        <v>0</v>
      </c>
      <c r="AE64" s="62">
        <v>0</v>
      </c>
      <c r="AF64" s="60">
        <v>0</v>
      </c>
      <c r="AG64" s="61">
        <v>0</v>
      </c>
      <c r="AH64" s="61">
        <v>0</v>
      </c>
      <c r="AI64" s="60"/>
      <c r="AJ64" s="61"/>
      <c r="AK64" s="61">
        <v>0</v>
      </c>
      <c r="AL64" s="61">
        <v>0</v>
      </c>
      <c r="AM64" s="62">
        <v>0</v>
      </c>
      <c r="AN64" s="196">
        <v>0</v>
      </c>
      <c r="AO64" s="196">
        <v>0</v>
      </c>
    </row>
    <row r="65" spans="1:42" x14ac:dyDescent="0.25">
      <c r="A65" s="63" t="s">
        <v>25</v>
      </c>
      <c r="B65" s="197">
        <v>0</v>
      </c>
      <c r="C65" s="198">
        <v>0</v>
      </c>
      <c r="D65" s="198">
        <v>0</v>
      </c>
      <c r="E65" s="198">
        <v>0</v>
      </c>
      <c r="F65" s="199">
        <v>0</v>
      </c>
      <c r="G65" s="197">
        <v>0</v>
      </c>
      <c r="H65" s="198">
        <v>0</v>
      </c>
      <c r="I65" s="198">
        <v>0</v>
      </c>
      <c r="J65" s="198">
        <v>0</v>
      </c>
      <c r="K65" s="199">
        <v>0</v>
      </c>
      <c r="L65" s="197">
        <v>0</v>
      </c>
      <c r="M65" s="198">
        <v>0</v>
      </c>
      <c r="N65" s="198">
        <v>0</v>
      </c>
      <c r="O65" s="198">
        <v>0</v>
      </c>
      <c r="P65" s="199">
        <v>0</v>
      </c>
      <c r="Q65" s="198">
        <v>0</v>
      </c>
      <c r="R65" s="198">
        <v>0</v>
      </c>
      <c r="S65" s="198">
        <v>0</v>
      </c>
      <c r="T65" s="198">
        <v>0</v>
      </c>
      <c r="U65" s="199">
        <v>0</v>
      </c>
      <c r="V65" s="197">
        <v>0</v>
      </c>
      <c r="W65" s="198">
        <v>0</v>
      </c>
      <c r="X65" s="198">
        <v>0</v>
      </c>
      <c r="Y65" s="198">
        <v>0</v>
      </c>
      <c r="Z65" s="199">
        <v>0</v>
      </c>
      <c r="AA65" s="197">
        <v>0</v>
      </c>
      <c r="AB65" s="198">
        <v>0</v>
      </c>
      <c r="AC65" s="198">
        <v>0</v>
      </c>
      <c r="AD65" s="198">
        <v>0</v>
      </c>
      <c r="AE65" s="199">
        <v>0</v>
      </c>
      <c r="AF65" s="197">
        <v>0</v>
      </c>
      <c r="AG65" s="198">
        <v>0</v>
      </c>
      <c r="AH65" s="198">
        <v>0</v>
      </c>
      <c r="AI65" s="197"/>
      <c r="AJ65" s="198"/>
      <c r="AK65" s="198">
        <v>0</v>
      </c>
      <c r="AL65" s="198">
        <v>0</v>
      </c>
      <c r="AM65" s="199">
        <v>0</v>
      </c>
      <c r="AN65" s="167">
        <v>0</v>
      </c>
      <c r="AO65" s="167">
        <v>0</v>
      </c>
    </row>
    <row r="66" spans="1:42" ht="16.5" thickBot="1" x14ac:dyDescent="0.3">
      <c r="A66" s="63" t="s">
        <v>43</v>
      </c>
      <c r="B66" s="197"/>
      <c r="C66" s="198"/>
      <c r="D66" s="198"/>
      <c r="E66" s="198"/>
      <c r="F66" s="199"/>
      <c r="G66" s="200"/>
      <c r="H66" s="201"/>
      <c r="I66" s="201"/>
      <c r="J66" s="201"/>
      <c r="K66" s="202"/>
      <c r="L66" s="197"/>
      <c r="M66" s="198"/>
      <c r="N66" s="204"/>
      <c r="O66" s="204"/>
      <c r="P66" s="199"/>
      <c r="Q66" s="200"/>
      <c r="R66" s="201"/>
      <c r="S66" s="201"/>
      <c r="T66" s="201"/>
      <c r="U66" s="202"/>
      <c r="V66" s="197"/>
      <c r="W66" s="198"/>
      <c r="X66" s="198"/>
      <c r="Y66" s="198"/>
      <c r="Z66" s="199"/>
      <c r="AA66" s="200"/>
      <c r="AB66" s="201"/>
      <c r="AC66" s="201"/>
      <c r="AD66" s="201"/>
      <c r="AE66" s="202"/>
      <c r="AF66" s="197"/>
      <c r="AG66" s="198"/>
      <c r="AH66" s="198"/>
      <c r="AI66" s="200"/>
      <c r="AJ66" s="201"/>
      <c r="AK66" s="201"/>
      <c r="AL66" s="201"/>
      <c r="AM66" s="202"/>
    </row>
    <row r="67" spans="1:42" ht="16.5" thickBot="1" x14ac:dyDescent="0.3">
      <c r="A67" s="7" t="s">
        <v>44</v>
      </c>
      <c r="B67" s="203"/>
      <c r="C67" s="204"/>
      <c r="D67" s="204"/>
      <c r="E67" s="204"/>
      <c r="F67" s="205"/>
      <c r="G67" s="206"/>
      <c r="H67" s="207"/>
      <c r="I67" s="207"/>
      <c r="J67" s="207"/>
      <c r="K67" s="208"/>
      <c r="L67" s="203"/>
      <c r="M67" s="204"/>
      <c r="N67" s="69"/>
      <c r="O67" s="69"/>
      <c r="P67" s="205"/>
      <c r="Q67" s="206"/>
      <c r="R67" s="207"/>
      <c r="S67" s="207"/>
      <c r="T67" s="207"/>
      <c r="U67" s="208"/>
      <c r="V67" s="203"/>
      <c r="W67" s="204"/>
      <c r="X67" s="204"/>
      <c r="Y67" s="204"/>
      <c r="Z67" s="205"/>
      <c r="AA67" s="206"/>
      <c r="AB67" s="207"/>
      <c r="AC67" s="207"/>
      <c r="AD67" s="207"/>
      <c r="AE67" s="208"/>
      <c r="AF67" s="203"/>
      <c r="AG67" s="204"/>
      <c r="AH67" s="204"/>
      <c r="AI67" s="206"/>
      <c r="AJ67" s="207"/>
      <c r="AK67" s="207"/>
      <c r="AL67" s="207"/>
      <c r="AM67" s="208"/>
    </row>
    <row r="68" spans="1:42" ht="16.5" thickBot="1" x14ac:dyDescent="0.3">
      <c r="A68" s="64" t="s">
        <v>45</v>
      </c>
      <c r="B68" s="65">
        <f t="shared" ref="B68:K68" si="27">B65*B66</f>
        <v>0</v>
      </c>
      <c r="C68" s="66">
        <f t="shared" si="27"/>
        <v>0</v>
      </c>
      <c r="D68" s="66">
        <f t="shared" si="27"/>
        <v>0</v>
      </c>
      <c r="E68" s="66">
        <f t="shared" si="27"/>
        <v>0</v>
      </c>
      <c r="F68" s="67">
        <f t="shared" si="27"/>
        <v>0</v>
      </c>
      <c r="G68" s="65">
        <f t="shared" si="27"/>
        <v>0</v>
      </c>
      <c r="H68" s="66">
        <f t="shared" si="27"/>
        <v>0</v>
      </c>
      <c r="I68" s="66">
        <f t="shared" si="27"/>
        <v>0</v>
      </c>
      <c r="J68" s="66">
        <f t="shared" si="27"/>
        <v>0</v>
      </c>
      <c r="K68" s="67">
        <f t="shared" si="27"/>
        <v>0</v>
      </c>
      <c r="L68" s="68"/>
      <c r="M68" s="69"/>
      <c r="N68" s="77"/>
      <c r="O68" s="77"/>
      <c r="P68" s="70"/>
      <c r="Q68" s="68"/>
      <c r="R68" s="69"/>
      <c r="S68" s="69"/>
      <c r="T68" s="69"/>
      <c r="U68" s="70"/>
      <c r="V68" s="65">
        <f t="shared" ref="V68:AE68" si="28">-V65*V66</f>
        <v>0</v>
      </c>
      <c r="W68" s="66">
        <f t="shared" si="28"/>
        <v>0</v>
      </c>
      <c r="X68" s="66">
        <f t="shared" si="28"/>
        <v>0</v>
      </c>
      <c r="Y68" s="66">
        <f t="shared" si="28"/>
        <v>0</v>
      </c>
      <c r="Z68" s="67">
        <f t="shared" si="28"/>
        <v>0</v>
      </c>
      <c r="AA68" s="65">
        <f t="shared" si="28"/>
        <v>0</v>
      </c>
      <c r="AB68" s="66">
        <f t="shared" si="28"/>
        <v>0</v>
      </c>
      <c r="AC68" s="66">
        <f t="shared" si="28"/>
        <v>0</v>
      </c>
      <c r="AD68" s="66">
        <f t="shared" si="28"/>
        <v>0</v>
      </c>
      <c r="AE68" s="67">
        <f t="shared" si="28"/>
        <v>0</v>
      </c>
      <c r="AF68" s="68"/>
      <c r="AG68" s="69"/>
      <c r="AH68" s="69"/>
      <c r="AI68" s="69"/>
      <c r="AJ68" s="69"/>
      <c r="AK68" s="69"/>
      <c r="AL68" s="69"/>
      <c r="AM68" s="70"/>
      <c r="AN68" s="71"/>
      <c r="AP68" s="167">
        <f>SUM(B68:AO68)</f>
        <v>0</v>
      </c>
    </row>
    <row r="69" spans="1:42" ht="16.5" thickBot="1" x14ac:dyDescent="0.3">
      <c r="A69" s="72" t="s">
        <v>46</v>
      </c>
      <c r="B69" s="73"/>
      <c r="C69" s="74"/>
      <c r="D69" s="74"/>
      <c r="E69" s="74"/>
      <c r="F69" s="75"/>
      <c r="G69" s="73"/>
      <c r="H69" s="74"/>
      <c r="I69" s="74"/>
      <c r="J69" s="74"/>
      <c r="K69" s="75"/>
      <c r="L69" s="76">
        <f>L65*L66</f>
        <v>0</v>
      </c>
      <c r="M69" s="77">
        <f>M65*M66</f>
        <v>0</v>
      </c>
      <c r="N69" s="167">
        <f>N65*N66</f>
        <v>0</v>
      </c>
      <c r="O69" s="167">
        <f>O65*O66</f>
        <v>0</v>
      </c>
      <c r="P69" s="78">
        <f>P65*P66</f>
        <v>0</v>
      </c>
      <c r="Q69" s="76">
        <f>Q66*Q65</f>
        <v>0</v>
      </c>
      <c r="R69" s="77">
        <f>R66*R65</f>
        <v>0</v>
      </c>
      <c r="S69" s="77">
        <f>S66*S65</f>
        <v>0</v>
      </c>
      <c r="T69" s="77">
        <f>T66*T65</f>
        <v>0</v>
      </c>
      <c r="U69" s="78">
        <f>U66*U65</f>
        <v>0</v>
      </c>
      <c r="V69" s="73"/>
      <c r="W69" s="74"/>
      <c r="X69" s="74"/>
      <c r="Y69" s="74"/>
      <c r="Z69" s="75"/>
      <c r="AA69" s="73"/>
      <c r="AB69" s="74"/>
      <c r="AC69" s="74"/>
      <c r="AD69" s="74"/>
      <c r="AE69" s="75"/>
      <c r="AF69" s="76">
        <f>-AF65*AF66</f>
        <v>0</v>
      </c>
      <c r="AG69" s="77">
        <f>-AG65*AG66</f>
        <v>0</v>
      </c>
      <c r="AH69" s="77">
        <f>-AH65*AH66</f>
        <v>0</v>
      </c>
      <c r="AI69" s="77"/>
      <c r="AJ69" s="77"/>
      <c r="AK69" s="77">
        <f>-AK65*AK66</f>
        <v>0</v>
      </c>
      <c r="AL69" s="77">
        <f>-AL65*AL66</f>
        <v>0</v>
      </c>
      <c r="AM69" s="78">
        <f>-AM65*AM66</f>
        <v>0</v>
      </c>
      <c r="AN69" s="79">
        <f>-AN65*AN66</f>
        <v>0</v>
      </c>
      <c r="AO69" s="167">
        <f>-AO65*AO66</f>
        <v>0</v>
      </c>
      <c r="AP69" s="167">
        <f>SUM(B69:AO69)</f>
        <v>0</v>
      </c>
    </row>
    <row r="70" spans="1:42" ht="12.75" x14ac:dyDescent="0.2">
      <c r="A70" s="172"/>
      <c r="B70" s="172">
        <f>(B64-$H$12)*B68*16</f>
        <v>0</v>
      </c>
      <c r="C70" s="172">
        <f>(C64-$H$12)*C68*16</f>
        <v>0</v>
      </c>
      <c r="D70" s="172">
        <f>(D64-$H$12)*D68*16</f>
        <v>0</v>
      </c>
      <c r="E70" s="172">
        <f>(E64-$H$12)*E68*16</f>
        <v>0</v>
      </c>
      <c r="F70" s="172">
        <f>(F64-$H$12)*F68*16</f>
        <v>0</v>
      </c>
      <c r="G70" s="172">
        <f>($H$12-G64)*G68*16</f>
        <v>0</v>
      </c>
      <c r="H70" s="172">
        <f>($H$12-H64)*H68*16</f>
        <v>0</v>
      </c>
      <c r="I70" s="172">
        <f>($H$12-I64)*I68*16</f>
        <v>0</v>
      </c>
      <c r="J70" s="172">
        <f>($H$12-J64)*J68*16</f>
        <v>0</v>
      </c>
      <c r="K70" s="172">
        <f>($H$12-K64)*K68*16</f>
        <v>0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>
        <f t="shared" ref="V70:AE70" si="29">V68*($H$12-V64)*16</f>
        <v>0</v>
      </c>
      <c r="W70" s="172">
        <f t="shared" si="29"/>
        <v>0</v>
      </c>
      <c r="X70" s="172">
        <f t="shared" si="29"/>
        <v>0</v>
      </c>
      <c r="Y70" s="172">
        <f t="shared" si="29"/>
        <v>0</v>
      </c>
      <c r="Z70" s="172">
        <f t="shared" si="29"/>
        <v>0</v>
      </c>
      <c r="AA70" s="172">
        <f t="shared" si="29"/>
        <v>0</v>
      </c>
      <c r="AB70" s="172">
        <f t="shared" si="29"/>
        <v>0</v>
      </c>
      <c r="AC70" s="172">
        <f t="shared" si="29"/>
        <v>0</v>
      </c>
      <c r="AD70" s="172">
        <f t="shared" si="29"/>
        <v>0</v>
      </c>
      <c r="AE70" s="172">
        <f t="shared" si="29"/>
        <v>0</v>
      </c>
      <c r="AH70" s="167"/>
      <c r="AI70" s="167"/>
      <c r="AJ70" s="167"/>
      <c r="AK70" s="167"/>
      <c r="AP70" s="167">
        <f>SUM(B70:AO70)</f>
        <v>0</v>
      </c>
    </row>
    <row r="73" spans="1:42" x14ac:dyDescent="0.25">
      <c r="B73" s="180"/>
      <c r="C73" s="181"/>
      <c r="D73" s="181"/>
      <c r="E73" s="181"/>
      <c r="F73" s="182"/>
    </row>
    <row r="74" spans="1:42" x14ac:dyDescent="0.25">
      <c r="B74" s="176"/>
      <c r="C74" s="176"/>
      <c r="D74" s="176"/>
      <c r="E74" s="176"/>
      <c r="F74" s="176"/>
    </row>
    <row r="75" spans="1:42" x14ac:dyDescent="0.25">
      <c r="B75" s="176"/>
      <c r="C75" s="176"/>
      <c r="D75" s="176"/>
      <c r="E75" s="176"/>
      <c r="F75" s="176"/>
    </row>
    <row r="76" spans="1:42" ht="12" customHeight="1" x14ac:dyDescent="0.25">
      <c r="B76" s="176"/>
      <c r="C76" s="176"/>
      <c r="D76" s="176"/>
      <c r="E76" s="176"/>
      <c r="F76" s="176"/>
    </row>
    <row r="78" spans="1:42" x14ac:dyDescent="0.25">
      <c r="B78" s="176"/>
      <c r="C78" s="176"/>
      <c r="D78" s="176"/>
      <c r="E78" s="176"/>
      <c r="F78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80"/>
      <c r="C81" s="181"/>
      <c r="D81" s="181"/>
      <c r="E81" s="181"/>
      <c r="F81" s="176"/>
    </row>
    <row r="82" spans="2:6" x14ac:dyDescent="0.25">
      <c r="B82" s="176"/>
      <c r="C82" s="176"/>
      <c r="D82" s="176"/>
      <c r="E82" s="176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83"/>
      <c r="C87" s="181"/>
      <c r="D87" s="181"/>
      <c r="E87" s="181"/>
      <c r="F87" s="176"/>
    </row>
    <row r="88" spans="2:6" x14ac:dyDescent="0.25">
      <c r="B88" s="185"/>
      <c r="C88" s="176"/>
      <c r="D88" s="176"/>
      <c r="E88" s="176"/>
      <c r="F88" s="176"/>
    </row>
    <row r="89" spans="2:6" x14ac:dyDescent="0.25">
      <c r="B89" s="176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4" spans="2:6" ht="12" customHeight="1" x14ac:dyDescent="0.25">
      <c r="B94" s="176"/>
      <c r="C94" s="176"/>
      <c r="D94" s="176"/>
      <c r="E94" s="176"/>
      <c r="F94" s="176"/>
    </row>
    <row r="95" spans="2:6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86"/>
      <c r="F101" s="186"/>
    </row>
    <row r="102" spans="2:6" x14ac:dyDescent="0.25">
      <c r="B102" s="176"/>
      <c r="C102" s="176"/>
      <c r="D102" s="176"/>
      <c r="E102" s="176"/>
      <c r="F102" s="17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T99"/>
  <sheetViews>
    <sheetView topLeftCell="E25" zoomScale="75" workbookViewId="0">
      <selection activeCell="N44" sqref="N44:O45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5" width="12.14062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2.42578125" style="167" customWidth="1"/>
    <col min="10" max="10" width="17.85546875" style="167" customWidth="1"/>
    <col min="11" max="11" width="18.5703125" style="167" customWidth="1"/>
    <col min="12" max="12" width="8.140625" style="167" customWidth="1"/>
    <col min="13" max="13" width="13.42578125" style="167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46" width="10.140625" style="167" customWidth="1"/>
    <col min="47" max="52" width="10.140625" style="167" hidden="1" customWidth="1"/>
    <col min="53" max="53" width="0" style="167" hidden="1" customWidth="1"/>
    <col min="54" max="54" width="10" style="167" hidden="1" customWidth="1"/>
    <col min="55" max="55" width="0" style="167" hidden="1" customWidth="1"/>
    <col min="56" max="56" width="10" style="167" hidden="1" customWidth="1"/>
    <col min="57" max="57" width="0" style="167" hidden="1" customWidth="1"/>
    <col min="58" max="58" width="10" style="167" hidden="1" customWidth="1"/>
    <col min="59" max="59" width="0" style="167" hidden="1" customWidth="1"/>
    <col min="60" max="60" width="10" style="167" hidden="1" customWidth="1"/>
    <col min="61" max="61" width="0" style="167" hidden="1" customWidth="1"/>
    <col min="62" max="62" width="10" style="167" hidden="1" customWidth="1"/>
    <col min="63" max="63" width="0" style="167" hidden="1" customWidth="1"/>
    <col min="64" max="64" width="10" style="167" hidden="1" customWidth="1"/>
    <col min="65" max="65" width="0" style="167" hidden="1" customWidth="1"/>
    <col min="66" max="66" width="10" style="167" hidden="1" customWidth="1"/>
    <col min="67" max="67" width="0" style="167" hidden="1" customWidth="1"/>
    <col min="68" max="68" width="10" style="167" hidden="1" customWidth="1"/>
    <col min="69" max="69" width="0" style="167" hidden="1" customWidth="1"/>
    <col min="70" max="70" width="10" style="167" hidden="1" customWidth="1"/>
    <col min="71" max="71" width="0" style="167" hidden="1" customWidth="1"/>
    <col min="72" max="72" width="10" style="167" hidden="1" customWidth="1"/>
    <col min="73" max="89" width="0" style="167" hidden="1" customWidth="1"/>
    <col min="90" max="90" width="11" style="167" hidden="1" customWidth="1"/>
    <col min="91" max="91" width="14.42578125" style="167" hidden="1" customWidth="1"/>
    <col min="92" max="97" width="0" style="167" hidden="1" customWidth="1"/>
    <col min="98" max="98" width="10" style="167" hidden="1" customWidth="1"/>
    <col min="99" max="99" width="0" style="167" hidden="1" customWidth="1"/>
    <col min="100" max="100" width="10" style="167" hidden="1" customWidth="1"/>
    <col min="101" max="101" width="0" style="167" hidden="1" customWidth="1"/>
    <col min="102" max="102" width="10" style="167" hidden="1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-203136.2826276432</v>
      </c>
      <c r="J6" s="9">
        <f>SUM(J12:J56)</f>
        <v>42000</v>
      </c>
      <c r="K6" s="9">
        <f>SUM(K12:K56)</f>
        <v>-161136.2826276432</v>
      </c>
      <c r="S6" s="172"/>
      <c r="T6" s="172"/>
      <c r="U6" s="174"/>
      <c r="AH6" s="167"/>
      <c r="AI6" s="167"/>
      <c r="AJ6" s="167"/>
      <c r="AK6" s="167"/>
    </row>
    <row r="7" spans="1:118" ht="33" x14ac:dyDescent="0.45">
      <c r="D7" s="308" t="s">
        <v>77</v>
      </c>
      <c r="E7" s="309"/>
      <c r="F7" s="309"/>
      <c r="G7" s="309"/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+[4]WestHub!$L3/16+[4]PJM!$L3/16</f>
        <v>0</v>
      </c>
      <c r="C12" s="22">
        <f t="shared" ref="C12:C56" si="0">CY12</f>
        <v>0</v>
      </c>
      <c r="D12" s="21">
        <f>($AP$65+IF(MONTH(A12)=MONTH(EOMONTH(TradeDate,1)),$AP$66,0))*VLOOKUP(A12,$DK$12:$DN$43,4)</f>
        <v>0</v>
      </c>
      <c r="E12" s="361">
        <f>+B12+C12+D12</f>
        <v>0</v>
      </c>
      <c r="F12" s="24">
        <f>[4]WestHub!$C3</f>
        <v>24.5</v>
      </c>
      <c r="G12" s="24">
        <f t="shared" ref="G12:G49" si="1">IF($Q$9,Q12,P12)</f>
        <v>13.25</v>
      </c>
      <c r="H12" s="25">
        <f t="shared" ref="H12:H56" si="2">F12+G12</f>
        <v>37.75</v>
      </c>
      <c r="I12" s="26">
        <f>B12*G12*DD12</f>
        <v>0</v>
      </c>
      <c r="J12" s="27">
        <f>DH12+DI12+$AP$67</f>
        <v>0</v>
      </c>
      <c r="K12" s="27">
        <f t="shared" ref="K12:K56" si="3">I12+J12</f>
        <v>0</v>
      </c>
      <c r="L12" s="172"/>
      <c r="M12" s="28">
        <f t="shared" ref="M12:M56" si="4">A12</f>
        <v>37135</v>
      </c>
      <c r="N12" s="268">
        <v>37.75</v>
      </c>
      <c r="O12" s="268">
        <v>37.75</v>
      </c>
      <c r="P12" s="29">
        <f>AVERAGE(N12:O12)-F12</f>
        <v>13.25</v>
      </c>
      <c r="Q12" s="213"/>
      <c r="R12" s="214">
        <f t="shared" ref="R12:R56" si="5">H12</f>
        <v>37.75</v>
      </c>
      <c r="S12" s="172"/>
      <c r="T12"/>
      <c r="U12" s="175"/>
      <c r="V12" s="30">
        <f t="shared" ref="V12:V56" si="6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7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8"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56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6">IF(AND(WEEKDAY(DK12)&gt;1,WEEKDAY(DK12)&lt;7),1,0)</f>
        <v>1</v>
      </c>
    </row>
    <row r="13" spans="1:118" ht="18.75" x14ac:dyDescent="0.3">
      <c r="A13" s="80">
        <f>'NYISO A'!A13</f>
        <v>37136</v>
      </c>
      <c r="B13" s="114">
        <f>+[4]WestHub!$L4/16+[4]PJM!$L4/16</f>
        <v>0</v>
      </c>
      <c r="C13" s="22">
        <f t="shared" si="0"/>
        <v>0</v>
      </c>
      <c r="D13" s="36">
        <f t="shared" ref="D13:D56" si="17">(IF(MONTH(A13)=MONTH(EOMONTH(TradeDate,1)),$AP$66,0)*VLOOKUP(A13,$DK$12:$DN$43,4))</f>
        <v>0</v>
      </c>
      <c r="E13" s="23">
        <f t="shared" ref="E13:E43" si="18">+B13+C13+D13</f>
        <v>0</v>
      </c>
      <c r="F13" s="24">
        <f>[4]WestHub!$C4</f>
        <v>24.5</v>
      </c>
      <c r="G13" s="38">
        <f t="shared" si="1"/>
        <v>12.75</v>
      </c>
      <c r="H13" s="39">
        <f t="shared" si="2"/>
        <v>37.25</v>
      </c>
      <c r="I13" s="36">
        <f t="shared" ref="I13:I43" si="19">B13*G13*DD13</f>
        <v>0</v>
      </c>
      <c r="J13" s="27">
        <f t="shared" ref="J13:J43" si="20">DH13+DI13</f>
        <v>0</v>
      </c>
      <c r="K13" s="40">
        <f t="shared" si="3"/>
        <v>0</v>
      </c>
      <c r="L13" s="172"/>
      <c r="M13" s="28">
        <f t="shared" si="4"/>
        <v>37136</v>
      </c>
      <c r="N13" s="268">
        <v>37.25</v>
      </c>
      <c r="O13" s="268">
        <v>37.25</v>
      </c>
      <c r="P13" s="29">
        <f t="shared" ref="P13:P56" si="21">AVERAGE(N13:O13)-F13</f>
        <v>12.75</v>
      </c>
      <c r="Q13" s="213"/>
      <c r="R13" s="215">
        <f t="shared" si="5"/>
        <v>37.25</v>
      </c>
      <c r="S13" s="172"/>
      <c r="T13"/>
      <c r="U13" s="175"/>
      <c r="V13" s="30">
        <f t="shared" si="6"/>
        <v>37136</v>
      </c>
      <c r="W13" s="177"/>
      <c r="X13" s="221"/>
      <c r="Y13" s="177"/>
      <c r="Z13" s="178"/>
      <c r="AA13" s="177"/>
      <c r="AB13" s="222"/>
      <c r="AC13" s="177"/>
      <c r="AD13" s="178"/>
      <c r="AE13" s="177"/>
      <c r="AF13" s="222"/>
      <c r="AG13" s="177"/>
      <c r="AH13" s="222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7"/>
        <v>0</v>
      </c>
      <c r="CZ13" s="34">
        <f t="shared" si="8"/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36840</v>
      </c>
      <c r="DL13" s="167">
        <v>-49.725383758544922</v>
      </c>
      <c r="DN13" s="167">
        <f t="shared" si="16"/>
        <v>1</v>
      </c>
    </row>
    <row r="14" spans="1:118" ht="18.75" x14ac:dyDescent="0.3">
      <c r="A14" s="80">
        <f>'NYISO A'!A14</f>
        <v>37137</v>
      </c>
      <c r="B14" s="114">
        <f>+[4]WestHub!$L5/16+[4]PJM!$L5/16</f>
        <v>0</v>
      </c>
      <c r="C14" s="22">
        <f t="shared" si="0"/>
        <v>0</v>
      </c>
      <c r="D14" s="21">
        <f t="shared" si="17"/>
        <v>0</v>
      </c>
      <c r="E14" s="23">
        <f t="shared" si="18"/>
        <v>0</v>
      </c>
      <c r="F14" s="24">
        <f>[4]WestHub!$C5</f>
        <v>24.499998092651367</v>
      </c>
      <c r="G14" s="24">
        <f t="shared" si="1"/>
        <v>12.250001907348633</v>
      </c>
      <c r="H14" s="25">
        <f t="shared" si="2"/>
        <v>36.75</v>
      </c>
      <c r="I14" s="26">
        <f t="shared" si="19"/>
        <v>0</v>
      </c>
      <c r="J14" s="27">
        <f t="shared" si="20"/>
        <v>0</v>
      </c>
      <c r="K14" s="27">
        <f t="shared" si="3"/>
        <v>0</v>
      </c>
      <c r="L14" s="172"/>
      <c r="M14" s="28">
        <f t="shared" si="4"/>
        <v>37137</v>
      </c>
      <c r="N14" s="268">
        <v>36.75</v>
      </c>
      <c r="O14" s="268">
        <v>36.75</v>
      </c>
      <c r="P14" s="29">
        <f t="shared" si="21"/>
        <v>12.250001907348633</v>
      </c>
      <c r="Q14" s="213"/>
      <c r="R14" s="215">
        <f t="shared" si="5"/>
        <v>36.75</v>
      </c>
      <c r="S14" s="172"/>
      <c r="T14"/>
      <c r="U14" s="175"/>
      <c r="V14" s="30">
        <f t="shared" si="6"/>
        <v>37137</v>
      </c>
      <c r="W14" s="177"/>
      <c r="X14" s="221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7"/>
        <v>0</v>
      </c>
      <c r="CZ14" s="34">
        <f t="shared" si="8"/>
        <v>0</v>
      </c>
      <c r="DA14" s="188">
        <f t="shared" si="9"/>
        <v>0</v>
      </c>
      <c r="DB14" s="189">
        <f t="shared" si="10"/>
        <v>37137</v>
      </c>
      <c r="DC14" s="188">
        <f t="shared" si="11"/>
        <v>0</v>
      </c>
      <c r="DD14" s="190">
        <v>16</v>
      </c>
      <c r="DE14" s="188">
        <v>1</v>
      </c>
      <c r="DF14" s="170">
        <f t="shared" si="12"/>
        <v>0</v>
      </c>
      <c r="DG14" s="170">
        <f t="shared" si="13"/>
        <v>0</v>
      </c>
      <c r="DH14" s="170">
        <f t="shared" si="14"/>
        <v>0</v>
      </c>
      <c r="DI14" s="170">
        <f t="shared" si="15"/>
        <v>0</v>
      </c>
      <c r="DK14" s="189">
        <v>36841</v>
      </c>
      <c r="DL14" s="167">
        <v>0</v>
      </c>
      <c r="DN14" s="167">
        <f t="shared" si="16"/>
        <v>0</v>
      </c>
    </row>
    <row r="15" spans="1:118" ht="18.75" x14ac:dyDescent="0.3">
      <c r="A15" s="80">
        <f>'NYISO A'!A15</f>
        <v>37138</v>
      </c>
      <c r="B15" s="114">
        <f>+[4]WestHub!$L6/16+[4]PJM!$L6/16</f>
        <v>149.24832153320312</v>
      </c>
      <c r="C15" s="35">
        <f t="shared" si="0"/>
        <v>0</v>
      </c>
      <c r="D15" s="36">
        <f t="shared" si="17"/>
        <v>0</v>
      </c>
      <c r="E15" s="23">
        <f t="shared" si="18"/>
        <v>149.24832153320312</v>
      </c>
      <c r="F15" s="24">
        <f>[4]WestHub!$C6</f>
        <v>38.849994659423828</v>
      </c>
      <c r="G15" s="38">
        <f t="shared" si="1"/>
        <v>5.3405761732960855E-6</v>
      </c>
      <c r="H15" s="39">
        <f t="shared" si="2"/>
        <v>38.85</v>
      </c>
      <c r="I15" s="36">
        <f t="shared" si="19"/>
        <v>1.2753152478154523E-2</v>
      </c>
      <c r="J15" s="27">
        <f t="shared" si="20"/>
        <v>0</v>
      </c>
      <c r="K15" s="27">
        <f t="shared" si="3"/>
        <v>1.2753152478154523E-2</v>
      </c>
      <c r="L15" s="172"/>
      <c r="M15" s="28">
        <f t="shared" si="4"/>
        <v>37138</v>
      </c>
      <c r="N15" s="268">
        <v>38.85</v>
      </c>
      <c r="O15" s="268">
        <v>38.85</v>
      </c>
      <c r="P15" s="29">
        <f t="shared" si="21"/>
        <v>5.3405761732960855E-6</v>
      </c>
      <c r="Q15" s="213"/>
      <c r="R15" s="215">
        <f t="shared" si="5"/>
        <v>38.85</v>
      </c>
      <c r="S15" s="172"/>
      <c r="T15"/>
      <c r="U15" s="175"/>
      <c r="V15" s="30">
        <f t="shared" si="6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7"/>
        <v>0</v>
      </c>
      <c r="CZ15" s="34">
        <f t="shared" si="8"/>
        <v>0</v>
      </c>
      <c r="DA15" s="188">
        <f t="shared" si="9"/>
        <v>0</v>
      </c>
      <c r="DB15" s="189">
        <f t="shared" si="10"/>
        <v>37138</v>
      </c>
      <c r="DC15" s="188">
        <f t="shared" si="11"/>
        <v>0</v>
      </c>
      <c r="DD15" s="190">
        <v>16</v>
      </c>
      <c r="DE15" s="188">
        <v>1</v>
      </c>
      <c r="DF15" s="170">
        <f t="shared" si="12"/>
        <v>0</v>
      </c>
      <c r="DG15" s="170">
        <f t="shared" si="13"/>
        <v>0</v>
      </c>
      <c r="DH15" s="170">
        <f t="shared" si="14"/>
        <v>0</v>
      </c>
      <c r="DI15" s="170">
        <f t="shared" si="15"/>
        <v>0</v>
      </c>
      <c r="DK15" s="189">
        <v>36842</v>
      </c>
      <c r="DL15" s="167">
        <v>0</v>
      </c>
      <c r="DN15" s="167">
        <f t="shared" si="16"/>
        <v>0</v>
      </c>
    </row>
    <row r="16" spans="1:118" ht="18.75" x14ac:dyDescent="0.3">
      <c r="A16" s="80">
        <f>'NYISO A'!A16</f>
        <v>37139</v>
      </c>
      <c r="B16" s="114">
        <f>+[4]WestHub!$L7/16+[4]PJM!$L7/16</f>
        <v>149.24832153320312</v>
      </c>
      <c r="C16" s="22">
        <f t="shared" si="0"/>
        <v>0</v>
      </c>
      <c r="D16" s="21">
        <f t="shared" si="17"/>
        <v>0</v>
      </c>
      <c r="E16" s="23">
        <f t="shared" si="18"/>
        <v>149.24832153320312</v>
      </c>
      <c r="F16" s="24">
        <f>[4]WestHub!$C7</f>
        <v>38.849994659423828</v>
      </c>
      <c r="G16" s="24">
        <f t="shared" si="1"/>
        <v>5.3405761732960855E-6</v>
      </c>
      <c r="H16" s="25">
        <f t="shared" si="2"/>
        <v>38.85</v>
      </c>
      <c r="I16" s="26">
        <f t="shared" si="19"/>
        <v>1.2753152478154523E-2</v>
      </c>
      <c r="J16" s="27">
        <f t="shared" si="20"/>
        <v>0</v>
      </c>
      <c r="K16" s="40">
        <f t="shared" si="3"/>
        <v>1.2753152478154523E-2</v>
      </c>
      <c r="L16" s="389">
        <f>+AVERAGE(N15:O16,N18:O19,N22:O26,N29:O33,N36:O40,N42:O42)</f>
        <v>31.630000000000024</v>
      </c>
      <c r="M16" s="28">
        <f t="shared" si="4"/>
        <v>37139</v>
      </c>
      <c r="N16" s="268">
        <v>38.85</v>
      </c>
      <c r="O16" s="268">
        <v>38.85</v>
      </c>
      <c r="P16" s="29">
        <f t="shared" si="21"/>
        <v>5.3405761732960855E-6</v>
      </c>
      <c r="Q16" s="213"/>
      <c r="R16" s="215">
        <f t="shared" si="5"/>
        <v>38.85</v>
      </c>
      <c r="S16" s="172"/>
      <c r="T16"/>
      <c r="U16" s="175"/>
      <c r="V16" s="30">
        <f t="shared" si="6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7"/>
        <v>0</v>
      </c>
      <c r="CZ16" s="34">
        <f t="shared" si="8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17+ABS(AG17)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 t="shared" si="14"/>
        <v>0</v>
      </c>
      <c r="DI16" s="170">
        <f t="shared" si="15"/>
        <v>0</v>
      </c>
      <c r="DK16" s="189">
        <v>36843</v>
      </c>
      <c r="DL16" s="167">
        <v>-49.725383758544922</v>
      </c>
      <c r="DN16" s="167">
        <f t="shared" si="16"/>
        <v>1</v>
      </c>
    </row>
    <row r="17" spans="1:118" ht="18.75" x14ac:dyDescent="0.3">
      <c r="A17" s="80">
        <f>'NYISO A'!A17</f>
        <v>37140</v>
      </c>
      <c r="B17" s="114">
        <f>+[4]WestHub!$L8/16+[4]PJM!$L8/16</f>
        <v>149.24832153320312</v>
      </c>
      <c r="C17" s="35">
        <f t="shared" si="0"/>
        <v>0</v>
      </c>
      <c r="D17" s="36">
        <f t="shared" si="17"/>
        <v>0</v>
      </c>
      <c r="E17" s="23">
        <f t="shared" si="18"/>
        <v>149.24832153320312</v>
      </c>
      <c r="F17" s="24">
        <f>[4]WestHub!$C8</f>
        <v>38.849994659423828</v>
      </c>
      <c r="G17" s="38">
        <f t="shared" si="1"/>
        <v>5.3405761732960855E-6</v>
      </c>
      <c r="H17" s="39">
        <f t="shared" si="2"/>
        <v>38.85</v>
      </c>
      <c r="I17" s="36">
        <f t="shared" si="19"/>
        <v>1.2753152478154523E-2</v>
      </c>
      <c r="J17" s="27">
        <f t="shared" si="20"/>
        <v>0</v>
      </c>
      <c r="K17" s="27">
        <f t="shared" si="3"/>
        <v>1.2753152478154523E-2</v>
      </c>
      <c r="L17" s="389"/>
      <c r="M17" s="28">
        <f t="shared" si="4"/>
        <v>37140</v>
      </c>
      <c r="N17" s="268">
        <v>38.85</v>
      </c>
      <c r="O17" s="268">
        <v>38.85</v>
      </c>
      <c r="P17" s="29">
        <f t="shared" si="21"/>
        <v>5.3405761732960855E-6</v>
      </c>
      <c r="Q17" s="213"/>
      <c r="R17" s="215">
        <f t="shared" si="5"/>
        <v>38.85</v>
      </c>
      <c r="S17" s="172"/>
      <c r="T17"/>
      <c r="U17" s="175"/>
      <c r="V17" s="30">
        <f t="shared" si="6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7"/>
        <v>0</v>
      </c>
      <c r="CZ17" s="34">
        <f t="shared" si="8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18+ABS(AG18)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 t="shared" si="14"/>
        <v>0</v>
      </c>
      <c r="DI17" s="170">
        <f t="shared" si="15"/>
        <v>0</v>
      </c>
      <c r="DK17" s="189">
        <v>36844</v>
      </c>
      <c r="DL17" s="167">
        <v>-49.725383758544922</v>
      </c>
      <c r="DN17" s="167">
        <f t="shared" si="16"/>
        <v>1</v>
      </c>
    </row>
    <row r="18" spans="1:118" ht="18.75" x14ac:dyDescent="0.3">
      <c r="A18" s="80">
        <f>'NYISO A'!A18</f>
        <v>37141</v>
      </c>
      <c r="B18" s="114">
        <f>+[4]WestHub!$L9/16+[4]PJM!$L9/16</f>
        <v>149.24832153320312</v>
      </c>
      <c r="C18" s="22">
        <f t="shared" si="0"/>
        <v>0</v>
      </c>
      <c r="D18" s="21">
        <f t="shared" si="17"/>
        <v>0</v>
      </c>
      <c r="E18" s="23">
        <f t="shared" si="18"/>
        <v>149.24832153320312</v>
      </c>
      <c r="F18" s="24">
        <f>[4]WestHub!$C9</f>
        <v>38.849998474121094</v>
      </c>
      <c r="G18" s="24">
        <f t="shared" si="1"/>
        <v>1.5258789076710855E-6</v>
      </c>
      <c r="H18" s="25">
        <f t="shared" si="2"/>
        <v>38.85</v>
      </c>
      <c r="I18" s="26">
        <f t="shared" si="19"/>
        <v>3.6437578533252309E-3</v>
      </c>
      <c r="J18" s="27">
        <f t="shared" si="20"/>
        <v>0</v>
      </c>
      <c r="K18" s="40">
        <f t="shared" si="3"/>
        <v>3.6437578533252309E-3</v>
      </c>
      <c r="L18" s="172"/>
      <c r="M18" s="28">
        <f t="shared" si="4"/>
        <v>37141</v>
      </c>
      <c r="N18" s="268">
        <v>38.85</v>
      </c>
      <c r="O18" s="268">
        <v>38.85</v>
      </c>
      <c r="P18" s="29">
        <f t="shared" si="21"/>
        <v>1.5258789076710855E-6</v>
      </c>
      <c r="Q18" s="213"/>
      <c r="R18" s="215">
        <f t="shared" si="5"/>
        <v>38.85</v>
      </c>
      <c r="S18" s="172"/>
      <c r="T18"/>
      <c r="U18" s="175"/>
      <c r="V18" s="30">
        <f t="shared" si="6"/>
        <v>37141</v>
      </c>
      <c r="W18" s="177"/>
      <c r="X18" s="178"/>
      <c r="Y18" s="177"/>
      <c r="Z18" s="178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7"/>
        <v>0</v>
      </c>
      <c r="CZ18" s="34">
        <f t="shared" si="8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>(ABS(W18)*X18+ABS(Y18)*Z18+ABS(AA18)*AB18+ABS(AC18)*AD18+ABS(AE18)*AF19+ABS(AG19)*AH18+ABS(AI18)*AJ18+ABS(AK18)*AL18+ABS(AM18)*AN18+ABS(AO18)*AP18+ABS(AQ18)*AR18+ABS(AS18)*AT18+ABS(AU18)*AV18+ABS(AW18)*AX18+ABS(AY18)*AZ18+ABS(BA18)*BB18+ABS(BC18)*BD18+ABS(BE18)*BF18+ABS(BG18)*BH18+ABS(BI18)*BJ18)</f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36845</v>
      </c>
      <c r="DL18" s="167">
        <v>-49.725383758544922</v>
      </c>
      <c r="DN18" s="167">
        <f t="shared" si="16"/>
        <v>1</v>
      </c>
    </row>
    <row r="19" spans="1:118" ht="18.75" x14ac:dyDescent="0.3">
      <c r="A19" s="80">
        <f>'NYISO A'!A19</f>
        <v>37142</v>
      </c>
      <c r="B19" s="114">
        <f>+[4]WestHub!$L10/16+[4]PJM!$L10/16</f>
        <v>0</v>
      </c>
      <c r="C19" s="35">
        <f t="shared" si="0"/>
        <v>0</v>
      </c>
      <c r="D19" s="36">
        <f t="shared" si="17"/>
        <v>0</v>
      </c>
      <c r="E19" s="23">
        <f t="shared" si="18"/>
        <v>0</v>
      </c>
      <c r="F19" s="24">
        <f>[4]WestHub!$C10</f>
        <v>25</v>
      </c>
      <c r="G19" s="38">
        <f t="shared" si="1"/>
        <v>8.0499999999999972</v>
      </c>
      <c r="H19" s="39">
        <f t="shared" si="2"/>
        <v>33.049999999999997</v>
      </c>
      <c r="I19" s="36">
        <f t="shared" si="19"/>
        <v>0</v>
      </c>
      <c r="J19" s="27">
        <f t="shared" si="20"/>
        <v>0</v>
      </c>
      <c r="K19" s="27">
        <f t="shared" si="3"/>
        <v>0</v>
      </c>
      <c r="L19" s="172"/>
      <c r="M19" s="28">
        <f t="shared" si="4"/>
        <v>37142</v>
      </c>
      <c r="N19" s="268">
        <v>33.049999999999997</v>
      </c>
      <c r="O19" s="268">
        <v>33.049999999999997</v>
      </c>
      <c r="P19" s="29">
        <f t="shared" si="21"/>
        <v>8.0499999999999972</v>
      </c>
      <c r="Q19" s="213"/>
      <c r="R19" s="215">
        <f t="shared" si="5"/>
        <v>33.049999999999997</v>
      </c>
      <c r="S19" s="172"/>
      <c r="T19"/>
      <c r="U19" s="175"/>
      <c r="V19" s="30">
        <f t="shared" si="6"/>
        <v>37142</v>
      </c>
      <c r="W19" s="177"/>
      <c r="X19" s="222"/>
      <c r="Y19" s="177"/>
      <c r="Z19" s="222"/>
      <c r="AA19" s="177"/>
      <c r="AB19" s="222"/>
      <c r="AC19" s="177"/>
      <c r="AD19" s="178"/>
      <c r="AE19" s="177"/>
      <c r="AF19" s="178"/>
      <c r="AG19" s="177"/>
      <c r="AH19" s="178"/>
      <c r="AI19" s="177"/>
      <c r="AJ19" s="222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7"/>
        <v>0</v>
      </c>
      <c r="CZ19" s="34">
        <f t="shared" si="8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>(ABS(W19)*X19+ABS(Y19)*Z19+ABS(AA19)*AB19+ABS(AC19)*AD19+ABS(AE19)*AF20+ABS(AG20)*AH19+ABS(AI19)*AJ19+ABS(AK19)*AL19+ABS(AM19)*AN19+ABS(AO19)*AP19+ABS(AQ19)*AR19+ABS(AS19)*AT19+ABS(AU19)*AV19+ABS(AW19)*AX19+ABS(AY19)*AZ19+ABS(BA19)*BB19+ABS(BC19)*BD19+ABS(BE19)*BF19+ABS(BG19)*BH19+ABS(BI19)*BJ19)</f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36846</v>
      </c>
      <c r="DL19" s="167">
        <v>-49.725383758544922</v>
      </c>
      <c r="DN19" s="167">
        <f t="shared" si="16"/>
        <v>1</v>
      </c>
    </row>
    <row r="20" spans="1:118" ht="18.75" x14ac:dyDescent="0.3">
      <c r="A20" s="80">
        <f>'NYISO A'!A20</f>
        <v>37143</v>
      </c>
      <c r="B20" s="114">
        <f>+[4]WestHub!$L11/16+[4]PJM!$L11/16</f>
        <v>0</v>
      </c>
      <c r="C20" s="22">
        <f t="shared" si="0"/>
        <v>0</v>
      </c>
      <c r="D20" s="21">
        <f t="shared" si="17"/>
        <v>0</v>
      </c>
      <c r="E20" s="23">
        <f t="shared" si="18"/>
        <v>0</v>
      </c>
      <c r="F20" s="24">
        <f>[4]WestHub!$C11</f>
        <v>25</v>
      </c>
      <c r="G20" s="24">
        <f t="shared" si="1"/>
        <v>5.8000000000000007</v>
      </c>
      <c r="H20" s="25">
        <f t="shared" si="2"/>
        <v>30.8</v>
      </c>
      <c r="I20" s="26">
        <f t="shared" si="19"/>
        <v>0</v>
      </c>
      <c r="J20" s="27">
        <f t="shared" si="20"/>
        <v>0</v>
      </c>
      <c r="K20" s="40">
        <f t="shared" si="3"/>
        <v>0</v>
      </c>
      <c r="L20" s="389"/>
      <c r="M20" s="28">
        <f t="shared" si="4"/>
        <v>37143</v>
      </c>
      <c r="N20" s="268">
        <v>30.8</v>
      </c>
      <c r="O20" s="268">
        <v>30.8</v>
      </c>
      <c r="P20" s="29">
        <f t="shared" si="21"/>
        <v>5.8000000000000007</v>
      </c>
      <c r="Q20" s="213"/>
      <c r="R20" s="215">
        <f t="shared" si="5"/>
        <v>30.8</v>
      </c>
      <c r="S20" s="172"/>
      <c r="T20"/>
      <c r="U20" s="175"/>
      <c r="V20" s="30">
        <f t="shared" si="6"/>
        <v>37143</v>
      </c>
      <c r="W20" s="177"/>
      <c r="X20" s="222"/>
      <c r="Y20" s="177"/>
      <c r="Z20" s="222"/>
      <c r="AA20" s="177"/>
      <c r="AB20" s="222"/>
      <c r="AC20" s="177"/>
      <c r="AD20" s="222"/>
      <c r="AE20" s="177"/>
      <c r="AF20" s="222"/>
      <c r="AG20" s="177"/>
      <c r="AH20" s="222"/>
      <c r="AI20" s="177"/>
      <c r="AJ20" s="222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7"/>
        <v>0</v>
      </c>
      <c r="CZ20" s="34">
        <f t="shared" si="8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>(ABS(W20)*X20+ABS(Y20)*Z20+ABS(AA20)*AB20+ABS(AC20)*AD20+ABS(AE20)*AF21+ABS(AG21)*AH20+ABS(AI20)*AJ20+ABS(AK20)*AL20+ABS(AM20)*AN20+ABS(AO20)*AP20+ABS(AQ20)*AR20+ABS(AS20)*AT20+ABS(AU20)*AV20+ABS(AW20)*AX20+ABS(AY20)*AZ20+ABS(BA20)*BB20+ABS(BC20)*BD20+ABS(BE20)*BF20+ABS(BG20)*BH20+ABS(BI20)*BJ20)</f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36847</v>
      </c>
      <c r="DL20" s="167">
        <v>-49.725383758544922</v>
      </c>
      <c r="DN20" s="167">
        <f t="shared" si="16"/>
        <v>1</v>
      </c>
    </row>
    <row r="21" spans="1:118" ht="18.75" x14ac:dyDescent="0.3">
      <c r="A21" s="80">
        <f>'NYISO A'!A21</f>
        <v>37144</v>
      </c>
      <c r="B21" s="114">
        <f>+[4]WestHub!$L12/16+[4]PJM!$L12/16</f>
        <v>-3.1249999875131163E-13</v>
      </c>
      <c r="C21" s="35">
        <f t="shared" si="0"/>
        <v>0</v>
      </c>
      <c r="D21" s="36">
        <f t="shared" si="17"/>
        <v>0</v>
      </c>
      <c r="E21" s="23">
        <f t="shared" si="18"/>
        <v>-3.1249999875131163E-13</v>
      </c>
      <c r="F21" s="24">
        <f>[4]WestHub!$C12</f>
        <v>34.250003814697266</v>
      </c>
      <c r="G21" s="38">
        <f t="shared" si="1"/>
        <v>-3.4500038146972649</v>
      </c>
      <c r="H21" s="39">
        <f t="shared" si="2"/>
        <v>30.8</v>
      </c>
      <c r="I21" s="36">
        <f t="shared" si="19"/>
        <v>1.725001900455865E-11</v>
      </c>
      <c r="J21" s="27">
        <f t="shared" si="20"/>
        <v>0</v>
      </c>
      <c r="K21" s="27">
        <f t="shared" si="3"/>
        <v>1.725001900455865E-11</v>
      </c>
      <c r="L21" s="389"/>
      <c r="M21" s="28">
        <f t="shared" si="4"/>
        <v>37144</v>
      </c>
      <c r="N21" s="268">
        <v>30.8</v>
      </c>
      <c r="O21" s="268">
        <v>30.8</v>
      </c>
      <c r="P21" s="29">
        <f t="shared" si="21"/>
        <v>-3.4500038146972649</v>
      </c>
      <c r="Q21" s="213"/>
      <c r="R21" s="215">
        <f t="shared" si="5"/>
        <v>30.8</v>
      </c>
      <c r="S21" s="172"/>
      <c r="T21"/>
      <c r="U21" s="175"/>
      <c r="V21" s="30">
        <f t="shared" si="6"/>
        <v>37144</v>
      </c>
      <c r="W21" s="177"/>
      <c r="X21" s="222"/>
      <c r="Y21" s="177"/>
      <c r="Z21" s="178"/>
      <c r="AA21" s="177"/>
      <c r="AB21" s="222"/>
      <c r="AC21" s="177"/>
      <c r="AD21" s="222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7"/>
        <v>0</v>
      </c>
      <c r="CZ21" s="34">
        <f t="shared" si="8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36848</v>
      </c>
      <c r="DL21" s="167">
        <v>0</v>
      </c>
      <c r="DN21" s="167">
        <f t="shared" si="16"/>
        <v>0</v>
      </c>
    </row>
    <row r="22" spans="1:118" ht="18.75" x14ac:dyDescent="0.3">
      <c r="A22" s="80">
        <f>'NYISO A'!A22</f>
        <v>37145</v>
      </c>
      <c r="B22" s="114">
        <f>+[4]WestHub!$L13/16+[4]PJM!$L13/16</f>
        <v>-7.499999970031479E-13</v>
      </c>
      <c r="C22" s="22">
        <f t="shared" si="0"/>
        <v>0</v>
      </c>
      <c r="D22" s="21">
        <f t="shared" si="17"/>
        <v>0</v>
      </c>
      <c r="E22" s="23">
        <f t="shared" si="18"/>
        <v>-7.499999970031479E-13</v>
      </c>
      <c r="F22" s="24">
        <f>[4]WestHub!$C13</f>
        <v>34.250003814697266</v>
      </c>
      <c r="G22" s="24">
        <f t="shared" si="1"/>
        <v>-4.0500038146972663</v>
      </c>
      <c r="H22" s="25">
        <f t="shared" si="2"/>
        <v>30.2</v>
      </c>
      <c r="I22" s="26">
        <f t="shared" si="19"/>
        <v>4.8600045582171E-11</v>
      </c>
      <c r="J22" s="27">
        <f t="shared" si="20"/>
        <v>0</v>
      </c>
      <c r="K22" s="27">
        <f t="shared" si="3"/>
        <v>4.8600045582171E-11</v>
      </c>
      <c r="L22" s="172"/>
      <c r="M22" s="28">
        <f t="shared" si="4"/>
        <v>37145</v>
      </c>
      <c r="N22" s="268">
        <v>30.2</v>
      </c>
      <c r="O22" s="268">
        <v>30.2</v>
      </c>
      <c r="P22" s="29">
        <f t="shared" si="21"/>
        <v>-4.0500038146972663</v>
      </c>
      <c r="Q22" s="213"/>
      <c r="R22" s="215">
        <f t="shared" si="5"/>
        <v>30.2</v>
      </c>
      <c r="S22" s="172"/>
      <c r="T22"/>
      <c r="U22" s="175"/>
      <c r="V22" s="30">
        <f t="shared" si="6"/>
        <v>37145</v>
      </c>
      <c r="W22" s="177"/>
      <c r="X22" s="222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7"/>
        <v>0</v>
      </c>
      <c r="CZ22" s="34">
        <f t="shared" si="8"/>
        <v>0</v>
      </c>
      <c r="DA22" s="188">
        <f t="shared" si="9"/>
        <v>0</v>
      </c>
      <c r="DB22" s="189">
        <f t="shared" si="10"/>
        <v>37145</v>
      </c>
      <c r="DC22" s="188">
        <f t="shared" si="11"/>
        <v>0</v>
      </c>
      <c r="DD22" s="190">
        <v>16</v>
      </c>
      <c r="DE22" s="188">
        <v>1</v>
      </c>
      <c r="DF22" s="170">
        <f t="shared" si="12"/>
        <v>0</v>
      </c>
      <c r="DG22" s="170">
        <f t="shared" si="13"/>
        <v>0</v>
      </c>
      <c r="DH22" s="170">
        <f t="shared" si="14"/>
        <v>0</v>
      </c>
      <c r="DI22" s="170">
        <f t="shared" si="15"/>
        <v>0</v>
      </c>
      <c r="DK22" s="189">
        <v>36849</v>
      </c>
      <c r="DL22" s="167">
        <v>0</v>
      </c>
      <c r="DN22" s="167">
        <f t="shared" si="16"/>
        <v>0</v>
      </c>
    </row>
    <row r="23" spans="1:118" ht="18.75" x14ac:dyDescent="0.3">
      <c r="A23" s="80">
        <f>'NYISO A'!A23</f>
        <v>37146</v>
      </c>
      <c r="B23" s="114">
        <f>+[4]WestHub!$L14/16+[4]PJM!$L14/16</f>
        <v>3.1249999875131163E-13</v>
      </c>
      <c r="C23" s="35">
        <f t="shared" si="0"/>
        <v>0</v>
      </c>
      <c r="D23" s="36">
        <f t="shared" si="17"/>
        <v>0</v>
      </c>
      <c r="E23" s="23">
        <f t="shared" si="18"/>
        <v>3.1249999875131163E-13</v>
      </c>
      <c r="F23" s="24">
        <f>[4]WestHub!$C14</f>
        <v>34.250003814697266</v>
      </c>
      <c r="G23" s="38">
        <f t="shared" si="1"/>
        <v>-4.0500038146972663</v>
      </c>
      <c r="H23" s="39">
        <f t="shared" si="2"/>
        <v>30.2</v>
      </c>
      <c r="I23" s="36">
        <f t="shared" si="19"/>
        <v>-2.0250018992571248E-11</v>
      </c>
      <c r="J23" s="27">
        <f t="shared" si="20"/>
        <v>0</v>
      </c>
      <c r="K23" s="40">
        <f t="shared" si="3"/>
        <v>-2.0250018992571248E-11</v>
      </c>
      <c r="L23" s="172"/>
      <c r="M23" s="28">
        <f t="shared" si="4"/>
        <v>37146</v>
      </c>
      <c r="N23" s="268">
        <v>30.2</v>
      </c>
      <c r="O23" s="268">
        <v>30.2</v>
      </c>
      <c r="P23" s="29">
        <f t="shared" si="21"/>
        <v>-4.0500038146972663</v>
      </c>
      <c r="Q23" s="213"/>
      <c r="R23" s="215">
        <f t="shared" si="5"/>
        <v>30.2</v>
      </c>
      <c r="S23" s="172"/>
      <c r="T23"/>
      <c r="U23" s="175"/>
      <c r="V23" s="30">
        <f t="shared" si="6"/>
        <v>37146</v>
      </c>
      <c r="W23" s="177"/>
      <c r="X23" s="222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7"/>
        <v>0</v>
      </c>
      <c r="CZ23" s="34">
        <f t="shared" si="8"/>
        <v>0</v>
      </c>
      <c r="DA23" s="188">
        <f t="shared" si="9"/>
        <v>0</v>
      </c>
      <c r="DB23" s="189">
        <f t="shared" si="10"/>
        <v>37146</v>
      </c>
      <c r="DC23" s="188">
        <f t="shared" si="11"/>
        <v>0</v>
      </c>
      <c r="DD23" s="190">
        <v>16</v>
      </c>
      <c r="DE23" s="188">
        <v>1</v>
      </c>
      <c r="DF23" s="170">
        <f t="shared" si="12"/>
        <v>0</v>
      </c>
      <c r="DG23" s="170">
        <f t="shared" si="13"/>
        <v>0</v>
      </c>
      <c r="DH23" s="170">
        <f t="shared" si="14"/>
        <v>0</v>
      </c>
      <c r="DI23" s="170">
        <f t="shared" si="15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6"/>
        <v>1</v>
      </c>
    </row>
    <row r="24" spans="1:118" ht="18.75" x14ac:dyDescent="0.3">
      <c r="A24" s="80">
        <f>'NYISO A'!A24</f>
        <v>37147</v>
      </c>
      <c r="B24" s="114">
        <f>+[4]WestHub!$L15/16+[4]PJM!$L15/16</f>
        <v>-3.1249999875131163E-13</v>
      </c>
      <c r="C24" s="22">
        <f t="shared" si="0"/>
        <v>0</v>
      </c>
      <c r="D24" s="21">
        <f t="shared" si="17"/>
        <v>0</v>
      </c>
      <c r="E24" s="23">
        <f t="shared" si="18"/>
        <v>-3.1249999875131163E-13</v>
      </c>
      <c r="F24" s="24">
        <f>[4]WestHub!$C15</f>
        <v>34.250003814697266</v>
      </c>
      <c r="G24" s="24">
        <f t="shared" si="1"/>
        <v>-4.0500038146972663</v>
      </c>
      <c r="H24" s="25">
        <f t="shared" si="2"/>
        <v>30.2</v>
      </c>
      <c r="I24" s="26">
        <f t="shared" si="19"/>
        <v>2.0250018992571248E-11</v>
      </c>
      <c r="J24" s="27">
        <f t="shared" si="20"/>
        <v>0</v>
      </c>
      <c r="K24" s="27">
        <f t="shared" si="3"/>
        <v>2.0250018992571248E-11</v>
      </c>
      <c r="L24" s="172"/>
      <c r="M24" s="28">
        <f t="shared" si="4"/>
        <v>37147</v>
      </c>
      <c r="N24" s="268">
        <v>30.2</v>
      </c>
      <c r="O24" s="268">
        <v>30.2</v>
      </c>
      <c r="P24" s="29">
        <f t="shared" si="21"/>
        <v>-4.0500038146972663</v>
      </c>
      <c r="Q24" s="213"/>
      <c r="R24" s="215">
        <f t="shared" si="5"/>
        <v>30.2</v>
      </c>
      <c r="S24" s="172"/>
      <c r="T24"/>
      <c r="U24" s="175"/>
      <c r="V24" s="30">
        <f t="shared" si="6"/>
        <v>37147</v>
      </c>
      <c r="W24" s="177"/>
      <c r="X24" s="222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7"/>
        <v>0</v>
      </c>
      <c r="CZ24" s="34">
        <f t="shared" si="8"/>
        <v>0</v>
      </c>
      <c r="DA24" s="188">
        <f t="shared" si="9"/>
        <v>0</v>
      </c>
      <c r="DB24" s="189">
        <f t="shared" si="10"/>
        <v>37147</v>
      </c>
      <c r="DC24" s="188">
        <f t="shared" si="11"/>
        <v>0</v>
      </c>
      <c r="DD24" s="190">
        <v>16</v>
      </c>
      <c r="DE24" s="188">
        <v>1</v>
      </c>
      <c r="DF24" s="170">
        <f t="shared" si="12"/>
        <v>0</v>
      </c>
      <c r="DG24" s="170">
        <f t="shared" si="13"/>
        <v>0</v>
      </c>
      <c r="DH24" s="170">
        <f t="shared" si="14"/>
        <v>0</v>
      </c>
      <c r="DI24" s="170">
        <f t="shared" si="15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6"/>
        <v>1</v>
      </c>
    </row>
    <row r="25" spans="1:118" ht="18.75" x14ac:dyDescent="0.3">
      <c r="A25" s="80">
        <f>'NYISO A'!A25</f>
        <v>37148</v>
      </c>
      <c r="B25" s="114">
        <f>+[4]WestHub!$L16/16+[4]PJM!$L16/16</f>
        <v>-3.1249999875131163E-13</v>
      </c>
      <c r="C25" s="35">
        <f t="shared" si="0"/>
        <v>0</v>
      </c>
      <c r="D25" s="36">
        <f t="shared" si="17"/>
        <v>0</v>
      </c>
      <c r="E25" s="23">
        <f t="shared" si="18"/>
        <v>-3.1249999875131163E-13</v>
      </c>
      <c r="F25" s="24">
        <f>[4]WestHub!$C16</f>
        <v>34.250003814697266</v>
      </c>
      <c r="G25" s="38">
        <f t="shared" si="1"/>
        <v>-4.0500038146972663</v>
      </c>
      <c r="H25" s="39">
        <f t="shared" si="2"/>
        <v>30.2</v>
      </c>
      <c r="I25" s="36">
        <f t="shared" si="19"/>
        <v>2.0250018992571248E-11</v>
      </c>
      <c r="J25" s="27">
        <f t="shared" si="20"/>
        <v>0</v>
      </c>
      <c r="K25" s="40">
        <f t="shared" si="3"/>
        <v>2.0250018992571248E-11</v>
      </c>
      <c r="L25" s="172"/>
      <c r="M25" s="28">
        <f t="shared" si="4"/>
        <v>37148</v>
      </c>
      <c r="N25" s="268">
        <v>30.2</v>
      </c>
      <c r="O25" s="268">
        <v>30.2</v>
      </c>
      <c r="P25" s="29">
        <f t="shared" si="21"/>
        <v>-4.0500038146972663</v>
      </c>
      <c r="Q25" s="213"/>
      <c r="R25" s="215">
        <f t="shared" si="5"/>
        <v>30.2</v>
      </c>
      <c r="S25" s="172"/>
      <c r="T25"/>
      <c r="U25" s="175"/>
      <c r="V25" s="30">
        <f t="shared" si="6"/>
        <v>37148</v>
      </c>
      <c r="W25" s="177"/>
      <c r="X25" s="222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7"/>
        <v>0</v>
      </c>
      <c r="CZ25" s="34">
        <f t="shared" si="8"/>
        <v>0</v>
      </c>
      <c r="DA25" s="188">
        <f t="shared" si="9"/>
        <v>0</v>
      </c>
      <c r="DB25" s="189">
        <f t="shared" si="10"/>
        <v>37148</v>
      </c>
      <c r="DC25" s="188">
        <f t="shared" si="11"/>
        <v>0</v>
      </c>
      <c r="DD25" s="190">
        <v>16</v>
      </c>
      <c r="DE25" s="188">
        <v>1</v>
      </c>
      <c r="DF25" s="170">
        <f t="shared" si="12"/>
        <v>0</v>
      </c>
      <c r="DG25" s="170">
        <f t="shared" si="13"/>
        <v>0</v>
      </c>
      <c r="DH25" s="170">
        <f t="shared" si="14"/>
        <v>0</v>
      </c>
      <c r="DI25" s="170">
        <f t="shared" si="15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6"/>
        <v>1</v>
      </c>
    </row>
    <row r="26" spans="1:118" ht="18.75" x14ac:dyDescent="0.3">
      <c r="A26" s="80">
        <f>'NYISO A'!A26</f>
        <v>37149</v>
      </c>
      <c r="B26" s="114">
        <f>+[4]WestHub!$L17/16+[4]PJM!$L17/16</f>
        <v>0</v>
      </c>
      <c r="C26" s="22">
        <f t="shared" si="0"/>
        <v>0</v>
      </c>
      <c r="D26" s="21">
        <f t="shared" si="17"/>
        <v>0</v>
      </c>
      <c r="E26" s="23">
        <f t="shared" si="18"/>
        <v>0</v>
      </c>
      <c r="F26" s="24">
        <f>[4]WestHub!$C17</f>
        <v>25.000001907348633</v>
      </c>
      <c r="G26" s="24">
        <f t="shared" si="1"/>
        <v>5.1999980926513665</v>
      </c>
      <c r="H26" s="25">
        <f t="shared" si="2"/>
        <v>30.2</v>
      </c>
      <c r="I26" s="26">
        <f t="shared" si="19"/>
        <v>0</v>
      </c>
      <c r="J26" s="27">
        <f t="shared" si="20"/>
        <v>0</v>
      </c>
      <c r="K26" s="27">
        <f t="shared" si="3"/>
        <v>0</v>
      </c>
      <c r="L26" s="172"/>
      <c r="M26" s="28">
        <f t="shared" si="4"/>
        <v>37149</v>
      </c>
      <c r="N26" s="268">
        <v>30.2</v>
      </c>
      <c r="O26" s="268">
        <v>30.2</v>
      </c>
      <c r="P26" s="29">
        <f t="shared" si="21"/>
        <v>5.1999980926513665</v>
      </c>
      <c r="Q26" s="213"/>
      <c r="R26" s="215">
        <f t="shared" si="5"/>
        <v>30.2</v>
      </c>
      <c r="S26" s="172"/>
      <c r="T26"/>
      <c r="U26" s="175"/>
      <c r="V26" s="30">
        <f t="shared" si="6"/>
        <v>37149</v>
      </c>
      <c r="W26" s="177"/>
      <c r="X26" s="222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7"/>
        <v>0</v>
      </c>
      <c r="CZ26" s="34">
        <f t="shared" si="8"/>
        <v>0</v>
      </c>
      <c r="DA26" s="188">
        <f t="shared" si="9"/>
        <v>0</v>
      </c>
      <c r="DB26" s="189">
        <f t="shared" si="10"/>
        <v>37149</v>
      </c>
      <c r="DC26" s="188">
        <f t="shared" si="11"/>
        <v>0</v>
      </c>
      <c r="DD26" s="190">
        <v>16</v>
      </c>
      <c r="DE26" s="188">
        <v>1</v>
      </c>
      <c r="DF26" s="170">
        <f t="shared" si="12"/>
        <v>0</v>
      </c>
      <c r="DG26" s="170">
        <f t="shared" si="13"/>
        <v>0</v>
      </c>
      <c r="DH26" s="170">
        <f t="shared" si="14"/>
        <v>0</v>
      </c>
      <c r="DI26" s="170">
        <f t="shared" si="15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6"/>
        <v>1</v>
      </c>
    </row>
    <row r="27" spans="1:118" ht="18.75" x14ac:dyDescent="0.3">
      <c r="A27" s="80">
        <f>'NYISO A'!A27</f>
        <v>37150</v>
      </c>
      <c r="B27" s="114">
        <f>+[4]WestHub!$L18/16+[4]PJM!$L18/16</f>
        <v>0</v>
      </c>
      <c r="C27" s="35">
        <f t="shared" si="0"/>
        <v>0</v>
      </c>
      <c r="D27" s="36">
        <f t="shared" si="17"/>
        <v>0</v>
      </c>
      <c r="E27" s="23">
        <f t="shared" si="18"/>
        <v>0</v>
      </c>
      <c r="F27" s="24">
        <f>[4]WestHub!$C18</f>
        <v>25.000003814697266</v>
      </c>
      <c r="G27" s="38">
        <f t="shared" si="1"/>
        <v>5.7999961853027351</v>
      </c>
      <c r="H27" s="39">
        <f t="shared" si="2"/>
        <v>30.8</v>
      </c>
      <c r="I27" s="36">
        <f t="shared" si="19"/>
        <v>0</v>
      </c>
      <c r="J27" s="27">
        <f t="shared" si="20"/>
        <v>0</v>
      </c>
      <c r="K27" s="40">
        <f t="shared" si="3"/>
        <v>0</v>
      </c>
      <c r="L27" s="172"/>
      <c r="M27" s="28">
        <f t="shared" si="4"/>
        <v>37150</v>
      </c>
      <c r="N27" s="268">
        <v>30.8</v>
      </c>
      <c r="O27" s="268">
        <v>30.8</v>
      </c>
      <c r="P27" s="29">
        <f t="shared" si="21"/>
        <v>5.7999961853027351</v>
      </c>
      <c r="Q27" s="213"/>
      <c r="R27" s="215">
        <f t="shared" si="5"/>
        <v>30.8</v>
      </c>
      <c r="S27" s="172"/>
      <c r="T27"/>
      <c r="U27" s="175"/>
      <c r="V27" s="30">
        <f t="shared" si="6"/>
        <v>37150</v>
      </c>
      <c r="W27" s="177"/>
      <c r="X27" s="222"/>
      <c r="Y27" s="177"/>
      <c r="Z27" s="222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7"/>
        <v>0</v>
      </c>
      <c r="CZ27" s="34">
        <f t="shared" si="8"/>
        <v>0</v>
      </c>
      <c r="DA27" s="188">
        <f t="shared" si="9"/>
        <v>0</v>
      </c>
      <c r="DB27" s="189">
        <f t="shared" si="10"/>
        <v>37150</v>
      </c>
      <c r="DC27" s="188">
        <f t="shared" si="11"/>
        <v>0</v>
      </c>
      <c r="DD27" s="190">
        <v>16</v>
      </c>
      <c r="DE27" s="188">
        <v>1</v>
      </c>
      <c r="DF27" s="170">
        <f t="shared" si="12"/>
        <v>0</v>
      </c>
      <c r="DG27" s="170">
        <f t="shared" si="13"/>
        <v>0</v>
      </c>
      <c r="DH27" s="170">
        <f t="shared" si="14"/>
        <v>0</v>
      </c>
      <c r="DI27" s="170">
        <f t="shared" si="15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6"/>
        <v>1</v>
      </c>
    </row>
    <row r="28" spans="1:118" ht="18.75" x14ac:dyDescent="0.3">
      <c r="A28" s="80">
        <f>'NYISO A'!A28</f>
        <v>37151</v>
      </c>
      <c r="B28" s="114">
        <f>+[4]WestHub!$L19/16+[4]PJM!$L19/16</f>
        <v>-3.1249999875131163E-13</v>
      </c>
      <c r="C28" s="22">
        <f t="shared" si="0"/>
        <v>0</v>
      </c>
      <c r="D28" s="21">
        <f t="shared" si="17"/>
        <v>0</v>
      </c>
      <c r="E28" s="23">
        <f t="shared" si="18"/>
        <v>-3.1249999875131163E-13</v>
      </c>
      <c r="F28" s="24">
        <f>[4]WestHub!$C19</f>
        <v>29.700002670288086</v>
      </c>
      <c r="G28" s="24">
        <f t="shared" si="1"/>
        <v>1.0999973297119148</v>
      </c>
      <c r="H28" s="25">
        <f t="shared" si="2"/>
        <v>30.8</v>
      </c>
      <c r="I28" s="26">
        <f t="shared" si="19"/>
        <v>-5.4999866265827115E-12</v>
      </c>
      <c r="J28" s="27">
        <f t="shared" si="20"/>
        <v>0</v>
      </c>
      <c r="K28" s="27">
        <f t="shared" si="3"/>
        <v>-5.4999866265827115E-12</v>
      </c>
      <c r="L28" s="172"/>
      <c r="M28" s="28">
        <f t="shared" si="4"/>
        <v>37151</v>
      </c>
      <c r="N28" s="268">
        <v>30.8</v>
      </c>
      <c r="O28" s="268">
        <v>30.8</v>
      </c>
      <c r="P28" s="29">
        <f t="shared" si="21"/>
        <v>1.0999973297119148</v>
      </c>
      <c r="Q28" s="213"/>
      <c r="R28" s="215">
        <f t="shared" si="5"/>
        <v>30.8</v>
      </c>
      <c r="S28" s="172"/>
      <c r="T28"/>
      <c r="U28" s="175"/>
      <c r="V28" s="30">
        <f t="shared" si="6"/>
        <v>37151</v>
      </c>
      <c r="W28" s="177"/>
      <c r="X28" s="222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7"/>
        <v>0</v>
      </c>
      <c r="CZ28" s="34">
        <f t="shared" si="8"/>
        <v>0</v>
      </c>
      <c r="DA28" s="188">
        <f t="shared" si="9"/>
        <v>0</v>
      </c>
      <c r="DB28" s="189">
        <f t="shared" si="10"/>
        <v>37151</v>
      </c>
      <c r="DC28" s="188">
        <f t="shared" si="11"/>
        <v>0</v>
      </c>
      <c r="DD28" s="190">
        <v>16</v>
      </c>
      <c r="DE28" s="188">
        <v>1</v>
      </c>
      <c r="DF28" s="170">
        <f t="shared" si="12"/>
        <v>0</v>
      </c>
      <c r="DG28" s="170">
        <f t="shared" si="13"/>
        <v>0</v>
      </c>
      <c r="DH28" s="170">
        <f t="shared" si="14"/>
        <v>0</v>
      </c>
      <c r="DI28" s="170">
        <f t="shared" si="15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6"/>
        <v>0</v>
      </c>
    </row>
    <row r="29" spans="1:118" ht="18.75" x14ac:dyDescent="0.3">
      <c r="A29" s="80">
        <f>'NYISO A'!A29</f>
        <v>37152</v>
      </c>
      <c r="B29" s="114">
        <f>+[4]WestHub!$L20/16+[4]PJM!$L20/16</f>
        <v>-3.1249999875131163E-13</v>
      </c>
      <c r="C29" s="35">
        <f t="shared" si="0"/>
        <v>0</v>
      </c>
      <c r="D29" s="36">
        <f t="shared" si="17"/>
        <v>0</v>
      </c>
      <c r="E29" s="23">
        <f t="shared" si="18"/>
        <v>-3.1249999875131163E-13</v>
      </c>
      <c r="F29" s="24">
        <f>[4]WestHub!$C20</f>
        <v>29.700002670288086</v>
      </c>
      <c r="G29" s="38">
        <f t="shared" si="1"/>
        <v>0.49999732971191335</v>
      </c>
      <c r="H29" s="39">
        <f t="shared" si="2"/>
        <v>30.2</v>
      </c>
      <c r="I29" s="36">
        <f t="shared" si="19"/>
        <v>-2.499986638570113E-12</v>
      </c>
      <c r="J29" s="27">
        <f t="shared" si="20"/>
        <v>0</v>
      </c>
      <c r="K29" s="40">
        <f t="shared" si="3"/>
        <v>-2.499986638570113E-12</v>
      </c>
      <c r="L29" s="172"/>
      <c r="M29" s="28">
        <f t="shared" si="4"/>
        <v>37152</v>
      </c>
      <c r="N29" s="268">
        <v>30.2</v>
      </c>
      <c r="O29" s="268">
        <v>30.2</v>
      </c>
      <c r="P29" s="29">
        <f t="shared" si="21"/>
        <v>0.49999732971191335</v>
      </c>
      <c r="Q29" s="213"/>
      <c r="R29" s="215">
        <f t="shared" si="5"/>
        <v>30.2</v>
      </c>
      <c r="S29" s="172"/>
      <c r="T29"/>
      <c r="U29" s="175"/>
      <c r="V29" s="30">
        <f t="shared" si="6"/>
        <v>37152</v>
      </c>
      <c r="W29" s="177"/>
      <c r="X29" s="222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7"/>
        <v>0</v>
      </c>
      <c r="CZ29" s="34">
        <f t="shared" si="8"/>
        <v>0</v>
      </c>
      <c r="DA29" s="188">
        <f t="shared" si="9"/>
        <v>0</v>
      </c>
      <c r="DB29" s="189">
        <f t="shared" si="10"/>
        <v>37152</v>
      </c>
      <c r="DC29" s="188">
        <f t="shared" si="11"/>
        <v>0</v>
      </c>
      <c r="DD29" s="190">
        <v>16</v>
      </c>
      <c r="DE29" s="188">
        <v>1</v>
      </c>
      <c r="DF29" s="170">
        <f t="shared" si="12"/>
        <v>0</v>
      </c>
      <c r="DG29" s="170">
        <f t="shared" si="13"/>
        <v>0</v>
      </c>
      <c r="DH29" s="170">
        <f t="shared" si="14"/>
        <v>0</v>
      </c>
      <c r="DI29" s="170">
        <f t="shared" si="15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6"/>
        <v>0</v>
      </c>
    </row>
    <row r="30" spans="1:118" ht="18.75" x14ac:dyDescent="0.3">
      <c r="A30" s="80">
        <f>'NYISO A'!A30</f>
        <v>37153</v>
      </c>
      <c r="B30" s="114">
        <f>+[4]WestHub!$L21/16+[4]PJM!$L21/16</f>
        <v>-7.499999970031479E-13</v>
      </c>
      <c r="C30" s="22">
        <f t="shared" si="0"/>
        <v>0</v>
      </c>
      <c r="D30" s="21">
        <f t="shared" si="17"/>
        <v>0</v>
      </c>
      <c r="E30" s="23">
        <f t="shared" si="18"/>
        <v>-7.499999970031479E-13</v>
      </c>
      <c r="F30" s="24">
        <f>[4]WestHub!$C21</f>
        <v>29.700002670288086</v>
      </c>
      <c r="G30" s="24">
        <f t="shared" si="1"/>
        <v>0.49999732971191335</v>
      </c>
      <c r="H30" s="25">
        <f t="shared" si="2"/>
        <v>30.2</v>
      </c>
      <c r="I30" s="26">
        <f t="shared" si="19"/>
        <v>-5.9999679325682716E-12</v>
      </c>
      <c r="J30" s="27">
        <f t="shared" si="20"/>
        <v>0</v>
      </c>
      <c r="K30" s="27">
        <f t="shared" si="3"/>
        <v>-5.9999679325682716E-12</v>
      </c>
      <c r="L30" s="172"/>
      <c r="M30" s="28">
        <f t="shared" si="4"/>
        <v>37153</v>
      </c>
      <c r="N30" s="268">
        <v>30.2</v>
      </c>
      <c r="O30" s="268">
        <v>30.2</v>
      </c>
      <c r="P30" s="29">
        <f t="shared" si="21"/>
        <v>0.49999732971191335</v>
      </c>
      <c r="Q30" s="213"/>
      <c r="R30" s="215">
        <f t="shared" si="5"/>
        <v>30.2</v>
      </c>
      <c r="S30" s="172"/>
      <c r="T30"/>
      <c r="U30" s="175"/>
      <c r="V30" s="30">
        <f t="shared" si="6"/>
        <v>37153</v>
      </c>
      <c r="W30" s="177"/>
      <c r="X30" s="221"/>
      <c r="Y30" s="177"/>
      <c r="Z30" s="221"/>
      <c r="AA30" s="177"/>
      <c r="AB30" s="221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7"/>
        <v>0</v>
      </c>
      <c r="CZ30" s="34">
        <f t="shared" si="8"/>
        <v>0</v>
      </c>
      <c r="DA30" s="188">
        <f t="shared" si="9"/>
        <v>0</v>
      </c>
      <c r="DB30" s="189">
        <f t="shared" si="10"/>
        <v>37153</v>
      </c>
      <c r="DC30" s="188">
        <f t="shared" si="11"/>
        <v>0</v>
      </c>
      <c r="DD30" s="190">
        <v>16</v>
      </c>
      <c r="DE30" s="188">
        <v>1</v>
      </c>
      <c r="DF30" s="170">
        <f t="shared" si="12"/>
        <v>0</v>
      </c>
      <c r="DG30" s="170">
        <f t="shared" si="13"/>
        <v>0</v>
      </c>
      <c r="DH30" s="170">
        <f t="shared" si="14"/>
        <v>0</v>
      </c>
      <c r="DI30" s="170">
        <f t="shared" si="15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6"/>
        <v>1</v>
      </c>
    </row>
    <row r="31" spans="1:118" ht="18.75" x14ac:dyDescent="0.3">
      <c r="A31" s="80">
        <f>'NYISO A'!A31</f>
        <v>37154</v>
      </c>
      <c r="B31" s="114">
        <f>+[4]WestHub!$L22/16+[4]PJM!$L22/16</f>
        <v>-7.499999970031479E-13</v>
      </c>
      <c r="C31" s="35">
        <f t="shared" si="0"/>
        <v>0</v>
      </c>
      <c r="D31" s="36">
        <f t="shared" si="17"/>
        <v>0</v>
      </c>
      <c r="E31" s="23">
        <f t="shared" si="18"/>
        <v>-7.499999970031479E-13</v>
      </c>
      <c r="F31" s="24">
        <f>[4]WestHub!$C22</f>
        <v>29.700002670288086</v>
      </c>
      <c r="G31" s="38">
        <f t="shared" si="1"/>
        <v>0.49999732971191335</v>
      </c>
      <c r="H31" s="39">
        <f t="shared" si="2"/>
        <v>30.2</v>
      </c>
      <c r="I31" s="36">
        <f t="shared" si="19"/>
        <v>-5.9999679325682716E-12</v>
      </c>
      <c r="J31" s="27">
        <f t="shared" si="20"/>
        <v>0</v>
      </c>
      <c r="K31" s="40">
        <f t="shared" si="3"/>
        <v>-5.9999679325682716E-12</v>
      </c>
      <c r="L31" s="172"/>
      <c r="M31" s="28">
        <f t="shared" si="4"/>
        <v>37154</v>
      </c>
      <c r="N31" s="268">
        <v>30.2</v>
      </c>
      <c r="O31" s="268">
        <v>30.2</v>
      </c>
      <c r="P31" s="29">
        <f t="shared" si="21"/>
        <v>0.49999732971191335</v>
      </c>
      <c r="Q31" s="213"/>
      <c r="R31" s="215">
        <f t="shared" si="5"/>
        <v>30.2</v>
      </c>
      <c r="S31" s="172"/>
      <c r="T31"/>
      <c r="U31" s="175"/>
      <c r="V31" s="30">
        <f t="shared" si="6"/>
        <v>37154</v>
      </c>
      <c r="W31" s="177"/>
      <c r="X31" s="222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7"/>
        <v>0</v>
      </c>
      <c r="CZ31" s="34">
        <f t="shared" si="8"/>
        <v>0</v>
      </c>
      <c r="DA31" s="188">
        <f t="shared" si="9"/>
        <v>0</v>
      </c>
      <c r="DB31" s="189">
        <f t="shared" si="10"/>
        <v>37154</v>
      </c>
      <c r="DC31" s="188">
        <f t="shared" si="11"/>
        <v>0</v>
      </c>
      <c r="DD31" s="190">
        <v>16</v>
      </c>
      <c r="DE31" s="188">
        <v>1</v>
      </c>
      <c r="DF31" s="170">
        <f t="shared" si="12"/>
        <v>0</v>
      </c>
      <c r="DG31" s="170">
        <f t="shared" si="13"/>
        <v>0</v>
      </c>
      <c r="DH31" s="170">
        <f t="shared" si="14"/>
        <v>0</v>
      </c>
      <c r="DI31" s="170">
        <f t="shared" si="15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6"/>
        <v>1</v>
      </c>
    </row>
    <row r="32" spans="1:118" ht="18.75" x14ac:dyDescent="0.3">
      <c r="A32" s="80">
        <f>'NYISO A'!A32</f>
        <v>37155</v>
      </c>
      <c r="B32" s="114">
        <f>+[4]WestHub!$L23/16+[4]PJM!$L23/16</f>
        <v>-1.2499999950052465E-13</v>
      </c>
      <c r="C32" s="22">
        <f t="shared" si="0"/>
        <v>0</v>
      </c>
      <c r="D32" s="21">
        <f t="shared" si="17"/>
        <v>0</v>
      </c>
      <c r="E32" s="23">
        <f t="shared" si="18"/>
        <v>-1.2499999950052465E-13</v>
      </c>
      <c r="F32" s="24">
        <f>[4]WestHub!$C23</f>
        <v>29.700002670288086</v>
      </c>
      <c r="G32" s="24">
        <f t="shared" si="1"/>
        <v>0.49999732971191335</v>
      </c>
      <c r="H32" s="25">
        <f t="shared" si="2"/>
        <v>30.2</v>
      </c>
      <c r="I32" s="26">
        <f t="shared" si="19"/>
        <v>-9.9999465542804533E-13</v>
      </c>
      <c r="J32" s="27">
        <f t="shared" si="20"/>
        <v>0</v>
      </c>
      <c r="K32" s="27">
        <f t="shared" si="3"/>
        <v>-9.9999465542804533E-13</v>
      </c>
      <c r="L32" s="172"/>
      <c r="M32" s="28">
        <f t="shared" si="4"/>
        <v>37155</v>
      </c>
      <c r="N32" s="268">
        <v>30.2</v>
      </c>
      <c r="O32" s="268">
        <v>30.2</v>
      </c>
      <c r="P32" s="29">
        <f t="shared" si="21"/>
        <v>0.49999732971191335</v>
      </c>
      <c r="Q32" s="213"/>
      <c r="R32" s="215">
        <f t="shared" si="5"/>
        <v>30.2</v>
      </c>
      <c r="S32" s="172"/>
      <c r="T32"/>
      <c r="U32" s="175"/>
      <c r="V32" s="30">
        <f t="shared" si="6"/>
        <v>37155</v>
      </c>
      <c r="W32" s="177"/>
      <c r="X32" s="222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7"/>
        <v>0</v>
      </c>
      <c r="CZ32" s="34">
        <f t="shared" si="8"/>
        <v>0</v>
      </c>
      <c r="DA32" s="188">
        <f t="shared" si="9"/>
        <v>0</v>
      </c>
      <c r="DB32" s="189">
        <f t="shared" si="10"/>
        <v>37155</v>
      </c>
      <c r="DC32" s="188">
        <f t="shared" si="11"/>
        <v>0</v>
      </c>
      <c r="DD32" s="190">
        <v>16</v>
      </c>
      <c r="DE32" s="188">
        <v>1</v>
      </c>
      <c r="DF32" s="170">
        <f t="shared" si="12"/>
        <v>0</v>
      </c>
      <c r="DG32" s="170">
        <f t="shared" si="13"/>
        <v>0</v>
      </c>
      <c r="DH32" s="170">
        <f t="shared" si="14"/>
        <v>0</v>
      </c>
      <c r="DI32" s="170">
        <f t="shared" si="15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6"/>
        <v>1</v>
      </c>
    </row>
    <row r="33" spans="1:124" ht="18.75" x14ac:dyDescent="0.3">
      <c r="A33" s="80">
        <f>'NYISO A'!A33</f>
        <v>37156</v>
      </c>
      <c r="B33" s="114">
        <f>+[4]WestHub!$L24/16+[4]PJM!$L24/16</f>
        <v>0</v>
      </c>
      <c r="C33" s="35">
        <f t="shared" si="0"/>
        <v>0</v>
      </c>
      <c r="D33" s="36">
        <f t="shared" si="17"/>
        <v>0</v>
      </c>
      <c r="E33" s="23">
        <f t="shared" si="18"/>
        <v>0</v>
      </c>
      <c r="F33" s="24">
        <f>[4]WestHub!$C24</f>
        <v>25.000001907348633</v>
      </c>
      <c r="G33" s="38">
        <f t="shared" si="1"/>
        <v>5.1999980926513665</v>
      </c>
      <c r="H33" s="39">
        <f t="shared" si="2"/>
        <v>30.2</v>
      </c>
      <c r="I33" s="36">
        <f t="shared" si="19"/>
        <v>0</v>
      </c>
      <c r="J33" s="27">
        <f t="shared" si="20"/>
        <v>0</v>
      </c>
      <c r="K33" s="40">
        <f t="shared" si="3"/>
        <v>0</v>
      </c>
      <c r="L33" s="172"/>
      <c r="M33" s="28">
        <f t="shared" si="4"/>
        <v>37156</v>
      </c>
      <c r="N33" s="268">
        <v>30.2</v>
      </c>
      <c r="O33" s="268">
        <v>30.2</v>
      </c>
      <c r="P33" s="29">
        <f t="shared" si="21"/>
        <v>5.1999980926513665</v>
      </c>
      <c r="Q33" s="213"/>
      <c r="R33" s="215">
        <f t="shared" si="5"/>
        <v>30.2</v>
      </c>
      <c r="S33" s="172"/>
      <c r="T33"/>
      <c r="U33" s="175"/>
      <c r="V33" s="30">
        <f t="shared" si="6"/>
        <v>37156</v>
      </c>
      <c r="W33" s="177"/>
      <c r="X33" s="222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7"/>
        <v>0</v>
      </c>
      <c r="CZ33" s="34">
        <f t="shared" si="8"/>
        <v>0</v>
      </c>
      <c r="DA33" s="188">
        <f t="shared" si="9"/>
        <v>0</v>
      </c>
      <c r="DB33" s="189">
        <f t="shared" si="10"/>
        <v>37156</v>
      </c>
      <c r="DC33" s="188">
        <f t="shared" si="11"/>
        <v>0</v>
      </c>
      <c r="DD33" s="190">
        <v>16</v>
      </c>
      <c r="DE33" s="188">
        <v>1</v>
      </c>
      <c r="DF33" s="170">
        <f t="shared" si="12"/>
        <v>0</v>
      </c>
      <c r="DG33" s="170">
        <f t="shared" si="13"/>
        <v>0</v>
      </c>
      <c r="DH33" s="170">
        <f t="shared" si="14"/>
        <v>0</v>
      </c>
      <c r="DI33" s="170">
        <f t="shared" si="15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6"/>
        <v>1</v>
      </c>
    </row>
    <row r="34" spans="1:124" ht="18.75" x14ac:dyDescent="0.3">
      <c r="A34" s="80">
        <f>'NYISO A'!A34</f>
        <v>37157</v>
      </c>
      <c r="B34" s="114">
        <f>+[4]WestHub!$L25/16+[4]PJM!$L25/16</f>
        <v>0</v>
      </c>
      <c r="C34" s="22">
        <f t="shared" si="0"/>
        <v>0</v>
      </c>
      <c r="D34" s="21">
        <f t="shared" si="17"/>
        <v>0</v>
      </c>
      <c r="E34" s="23">
        <f t="shared" si="18"/>
        <v>0</v>
      </c>
      <c r="F34" s="24">
        <f>[4]WestHub!$C25</f>
        <v>25.000001907348633</v>
      </c>
      <c r="G34" s="24">
        <f t="shared" si="1"/>
        <v>5.7999980926513679</v>
      </c>
      <c r="H34" s="25">
        <f t="shared" si="2"/>
        <v>30.8</v>
      </c>
      <c r="I34" s="26">
        <f t="shared" si="19"/>
        <v>0</v>
      </c>
      <c r="J34" s="27">
        <f t="shared" si="20"/>
        <v>0</v>
      </c>
      <c r="K34" s="27">
        <f t="shared" si="3"/>
        <v>0</v>
      </c>
      <c r="L34" s="172"/>
      <c r="M34" s="28">
        <f t="shared" si="4"/>
        <v>37157</v>
      </c>
      <c r="N34" s="268">
        <v>30.8</v>
      </c>
      <c r="O34" s="268">
        <v>30.8</v>
      </c>
      <c r="P34" s="29">
        <f t="shared" si="21"/>
        <v>5.7999980926513679</v>
      </c>
      <c r="Q34" s="213"/>
      <c r="R34" s="215">
        <f t="shared" si="5"/>
        <v>30.8</v>
      </c>
      <c r="S34" s="172"/>
      <c r="T34"/>
      <c r="U34" s="175"/>
      <c r="V34" s="30">
        <f t="shared" si="6"/>
        <v>37157</v>
      </c>
      <c r="W34" s="177"/>
      <c r="X34" s="222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7"/>
        <v>0</v>
      </c>
      <c r="CZ34" s="34">
        <f t="shared" si="8"/>
        <v>0</v>
      </c>
      <c r="DA34" s="188">
        <f t="shared" si="9"/>
        <v>0</v>
      </c>
      <c r="DB34" s="189">
        <f t="shared" si="10"/>
        <v>37157</v>
      </c>
      <c r="DC34" s="188">
        <f t="shared" si="11"/>
        <v>0</v>
      </c>
      <c r="DD34" s="190">
        <v>16</v>
      </c>
      <c r="DE34" s="188">
        <v>1</v>
      </c>
      <c r="DF34" s="170">
        <f t="shared" si="12"/>
        <v>0</v>
      </c>
      <c r="DG34" s="170">
        <f t="shared" si="13"/>
        <v>0</v>
      </c>
      <c r="DH34" s="170">
        <f t="shared" si="14"/>
        <v>0</v>
      </c>
      <c r="DI34" s="170">
        <f t="shared" si="15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6"/>
        <v>1</v>
      </c>
    </row>
    <row r="35" spans="1:124" ht="18.75" x14ac:dyDescent="0.3">
      <c r="A35" s="80">
        <f>'NYISO A'!A35</f>
        <v>37158</v>
      </c>
      <c r="B35" s="114">
        <f>+[4]WestHub!$L26/16+[4]PJM!$L26/16</f>
        <v>-1.2499999950052465E-13</v>
      </c>
      <c r="C35" s="35">
        <f t="shared" si="0"/>
        <v>0</v>
      </c>
      <c r="D35" s="36">
        <f t="shared" si="17"/>
        <v>0</v>
      </c>
      <c r="E35" s="23">
        <f t="shared" si="18"/>
        <v>-1.2499999950052465E-13</v>
      </c>
      <c r="F35" s="24">
        <f>[4]WestHub!$C26</f>
        <v>29.800003051757813</v>
      </c>
      <c r="G35" s="38">
        <f t="shared" si="1"/>
        <v>0.99999694824218821</v>
      </c>
      <c r="H35" s="39">
        <f t="shared" si="2"/>
        <v>30.8</v>
      </c>
      <c r="I35" s="36">
        <f t="shared" si="19"/>
        <v>-1.9999938884927953E-12</v>
      </c>
      <c r="J35" s="27">
        <f t="shared" si="20"/>
        <v>0</v>
      </c>
      <c r="K35" s="40">
        <f t="shared" si="3"/>
        <v>-1.9999938884927953E-12</v>
      </c>
      <c r="L35" s="172"/>
      <c r="M35" s="28">
        <f t="shared" si="4"/>
        <v>37158</v>
      </c>
      <c r="N35" s="268">
        <v>30.8</v>
      </c>
      <c r="O35" s="268">
        <v>30.8</v>
      </c>
      <c r="P35" s="29">
        <f t="shared" si="21"/>
        <v>0.99999694824218821</v>
      </c>
      <c r="Q35" s="213"/>
      <c r="R35" s="215">
        <f t="shared" si="5"/>
        <v>30.8</v>
      </c>
      <c r="S35" s="172"/>
      <c r="T35"/>
      <c r="U35" s="175"/>
      <c r="V35" s="30">
        <f t="shared" si="6"/>
        <v>37158</v>
      </c>
      <c r="W35" s="177"/>
      <c r="X35" s="222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7"/>
        <v>0</v>
      </c>
      <c r="CZ35" s="34">
        <f t="shared" si="8"/>
        <v>0</v>
      </c>
      <c r="DA35" s="188">
        <f t="shared" si="9"/>
        <v>0</v>
      </c>
      <c r="DB35" s="189">
        <f t="shared" si="10"/>
        <v>37158</v>
      </c>
      <c r="DC35" s="188">
        <f t="shared" si="11"/>
        <v>0</v>
      </c>
      <c r="DD35" s="190">
        <v>16</v>
      </c>
      <c r="DE35" s="188">
        <v>1</v>
      </c>
      <c r="DF35" s="170">
        <f t="shared" si="12"/>
        <v>0</v>
      </c>
      <c r="DG35" s="170">
        <f t="shared" si="13"/>
        <v>0</v>
      </c>
      <c r="DH35" s="170">
        <f t="shared" si="14"/>
        <v>0</v>
      </c>
      <c r="DI35" s="170">
        <f t="shared" si="15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6"/>
        <v>0</v>
      </c>
    </row>
    <row r="36" spans="1:124" ht="18.75" x14ac:dyDescent="0.3">
      <c r="A36" s="80">
        <f>'NYISO A'!A36</f>
        <v>37159</v>
      </c>
      <c r="B36" s="114">
        <f>+[4]WestHub!$L27/16+[4]PJM!$L27/16</f>
        <v>-1.2499999950052465E-13</v>
      </c>
      <c r="C36" s="22">
        <f t="shared" si="0"/>
        <v>0</v>
      </c>
      <c r="D36" s="21">
        <f t="shared" si="17"/>
        <v>0</v>
      </c>
      <c r="E36" s="23">
        <f t="shared" si="18"/>
        <v>-1.2499999950052465E-13</v>
      </c>
      <c r="F36" s="24">
        <f>[4]WestHub!$C27</f>
        <v>29.800003051757813</v>
      </c>
      <c r="G36" s="24">
        <f t="shared" si="1"/>
        <v>0.39999694824218679</v>
      </c>
      <c r="H36" s="25">
        <f t="shared" si="2"/>
        <v>30.2</v>
      </c>
      <c r="I36" s="26">
        <f t="shared" si="19"/>
        <v>-7.9999389328775571E-13</v>
      </c>
      <c r="J36" s="27">
        <f t="shared" si="20"/>
        <v>0</v>
      </c>
      <c r="K36" s="27">
        <f t="shared" si="3"/>
        <v>-7.9999389328775571E-13</v>
      </c>
      <c r="L36" s="172"/>
      <c r="M36" s="28">
        <f t="shared" si="4"/>
        <v>37159</v>
      </c>
      <c r="N36" s="268">
        <v>30.2</v>
      </c>
      <c r="O36" s="268">
        <v>30.2</v>
      </c>
      <c r="P36" s="29">
        <f t="shared" si="21"/>
        <v>0.39999694824218679</v>
      </c>
      <c r="Q36" s="213"/>
      <c r="R36" s="215">
        <f t="shared" si="5"/>
        <v>30.2</v>
      </c>
      <c r="S36" s="172"/>
      <c r="T36"/>
      <c r="U36" s="175"/>
      <c r="V36" s="30">
        <f t="shared" si="6"/>
        <v>37159</v>
      </c>
      <c r="W36" s="177"/>
      <c r="X36" s="221"/>
      <c r="Y36" s="177"/>
      <c r="Z36" s="221"/>
      <c r="AA36" s="177"/>
      <c r="AB36" s="221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7"/>
        <v>0</v>
      </c>
      <c r="CZ36" s="34">
        <f t="shared" si="8"/>
        <v>0</v>
      </c>
      <c r="DA36" s="188">
        <f t="shared" si="9"/>
        <v>0</v>
      </c>
      <c r="DB36" s="189">
        <f t="shared" si="10"/>
        <v>37159</v>
      </c>
      <c r="DC36" s="188">
        <f t="shared" si="11"/>
        <v>0</v>
      </c>
      <c r="DD36" s="190">
        <v>16</v>
      </c>
      <c r="DE36" s="188">
        <v>1</v>
      </c>
      <c r="DF36" s="170">
        <f t="shared" si="12"/>
        <v>0</v>
      </c>
      <c r="DG36" s="170">
        <f t="shared" si="13"/>
        <v>0</v>
      </c>
      <c r="DH36" s="170">
        <f t="shared" si="14"/>
        <v>0</v>
      </c>
      <c r="DI36" s="170">
        <f t="shared" si="15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6"/>
        <v>0</v>
      </c>
    </row>
    <row r="37" spans="1:124" ht="18.75" x14ac:dyDescent="0.3">
      <c r="A37" s="80">
        <f>'NYISO A'!A37</f>
        <v>37160</v>
      </c>
      <c r="B37" s="114">
        <f>+[4]WestHub!$L28/16+[4]PJM!$L28/16</f>
        <v>-1.2499999950052465E-13</v>
      </c>
      <c r="C37" s="35">
        <f t="shared" si="0"/>
        <v>0</v>
      </c>
      <c r="D37" s="36">
        <f t="shared" si="17"/>
        <v>0</v>
      </c>
      <c r="E37" s="23">
        <f t="shared" si="18"/>
        <v>-1.2499999950052465E-13</v>
      </c>
      <c r="F37" s="24">
        <f>[4]WestHub!$C28</f>
        <v>29.800003051757813</v>
      </c>
      <c r="G37" s="38">
        <f t="shared" si="1"/>
        <v>0.39999694824218679</v>
      </c>
      <c r="H37" s="39">
        <f t="shared" si="2"/>
        <v>30.2</v>
      </c>
      <c r="I37" s="36">
        <f t="shared" si="19"/>
        <v>-7.9999389328775571E-13</v>
      </c>
      <c r="J37" s="27">
        <f t="shared" si="20"/>
        <v>0</v>
      </c>
      <c r="K37" s="40">
        <f t="shared" si="3"/>
        <v>-7.9999389328775571E-13</v>
      </c>
      <c r="L37" s="172"/>
      <c r="M37" s="28">
        <f t="shared" si="4"/>
        <v>37160</v>
      </c>
      <c r="N37" s="268">
        <v>30.2</v>
      </c>
      <c r="O37" s="268">
        <v>30.2</v>
      </c>
      <c r="P37" s="29">
        <f t="shared" si="21"/>
        <v>0.39999694824218679</v>
      </c>
      <c r="Q37" s="213"/>
      <c r="R37" s="215">
        <f t="shared" si="5"/>
        <v>30.2</v>
      </c>
      <c r="S37" s="172"/>
      <c r="T37"/>
      <c r="U37" s="175"/>
      <c r="V37" s="30">
        <f t="shared" si="6"/>
        <v>37160</v>
      </c>
      <c r="W37" s="177"/>
      <c r="X37" s="221"/>
      <c r="Y37" s="177"/>
      <c r="Z37" s="221"/>
      <c r="AA37" s="177"/>
      <c r="AB37" s="221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7"/>
        <v>0</v>
      </c>
      <c r="CZ37" s="34">
        <f t="shared" si="8"/>
        <v>0</v>
      </c>
      <c r="DA37" s="188">
        <f t="shared" si="9"/>
        <v>0</v>
      </c>
      <c r="DB37" s="189">
        <f t="shared" si="10"/>
        <v>37160</v>
      </c>
      <c r="DC37" s="188">
        <f t="shared" si="11"/>
        <v>0</v>
      </c>
      <c r="DD37" s="190">
        <v>16</v>
      </c>
      <c r="DE37" s="188">
        <v>1</v>
      </c>
      <c r="DF37" s="170">
        <f t="shared" si="12"/>
        <v>0</v>
      </c>
      <c r="DG37" s="170">
        <f t="shared" si="13"/>
        <v>0</v>
      </c>
      <c r="DH37" s="170">
        <f t="shared" si="14"/>
        <v>0</v>
      </c>
      <c r="DI37" s="170">
        <f t="shared" si="15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6"/>
        <v>1</v>
      </c>
    </row>
    <row r="38" spans="1:124" ht="18.75" x14ac:dyDescent="0.3">
      <c r="A38" s="80">
        <f>'NYISO A'!A38</f>
        <v>37161</v>
      </c>
      <c r="B38" s="114">
        <f>+[4]WestHub!$L29/16+[4]PJM!$L29/16</f>
        <v>-1.2499999950052465E-13</v>
      </c>
      <c r="C38" s="22">
        <f t="shared" si="0"/>
        <v>0</v>
      </c>
      <c r="D38" s="21">
        <f t="shared" si="17"/>
        <v>0</v>
      </c>
      <c r="E38" s="23">
        <f t="shared" si="18"/>
        <v>-1.2499999950052465E-13</v>
      </c>
      <c r="F38" s="24">
        <f>[4]WestHub!$C29</f>
        <v>29.800003051757813</v>
      </c>
      <c r="G38" s="24">
        <f t="shared" si="1"/>
        <v>0.39999694824218679</v>
      </c>
      <c r="H38" s="25">
        <f t="shared" si="2"/>
        <v>30.2</v>
      </c>
      <c r="I38" s="26">
        <f t="shared" si="19"/>
        <v>-7.9999389328775571E-13</v>
      </c>
      <c r="J38" s="27">
        <f t="shared" si="20"/>
        <v>0</v>
      </c>
      <c r="K38" s="27">
        <f t="shared" si="3"/>
        <v>-7.9999389328775571E-13</v>
      </c>
      <c r="L38" s="172"/>
      <c r="M38" s="28">
        <f t="shared" si="4"/>
        <v>37161</v>
      </c>
      <c r="N38" s="268">
        <v>30.2</v>
      </c>
      <c r="O38" s="268">
        <v>30.2</v>
      </c>
      <c r="P38" s="29">
        <f t="shared" si="21"/>
        <v>0.39999694824218679</v>
      </c>
      <c r="Q38" s="213"/>
      <c r="R38" s="215">
        <f t="shared" si="5"/>
        <v>30.2</v>
      </c>
      <c r="S38" s="172"/>
      <c r="T38"/>
      <c r="U38" s="175"/>
      <c r="V38" s="30">
        <f t="shared" si="6"/>
        <v>37161</v>
      </c>
      <c r="W38" s="177"/>
      <c r="X38" s="222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7"/>
        <v>0</v>
      </c>
      <c r="CZ38" s="34">
        <f t="shared" si="8"/>
        <v>0</v>
      </c>
      <c r="DA38" s="188">
        <f t="shared" si="9"/>
        <v>0</v>
      </c>
      <c r="DB38" s="189">
        <f t="shared" si="10"/>
        <v>37161</v>
      </c>
      <c r="DC38" s="188">
        <f t="shared" si="11"/>
        <v>0</v>
      </c>
      <c r="DD38" s="190">
        <v>16</v>
      </c>
      <c r="DE38" s="188">
        <v>1</v>
      </c>
      <c r="DF38" s="170">
        <f t="shared" si="12"/>
        <v>0</v>
      </c>
      <c r="DG38" s="170">
        <f t="shared" si="13"/>
        <v>0</v>
      </c>
      <c r="DH38" s="170">
        <f t="shared" si="14"/>
        <v>0</v>
      </c>
      <c r="DI38" s="170">
        <f t="shared" si="15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6"/>
        <v>1</v>
      </c>
    </row>
    <row r="39" spans="1:124" ht="18.75" x14ac:dyDescent="0.3">
      <c r="A39" s="80">
        <f>'NYISO A'!A39</f>
        <v>37162</v>
      </c>
      <c r="B39" s="114">
        <f>+[4]WestHub!$L30/16+[4]PJM!$L30/16</f>
        <v>-1.2499999950052465E-13</v>
      </c>
      <c r="C39" s="35">
        <f t="shared" si="0"/>
        <v>0</v>
      </c>
      <c r="D39" s="36">
        <f t="shared" si="17"/>
        <v>0</v>
      </c>
      <c r="E39" s="23">
        <f t="shared" si="18"/>
        <v>-1.2499999950052465E-13</v>
      </c>
      <c r="F39" s="24">
        <f>[4]WestHub!$C30</f>
        <v>29.800003051757813</v>
      </c>
      <c r="G39" s="38">
        <f t="shared" si="1"/>
        <v>0.39999694824218679</v>
      </c>
      <c r="H39" s="39">
        <f t="shared" si="2"/>
        <v>30.2</v>
      </c>
      <c r="I39" s="36">
        <f t="shared" si="19"/>
        <v>-7.9999389328775571E-13</v>
      </c>
      <c r="J39" s="27">
        <f t="shared" si="20"/>
        <v>0</v>
      </c>
      <c r="K39" s="40">
        <f t="shared" si="3"/>
        <v>-7.9999389328775571E-13</v>
      </c>
      <c r="L39" s="172"/>
      <c r="M39" s="28">
        <f t="shared" si="4"/>
        <v>37162</v>
      </c>
      <c r="N39" s="268">
        <v>30.2</v>
      </c>
      <c r="O39" s="268">
        <v>30.2</v>
      </c>
      <c r="P39" s="29">
        <f t="shared" si="21"/>
        <v>0.39999694824218679</v>
      </c>
      <c r="Q39" s="213"/>
      <c r="R39" s="215">
        <f t="shared" si="5"/>
        <v>30.2</v>
      </c>
      <c r="S39" s="172"/>
      <c r="T39"/>
      <c r="U39" s="175"/>
      <c r="V39" s="30">
        <f t="shared" si="6"/>
        <v>37162</v>
      </c>
      <c r="W39" s="177"/>
      <c r="X39" s="222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7"/>
        <v>0</v>
      </c>
      <c r="CZ39" s="34">
        <f t="shared" si="8"/>
        <v>0</v>
      </c>
      <c r="DA39" s="188">
        <f t="shared" si="9"/>
        <v>0</v>
      </c>
      <c r="DB39" s="189">
        <f t="shared" si="10"/>
        <v>37162</v>
      </c>
      <c r="DC39" s="188">
        <f t="shared" si="11"/>
        <v>0</v>
      </c>
      <c r="DD39" s="190">
        <v>16</v>
      </c>
      <c r="DE39" s="188">
        <v>1</v>
      </c>
      <c r="DF39" s="170">
        <f t="shared" si="12"/>
        <v>0</v>
      </c>
      <c r="DG39" s="170">
        <f t="shared" si="13"/>
        <v>0</v>
      </c>
      <c r="DH39" s="170">
        <f t="shared" si="14"/>
        <v>0</v>
      </c>
      <c r="DI39" s="170">
        <f t="shared" si="15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6"/>
        <v>1</v>
      </c>
    </row>
    <row r="40" spans="1:124" ht="18.75" x14ac:dyDescent="0.3">
      <c r="A40" s="80">
        <f>'NYISO A'!A40</f>
        <v>37163</v>
      </c>
      <c r="B40" s="114">
        <f>+[4]WestHub!$L31/16+[4]PJM!$L31/16</f>
        <v>0</v>
      </c>
      <c r="C40" s="22">
        <f t="shared" si="0"/>
        <v>0</v>
      </c>
      <c r="D40" s="21">
        <f t="shared" si="17"/>
        <v>0</v>
      </c>
      <c r="E40" s="23">
        <f t="shared" si="18"/>
        <v>0</v>
      </c>
      <c r="F40" s="24">
        <f>[4]WestHub!$C31</f>
        <v>25.000001907348633</v>
      </c>
      <c r="G40" s="24">
        <f t="shared" si="1"/>
        <v>5.1999980926513665</v>
      </c>
      <c r="H40" s="25">
        <f t="shared" si="2"/>
        <v>30.2</v>
      </c>
      <c r="I40" s="26">
        <f t="shared" si="19"/>
        <v>0</v>
      </c>
      <c r="J40" s="27">
        <f t="shared" si="20"/>
        <v>0</v>
      </c>
      <c r="K40" s="27">
        <f t="shared" si="3"/>
        <v>0</v>
      </c>
      <c r="L40" s="172"/>
      <c r="M40" s="28">
        <f t="shared" si="4"/>
        <v>37163</v>
      </c>
      <c r="N40" s="268">
        <v>30.2</v>
      </c>
      <c r="O40" s="268">
        <v>30.2</v>
      </c>
      <c r="P40" s="29">
        <f t="shared" si="21"/>
        <v>5.1999980926513665</v>
      </c>
      <c r="Q40" s="213"/>
      <c r="R40" s="215">
        <f t="shared" si="5"/>
        <v>30.2</v>
      </c>
      <c r="S40" s="172"/>
      <c r="T40"/>
      <c r="U40" s="175"/>
      <c r="V40" s="30">
        <f t="shared" si="6"/>
        <v>37163</v>
      </c>
      <c r="W40" s="177"/>
      <c r="X40" s="222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7"/>
        <v>0</v>
      </c>
      <c r="CZ40" s="34">
        <f t="shared" si="8"/>
        <v>0</v>
      </c>
      <c r="DA40" s="188">
        <f t="shared" si="9"/>
        <v>0</v>
      </c>
      <c r="DB40" s="189">
        <f t="shared" si="10"/>
        <v>37163</v>
      </c>
      <c r="DC40" s="188">
        <f t="shared" si="11"/>
        <v>0</v>
      </c>
      <c r="DD40" s="190">
        <v>16</v>
      </c>
      <c r="DE40" s="188">
        <v>1</v>
      </c>
      <c r="DF40" s="170">
        <f t="shared" si="12"/>
        <v>0</v>
      </c>
      <c r="DG40" s="170">
        <f t="shared" si="13"/>
        <v>0</v>
      </c>
      <c r="DH40" s="170">
        <f t="shared" si="14"/>
        <v>0</v>
      </c>
      <c r="DI40" s="170">
        <f t="shared" si="15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6"/>
        <v>1</v>
      </c>
    </row>
    <row r="41" spans="1:124" ht="18.75" x14ac:dyDescent="0.3">
      <c r="A41" s="80">
        <f>'NYISO A'!A41</f>
        <v>37164</v>
      </c>
      <c r="B41" s="114">
        <f>+[4]WestHub!$L32/16+[4]PJM!$L32/16</f>
        <v>0</v>
      </c>
      <c r="C41" s="35">
        <f t="shared" si="0"/>
        <v>0</v>
      </c>
      <c r="D41" s="36">
        <f t="shared" si="17"/>
        <v>0</v>
      </c>
      <c r="E41" s="23">
        <f t="shared" si="18"/>
        <v>0</v>
      </c>
      <c r="F41" s="24">
        <f>[4]WestHub!$C32</f>
        <v>25.000001907348633</v>
      </c>
      <c r="G41" s="38">
        <f t="shared" si="1"/>
        <v>5.7999980926513679</v>
      </c>
      <c r="H41" s="39">
        <f t="shared" si="2"/>
        <v>30.8</v>
      </c>
      <c r="I41" s="36">
        <f t="shared" si="19"/>
        <v>0</v>
      </c>
      <c r="J41" s="27">
        <f t="shared" si="20"/>
        <v>0</v>
      </c>
      <c r="K41" s="40">
        <f t="shared" si="3"/>
        <v>0</v>
      </c>
      <c r="L41" s="172"/>
      <c r="M41" s="28">
        <f t="shared" si="4"/>
        <v>37164</v>
      </c>
      <c r="N41" s="268">
        <v>30.8</v>
      </c>
      <c r="O41" s="268">
        <v>30.8</v>
      </c>
      <c r="P41" s="29">
        <f t="shared" si="21"/>
        <v>5.7999980926513679</v>
      </c>
      <c r="Q41" s="213"/>
      <c r="R41" s="215">
        <f t="shared" si="5"/>
        <v>30.8</v>
      </c>
      <c r="S41" s="172"/>
      <c r="T41"/>
      <c r="U41" s="175"/>
      <c r="V41" s="30">
        <f t="shared" si="6"/>
        <v>37164</v>
      </c>
      <c r="W41" s="177"/>
      <c r="X41" s="222"/>
      <c r="Y41" s="177"/>
      <c r="Z41" s="178"/>
      <c r="AA41" s="177"/>
      <c r="AB41" s="178"/>
      <c r="AC41" s="177"/>
      <c r="AD41" s="221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7"/>
        <v>0</v>
      </c>
      <c r="CZ41" s="34">
        <f t="shared" si="8"/>
        <v>0</v>
      </c>
      <c r="DA41" s="188">
        <f t="shared" si="9"/>
        <v>0</v>
      </c>
      <c r="DB41" s="189">
        <f t="shared" si="10"/>
        <v>37164</v>
      </c>
      <c r="DC41" s="188">
        <f t="shared" si="11"/>
        <v>0</v>
      </c>
      <c r="DD41" s="190">
        <v>16</v>
      </c>
      <c r="DE41" s="188">
        <v>1</v>
      </c>
      <c r="DF41" s="170">
        <f t="shared" si="12"/>
        <v>0</v>
      </c>
      <c r="DG41" s="170">
        <f t="shared" si="13"/>
        <v>0</v>
      </c>
      <c r="DH41" s="170">
        <f t="shared" si="14"/>
        <v>0</v>
      </c>
      <c r="DI41" s="170">
        <f t="shared" si="15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6"/>
        <v>1</v>
      </c>
    </row>
    <row r="42" spans="1:124" ht="18.75" x14ac:dyDescent="0.3">
      <c r="A42" s="80">
        <f>'NYISO A'!A42</f>
        <v>37165</v>
      </c>
      <c r="B42" s="114">
        <f>+[4]WestHub!$L33/16+[4]PJM!$L33/16</f>
        <v>-1140.8641357421875</v>
      </c>
      <c r="C42" s="22">
        <f t="shared" si="0"/>
        <v>0</v>
      </c>
      <c r="D42" s="21">
        <f t="shared" si="17"/>
        <v>0</v>
      </c>
      <c r="E42" s="23">
        <f t="shared" si="18"/>
        <v>-1140.8641357421875</v>
      </c>
      <c r="F42" s="24">
        <f>[4]WestHub!$C33</f>
        <v>29.350000381469727</v>
      </c>
      <c r="G42" s="24">
        <f t="shared" si="1"/>
        <v>0.64999961853027344</v>
      </c>
      <c r="H42" s="25">
        <f t="shared" si="2"/>
        <v>30</v>
      </c>
      <c r="I42" s="26">
        <f t="shared" si="19"/>
        <v>-11864.980048436671</v>
      </c>
      <c r="J42" s="27">
        <f t="shared" si="20"/>
        <v>0</v>
      </c>
      <c r="K42" s="27">
        <f t="shared" si="3"/>
        <v>-11864.980048436671</v>
      </c>
      <c r="L42" s="172"/>
      <c r="M42" s="28">
        <f t="shared" si="4"/>
        <v>37165</v>
      </c>
      <c r="N42" s="268">
        <v>30</v>
      </c>
      <c r="O42" s="268">
        <v>30</v>
      </c>
      <c r="P42" s="29">
        <f t="shared" si="21"/>
        <v>0.64999961853027344</v>
      </c>
      <c r="Q42" s="213"/>
      <c r="R42" s="215">
        <f t="shared" si="5"/>
        <v>30</v>
      </c>
      <c r="S42" s="172"/>
      <c r="T42"/>
      <c r="U42" s="175"/>
      <c r="V42" s="30">
        <f t="shared" si="6"/>
        <v>37165</v>
      </c>
      <c r="W42" s="177"/>
      <c r="X42" s="222"/>
      <c r="Y42" s="177"/>
      <c r="Z42" s="178"/>
      <c r="AA42" s="177"/>
      <c r="AB42" s="178"/>
      <c r="AC42" s="177"/>
      <c r="AD42" s="221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7"/>
        <v>0</v>
      </c>
      <c r="CZ42" s="34">
        <f t="shared" si="8"/>
        <v>0</v>
      </c>
      <c r="DA42" s="188">
        <f t="shared" si="9"/>
        <v>0</v>
      </c>
      <c r="DB42" s="189">
        <f t="shared" si="10"/>
        <v>37165</v>
      </c>
      <c r="DC42" s="188">
        <f t="shared" si="11"/>
        <v>0</v>
      </c>
      <c r="DD42" s="190">
        <v>16</v>
      </c>
      <c r="DE42" s="188">
        <v>1</v>
      </c>
      <c r="DF42" s="170">
        <f t="shared" si="12"/>
        <v>0</v>
      </c>
      <c r="DG42" s="170">
        <f t="shared" si="13"/>
        <v>0</v>
      </c>
      <c r="DH42" s="170">
        <f t="shared" si="14"/>
        <v>0</v>
      </c>
      <c r="DI42" s="170">
        <f t="shared" si="15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6"/>
        <v>0</v>
      </c>
      <c r="DS42" s="172"/>
      <c r="DT42" s="172"/>
    </row>
    <row r="43" spans="1:124" ht="19.5" thickBot="1" x14ac:dyDescent="0.35">
      <c r="A43" s="80">
        <f>'NYISO A'!A43</f>
        <v>37195</v>
      </c>
      <c r="B43" s="365">
        <f>+[4]WestHub!$L34/16+[4]PJM!$L34</f>
        <v>0</v>
      </c>
      <c r="C43" s="35">
        <f t="shared" si="0"/>
        <v>0</v>
      </c>
      <c r="D43" s="36">
        <f t="shared" si="17"/>
        <v>0</v>
      </c>
      <c r="E43" s="37">
        <f t="shared" si="18"/>
        <v>0</v>
      </c>
      <c r="F43" s="24">
        <f>[4]WestHub!$C34</f>
        <v>29.350000381469727</v>
      </c>
      <c r="G43" s="38">
        <f t="shared" si="1"/>
        <v>1.4499996185302741</v>
      </c>
      <c r="H43" s="39">
        <f t="shared" si="2"/>
        <v>30.8</v>
      </c>
      <c r="I43" s="36">
        <f t="shared" si="19"/>
        <v>0</v>
      </c>
      <c r="J43" s="40">
        <f t="shared" si="20"/>
        <v>0</v>
      </c>
      <c r="K43" s="40">
        <f t="shared" si="3"/>
        <v>0</v>
      </c>
      <c r="L43" s="172"/>
      <c r="M43" s="28">
        <f t="shared" si="4"/>
        <v>37195</v>
      </c>
      <c r="N43" s="268">
        <v>30.8</v>
      </c>
      <c r="O43" s="268">
        <v>30.8</v>
      </c>
      <c r="P43" s="29">
        <f t="shared" si="21"/>
        <v>1.4499996185302741</v>
      </c>
      <c r="Q43" s="213"/>
      <c r="R43" s="215">
        <f t="shared" si="5"/>
        <v>30.8</v>
      </c>
      <c r="S43" s="172"/>
      <c r="T43"/>
      <c r="U43" s="175"/>
      <c r="V43" s="28">
        <f t="shared" si="6"/>
        <v>37195</v>
      </c>
      <c r="W43" s="227"/>
      <c r="X43" s="22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7"/>
        <v>0</v>
      </c>
      <c r="CZ43" s="236">
        <f t="shared" si="8"/>
        <v>0</v>
      </c>
      <c r="DA43" s="188">
        <f t="shared" si="9"/>
        <v>0</v>
      </c>
      <c r="DB43" s="189">
        <f t="shared" si="10"/>
        <v>37195</v>
      </c>
      <c r="DC43" s="188">
        <f t="shared" si="11"/>
        <v>0</v>
      </c>
      <c r="DD43" s="190">
        <f>16</f>
        <v>16</v>
      </c>
      <c r="DE43" s="188">
        <v>1</v>
      </c>
      <c r="DF43" s="170">
        <f t="shared" si="12"/>
        <v>0</v>
      </c>
      <c r="DG43" s="170">
        <f t="shared" si="13"/>
        <v>0</v>
      </c>
      <c r="DH43" s="170">
        <f t="shared" si="14"/>
        <v>0</v>
      </c>
      <c r="DI43" s="170">
        <f t="shared" si="15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8">
        <f>+[4]WestHub!$L35/16/DR44</f>
        <v>-49.465924944196431</v>
      </c>
      <c r="C44" s="120">
        <f t="shared" si="0"/>
        <v>0</v>
      </c>
      <c r="D44" s="115">
        <f t="shared" si="17"/>
        <v>0</v>
      </c>
      <c r="E44" s="116">
        <f t="shared" ref="E44:E56" si="22">B44+C44+D44</f>
        <v>-49.465924944196431</v>
      </c>
      <c r="F44" s="138">
        <f>[4]WestHub!$C35</f>
        <v>28.5</v>
      </c>
      <c r="G44" s="141">
        <f t="shared" si="1"/>
        <v>1.5</v>
      </c>
      <c r="H44" s="135">
        <f t="shared" si="2"/>
        <v>30</v>
      </c>
      <c r="I44" s="269">
        <f t="shared" ref="I44:I56" si="23">B44*G44*DD44*DR44</f>
        <v>-24930.826171875</v>
      </c>
      <c r="J44" s="275">
        <f>+(W44*(H44-X44)+Y44*(H44-Z44)+AA44*(H44-AB44))*DD44*DR44</f>
        <v>0</v>
      </c>
      <c r="K44" s="272">
        <f t="shared" si="3"/>
        <v>-24930.826171875</v>
      </c>
      <c r="L44" s="172"/>
      <c r="M44" s="347">
        <f t="shared" si="4"/>
        <v>37196</v>
      </c>
      <c r="N44" s="353">
        <v>30</v>
      </c>
      <c r="O44" s="354">
        <v>30</v>
      </c>
      <c r="P44" s="350">
        <f t="shared" si="21"/>
        <v>1.5</v>
      </c>
      <c r="Q44" s="216"/>
      <c r="R44" s="214">
        <f t="shared" si="5"/>
        <v>30</v>
      </c>
      <c r="S44" s="172"/>
      <c r="T44"/>
      <c r="U44" s="176"/>
      <c r="V44" s="238">
        <f t="shared" si="6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7"/>
        <v>0</v>
      </c>
      <c r="CZ44" s="105">
        <f t="shared" si="8"/>
        <v>0</v>
      </c>
      <c r="DA44" s="188">
        <f t="shared" si="9"/>
        <v>0</v>
      </c>
      <c r="DB44" s="189">
        <f t="shared" si="10"/>
        <v>37196</v>
      </c>
      <c r="DC44" s="188">
        <f t="shared" si="11"/>
        <v>0</v>
      </c>
      <c r="DD44" s="190">
        <f>16</f>
        <v>16</v>
      </c>
      <c r="DE44" s="188">
        <v>1</v>
      </c>
      <c r="DF44" s="170">
        <f t="shared" si="12"/>
        <v>0</v>
      </c>
      <c r="DG44" s="170">
        <f t="shared" si="13"/>
        <v>0</v>
      </c>
      <c r="DH44" s="170">
        <f t="shared" si="14"/>
        <v>0</v>
      </c>
      <c r="DI44" s="170">
        <f t="shared" si="15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+[4]WestHub!$L36/16/DR45</f>
        <v>-49.324179077148436</v>
      </c>
      <c r="C45" s="85">
        <f t="shared" si="0"/>
        <v>0</v>
      </c>
      <c r="D45" s="106">
        <f t="shared" si="17"/>
        <v>0</v>
      </c>
      <c r="E45" s="122">
        <f t="shared" si="22"/>
        <v>-49.324179077148436</v>
      </c>
      <c r="F45" s="139">
        <f>[4]WestHub!$C36</f>
        <v>31.75</v>
      </c>
      <c r="G45" s="142">
        <f t="shared" si="1"/>
        <v>-1.75</v>
      </c>
      <c r="H45" s="136">
        <f t="shared" si="2"/>
        <v>30</v>
      </c>
      <c r="I45" s="270">
        <f t="shared" si="23"/>
        <v>27621.540283203125</v>
      </c>
      <c r="J45" s="276">
        <f t="shared" ref="J45:J56" si="24">+(W45*(H45-X45)+Y45*(H45-Z45)+AA45*(H45-AB45))*DD45*DR45</f>
        <v>0</v>
      </c>
      <c r="K45" s="273">
        <f t="shared" si="3"/>
        <v>27621.540283203125</v>
      </c>
      <c r="L45" s="172"/>
      <c r="M45" s="348">
        <f t="shared" si="4"/>
        <v>37226</v>
      </c>
      <c r="N45" s="355">
        <v>30</v>
      </c>
      <c r="O45" s="356">
        <v>30</v>
      </c>
      <c r="P45" s="351">
        <f t="shared" si="21"/>
        <v>-1.75</v>
      </c>
      <c r="Q45" s="213"/>
      <c r="R45" s="215">
        <f t="shared" si="5"/>
        <v>30</v>
      </c>
      <c r="S45" s="172"/>
      <c r="T45"/>
      <c r="U45" s="176"/>
      <c r="V45" s="237">
        <f t="shared" si="6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6" si="25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6" si="26">IF(AND(CY45=0,DC45=0),0,(DF45+DG45)/DC45)</f>
        <v>0</v>
      </c>
      <c r="DB45" s="189">
        <f t="shared" si="10"/>
        <v>37226</v>
      </c>
      <c r="DC45" s="188">
        <f t="shared" si="11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+[4]WestHub!$L37/16/DR46</f>
        <v>-147.54204767400569</v>
      </c>
      <c r="C46" s="85">
        <f t="shared" si="0"/>
        <v>50</v>
      </c>
      <c r="D46" s="106">
        <f t="shared" si="17"/>
        <v>0</v>
      </c>
      <c r="E46" s="122">
        <f t="shared" si="22"/>
        <v>-97.542047674005687</v>
      </c>
      <c r="F46" s="139">
        <f>[4]WestHub!$C37</f>
        <v>35.5</v>
      </c>
      <c r="G46" s="142">
        <f t="shared" si="1"/>
        <v>0.5</v>
      </c>
      <c r="H46" s="136">
        <f t="shared" si="2"/>
        <v>36</v>
      </c>
      <c r="I46" s="270">
        <f t="shared" si="23"/>
        <v>-25967.400390625</v>
      </c>
      <c r="J46" s="276">
        <f t="shared" si="24"/>
        <v>22000</v>
      </c>
      <c r="K46" s="273">
        <f t="shared" si="3"/>
        <v>-3967.400390625</v>
      </c>
      <c r="L46" s="172"/>
      <c r="M46" s="348">
        <f t="shared" si="4"/>
        <v>37257</v>
      </c>
      <c r="N46" s="357">
        <v>36</v>
      </c>
      <c r="O46" s="358">
        <v>36</v>
      </c>
      <c r="P46" s="351">
        <f t="shared" si="21"/>
        <v>0.5</v>
      </c>
      <c r="Q46" s="213"/>
      <c r="R46" s="215">
        <f t="shared" si="5"/>
        <v>36</v>
      </c>
      <c r="S46" s="172"/>
      <c r="T46"/>
      <c r="U46" s="176"/>
      <c r="V46" s="237">
        <f t="shared" si="6"/>
        <v>37257</v>
      </c>
      <c r="W46" s="245">
        <v>50</v>
      </c>
      <c r="X46" s="246">
        <v>34.75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5"/>
        <v>50</v>
      </c>
      <c r="CZ46" s="34">
        <f t="shared" si="26"/>
        <v>0</v>
      </c>
      <c r="DB46" s="189">
        <f t="shared" si="10"/>
        <v>37257</v>
      </c>
      <c r="DC46" s="188">
        <f t="shared" si="11"/>
        <v>50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8.75" x14ac:dyDescent="0.3">
      <c r="A47" s="145">
        <f>'NYISO A'!A47</f>
        <v>37288</v>
      </c>
      <c r="B47" s="118">
        <f>+[4]WestHub!$L38/16/DR47</f>
        <v>-147.15292968750001</v>
      </c>
      <c r="C47" s="85">
        <f t="shared" si="0"/>
        <v>50</v>
      </c>
      <c r="D47" s="106">
        <f t="shared" si="17"/>
        <v>0</v>
      </c>
      <c r="E47" s="122">
        <f t="shared" si="22"/>
        <v>-97.152929687500006</v>
      </c>
      <c r="F47" s="139">
        <f>[4]WestHub!$C38</f>
        <v>35.5</v>
      </c>
      <c r="G47" s="142">
        <f t="shared" si="1"/>
        <v>0.5</v>
      </c>
      <c r="H47" s="136">
        <f t="shared" si="2"/>
        <v>36</v>
      </c>
      <c r="I47" s="270">
        <f t="shared" si="23"/>
        <v>-23544.46875</v>
      </c>
      <c r="J47" s="276">
        <f t="shared" si="24"/>
        <v>20000</v>
      </c>
      <c r="K47" s="273">
        <f t="shared" si="3"/>
        <v>-3544.46875</v>
      </c>
      <c r="L47" s="172"/>
      <c r="M47" s="348">
        <f t="shared" si="4"/>
        <v>37288</v>
      </c>
      <c r="N47" s="357">
        <v>36</v>
      </c>
      <c r="O47" s="358">
        <v>36</v>
      </c>
      <c r="P47" s="351">
        <f t="shared" si="21"/>
        <v>0.5</v>
      </c>
      <c r="Q47" s="213"/>
      <c r="R47" s="215">
        <f t="shared" si="5"/>
        <v>36</v>
      </c>
      <c r="S47" s="172"/>
      <c r="T47"/>
      <c r="U47" s="176"/>
      <c r="V47" s="237">
        <f t="shared" si="6"/>
        <v>37288</v>
      </c>
      <c r="W47" s="245">
        <v>50</v>
      </c>
      <c r="X47" s="246">
        <v>34.75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5"/>
        <v>50</v>
      </c>
      <c r="CZ47" s="34">
        <f t="shared" si="26"/>
        <v>0</v>
      </c>
      <c r="DB47" s="189">
        <f t="shared" si="10"/>
        <v>37288</v>
      </c>
      <c r="DC47" s="188">
        <f t="shared" si="11"/>
        <v>50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8.75" x14ac:dyDescent="0.3">
      <c r="A48" s="145">
        <f>'NYISO A'!A48</f>
        <v>37316</v>
      </c>
      <c r="B48" s="118">
        <f>+[4]WestHub!$L39/16/DR48</f>
        <v>0</v>
      </c>
      <c r="C48" s="85">
        <f t="shared" si="0"/>
        <v>0</v>
      </c>
      <c r="D48" s="106">
        <f t="shared" si="17"/>
        <v>0</v>
      </c>
      <c r="E48" s="122">
        <f t="shared" si="22"/>
        <v>0</v>
      </c>
      <c r="F48" s="139">
        <f>[4]WestHub!$C39</f>
        <v>32.25</v>
      </c>
      <c r="G48" s="142">
        <f t="shared" si="1"/>
        <v>1.75</v>
      </c>
      <c r="H48" s="136">
        <f t="shared" si="2"/>
        <v>34</v>
      </c>
      <c r="I48" s="270">
        <f t="shared" si="23"/>
        <v>0</v>
      </c>
      <c r="J48" s="276">
        <f t="shared" si="24"/>
        <v>0</v>
      </c>
      <c r="K48" s="273">
        <f t="shared" si="3"/>
        <v>0</v>
      </c>
      <c r="L48" s="172"/>
      <c r="M48" s="348">
        <f t="shared" si="4"/>
        <v>37316</v>
      </c>
      <c r="N48" s="357">
        <v>34</v>
      </c>
      <c r="O48" s="358">
        <v>34</v>
      </c>
      <c r="P48" s="351">
        <f t="shared" si="21"/>
        <v>1.75</v>
      </c>
      <c r="Q48" s="213"/>
      <c r="R48" s="215">
        <f t="shared" si="5"/>
        <v>34</v>
      </c>
      <c r="S48" s="172"/>
      <c r="T48"/>
      <c r="U48" s="176"/>
      <c r="V48" s="237">
        <f t="shared" si="6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5"/>
        <v>0</v>
      </c>
      <c r="CZ48" s="34">
        <f t="shared" si="26"/>
        <v>0</v>
      </c>
      <c r="DB48" s="189">
        <f t="shared" si="10"/>
        <v>37316</v>
      </c>
      <c r="DC48" s="188">
        <f t="shared" si="11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8.75" x14ac:dyDescent="0.3">
      <c r="A49" s="145">
        <f>'NYISO A'!A49</f>
        <v>37347</v>
      </c>
      <c r="B49" s="118">
        <f>+[4]WestHub!$L40/16/DR49</f>
        <v>0</v>
      </c>
      <c r="C49" s="85">
        <f t="shared" si="0"/>
        <v>0</v>
      </c>
      <c r="D49" s="106">
        <f t="shared" si="17"/>
        <v>0</v>
      </c>
      <c r="E49" s="122">
        <f t="shared" si="22"/>
        <v>0</v>
      </c>
      <c r="F49" s="139">
        <f>[4]WestHub!$C40</f>
        <v>31.5</v>
      </c>
      <c r="G49" s="142">
        <f t="shared" si="1"/>
        <v>42.75</v>
      </c>
      <c r="H49" s="136">
        <f t="shared" si="2"/>
        <v>74.25</v>
      </c>
      <c r="I49" s="270">
        <f t="shared" si="23"/>
        <v>0</v>
      </c>
      <c r="J49" s="276">
        <f t="shared" si="24"/>
        <v>0</v>
      </c>
      <c r="K49" s="273">
        <f t="shared" si="3"/>
        <v>0</v>
      </c>
      <c r="L49" s="172"/>
      <c r="M49" s="348">
        <f t="shared" si="4"/>
        <v>37347</v>
      </c>
      <c r="N49" s="357">
        <v>71.95</v>
      </c>
      <c r="O49" s="358">
        <v>76.55</v>
      </c>
      <c r="P49" s="351">
        <f t="shared" si="21"/>
        <v>42.75</v>
      </c>
      <c r="Q49" s="213"/>
      <c r="R49" s="215">
        <f t="shared" si="5"/>
        <v>74.25</v>
      </c>
      <c r="S49" s="172"/>
      <c r="T49"/>
      <c r="U49" s="176"/>
      <c r="V49" s="237">
        <f t="shared" si="6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5"/>
        <v>0</v>
      </c>
      <c r="CZ49" s="34">
        <f t="shared" si="26"/>
        <v>0</v>
      </c>
      <c r="DB49" s="189">
        <f t="shared" si="10"/>
        <v>37347</v>
      </c>
      <c r="DC49" s="188">
        <f t="shared" si="11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8.75" x14ac:dyDescent="0.3">
      <c r="A50" s="145">
        <f>'NYISO A'!A50</f>
        <v>37377</v>
      </c>
      <c r="B50" s="118">
        <f>+[4]WestHub!$L41/16/DR50</f>
        <v>-97.233675870028407</v>
      </c>
      <c r="C50" s="85">
        <f t="shared" si="0"/>
        <v>0</v>
      </c>
      <c r="D50" s="106">
        <f t="shared" si="17"/>
        <v>0</v>
      </c>
      <c r="E50" s="122">
        <f t="shared" si="22"/>
        <v>-97.233675870028407</v>
      </c>
      <c r="F50" s="139">
        <f>[4]WestHub!$C41</f>
        <v>33.5</v>
      </c>
      <c r="G50" s="142">
        <f t="shared" ref="G50:G56" si="27">IF($Q$9,Q50,P50)</f>
        <v>0.5</v>
      </c>
      <c r="H50" s="136">
        <f t="shared" si="2"/>
        <v>34</v>
      </c>
      <c r="I50" s="270">
        <f t="shared" si="23"/>
        <v>-17113.126953125</v>
      </c>
      <c r="J50" s="276">
        <f t="shared" si="24"/>
        <v>0</v>
      </c>
      <c r="K50" s="273">
        <f t="shared" si="3"/>
        <v>-17113.126953125</v>
      </c>
      <c r="L50" s="172"/>
      <c r="M50" s="348">
        <f t="shared" si="4"/>
        <v>37377</v>
      </c>
      <c r="N50" s="357">
        <v>34</v>
      </c>
      <c r="O50" s="358">
        <v>34</v>
      </c>
      <c r="P50" s="351">
        <f t="shared" si="21"/>
        <v>0.5</v>
      </c>
      <c r="Q50" s="213"/>
      <c r="R50" s="215">
        <f t="shared" si="5"/>
        <v>34</v>
      </c>
      <c r="S50" s="172"/>
      <c r="T50"/>
      <c r="U50" s="176"/>
      <c r="V50" s="237">
        <f t="shared" si="6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5"/>
        <v>0</v>
      </c>
      <c r="CZ50" s="34">
        <f t="shared" si="26"/>
        <v>0</v>
      </c>
      <c r="DB50" s="189">
        <f t="shared" si="10"/>
        <v>37377</v>
      </c>
      <c r="DC50" s="188">
        <f t="shared" si="11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8.75" x14ac:dyDescent="0.3">
      <c r="A51" s="145">
        <f>'NYISO A'!A51</f>
        <v>37408</v>
      </c>
      <c r="B51" s="118">
        <f>+[4]WestHub!$L42/16/DR51</f>
        <v>-48.46914367675781</v>
      </c>
      <c r="C51" s="85">
        <f t="shared" si="0"/>
        <v>0</v>
      </c>
      <c r="D51" s="106">
        <f t="shared" si="17"/>
        <v>0</v>
      </c>
      <c r="E51" s="122">
        <f t="shared" si="22"/>
        <v>-48.46914367675781</v>
      </c>
      <c r="F51" s="139">
        <f>[4]WestHub!$C42</f>
        <v>44.25</v>
      </c>
      <c r="G51" s="142">
        <f t="shared" si="27"/>
        <v>0</v>
      </c>
      <c r="H51" s="136">
        <f t="shared" si="2"/>
        <v>44.25</v>
      </c>
      <c r="I51" s="270">
        <f t="shared" si="23"/>
        <v>0</v>
      </c>
      <c r="J51" s="276">
        <f t="shared" si="24"/>
        <v>0</v>
      </c>
      <c r="K51" s="273">
        <f t="shared" si="3"/>
        <v>0</v>
      </c>
      <c r="L51" s="172"/>
      <c r="M51" s="348">
        <f t="shared" si="4"/>
        <v>37408</v>
      </c>
      <c r="N51" s="357">
        <v>44.25</v>
      </c>
      <c r="O51" s="358">
        <v>44.25</v>
      </c>
      <c r="P51" s="351">
        <f t="shared" si="21"/>
        <v>0</v>
      </c>
      <c r="Q51" s="213"/>
      <c r="R51" s="215">
        <f t="shared" si="5"/>
        <v>44.25</v>
      </c>
      <c r="S51" s="172"/>
      <c r="T51"/>
      <c r="U51" s="176"/>
      <c r="V51" s="237">
        <f t="shared" si="6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5"/>
        <v>0</v>
      </c>
      <c r="CZ51" s="34">
        <f t="shared" si="26"/>
        <v>0</v>
      </c>
      <c r="DB51" s="189">
        <f t="shared" si="10"/>
        <v>37408</v>
      </c>
      <c r="DC51" s="188">
        <f t="shared" si="11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8.75" x14ac:dyDescent="0.3">
      <c r="A52" s="145">
        <f>'NYISO A'!A52</f>
        <v>37438</v>
      </c>
      <c r="B52" s="118">
        <f>+[4]WestHub!$L43/16/DR52</f>
        <v>-241.56660600142047</v>
      </c>
      <c r="C52" s="85">
        <f t="shared" si="0"/>
        <v>0</v>
      </c>
      <c r="D52" s="106">
        <f t="shared" si="17"/>
        <v>0</v>
      </c>
      <c r="E52" s="122">
        <f t="shared" si="22"/>
        <v>-241.56660600142047</v>
      </c>
      <c r="F52" s="139">
        <f>[4]WestHub!$C43</f>
        <v>59.75</v>
      </c>
      <c r="G52" s="142">
        <f t="shared" si="27"/>
        <v>0.75</v>
      </c>
      <c r="H52" s="136">
        <f t="shared" si="2"/>
        <v>60.5</v>
      </c>
      <c r="I52" s="270">
        <f t="shared" si="23"/>
        <v>-63773.583984375</v>
      </c>
      <c r="J52" s="276">
        <f t="shared" si="24"/>
        <v>0</v>
      </c>
      <c r="K52" s="273">
        <f t="shared" si="3"/>
        <v>-63773.583984375</v>
      </c>
      <c r="L52" s="172"/>
      <c r="M52" s="348">
        <f t="shared" si="4"/>
        <v>37438</v>
      </c>
      <c r="N52" s="357">
        <v>60.5</v>
      </c>
      <c r="O52" s="358">
        <v>60.5</v>
      </c>
      <c r="P52" s="351">
        <f t="shared" si="21"/>
        <v>0.75</v>
      </c>
      <c r="Q52" s="213"/>
      <c r="R52" s="215">
        <f t="shared" si="5"/>
        <v>60.5</v>
      </c>
      <c r="S52" s="172"/>
      <c r="T52"/>
      <c r="U52" s="176"/>
      <c r="V52" s="237">
        <f t="shared" si="6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5"/>
        <v>0</v>
      </c>
      <c r="CZ52" s="34">
        <f t="shared" si="26"/>
        <v>0</v>
      </c>
      <c r="DB52" s="189">
        <f t="shared" si="10"/>
        <v>37438</v>
      </c>
      <c r="DC52" s="188">
        <f t="shared" si="11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8.75" x14ac:dyDescent="0.3">
      <c r="A53" s="145">
        <f>'NYISO A'!A53</f>
        <v>37469</v>
      </c>
      <c r="B53" s="118">
        <f>+[4]WestHub!$L44/16/DR53</f>
        <v>-240.770751953125</v>
      </c>
      <c r="C53" s="85">
        <f t="shared" si="0"/>
        <v>0</v>
      </c>
      <c r="D53" s="106">
        <f t="shared" si="17"/>
        <v>0</v>
      </c>
      <c r="E53" s="122">
        <f t="shared" si="22"/>
        <v>-240.770751953125</v>
      </c>
      <c r="F53" s="139">
        <f>[4]WestHub!$C44</f>
        <v>59.75</v>
      </c>
      <c r="G53" s="142">
        <f t="shared" si="27"/>
        <v>0.75</v>
      </c>
      <c r="H53" s="136">
        <f t="shared" si="2"/>
        <v>60.5</v>
      </c>
      <c r="I53" s="270">
        <f t="shared" si="23"/>
        <v>-63563.478515625</v>
      </c>
      <c r="J53" s="276">
        <f t="shared" si="24"/>
        <v>0</v>
      </c>
      <c r="K53" s="273">
        <f t="shared" si="3"/>
        <v>-63563.478515625</v>
      </c>
      <c r="L53" s="172"/>
      <c r="M53" s="348">
        <f t="shared" si="4"/>
        <v>37469</v>
      </c>
      <c r="N53" s="357">
        <v>60.5</v>
      </c>
      <c r="O53" s="358">
        <v>60.5</v>
      </c>
      <c r="P53" s="351">
        <f t="shared" si="21"/>
        <v>0.75</v>
      </c>
      <c r="Q53" s="213"/>
      <c r="R53" s="215">
        <f t="shared" si="5"/>
        <v>60.5</v>
      </c>
      <c r="S53" s="172"/>
      <c r="T53"/>
      <c r="U53" s="176"/>
      <c r="V53" s="237">
        <f t="shared" si="6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5"/>
        <v>0</v>
      </c>
      <c r="CZ53" s="34">
        <f t="shared" si="26"/>
        <v>0</v>
      </c>
      <c r="DB53" s="189">
        <f t="shared" si="10"/>
        <v>37469</v>
      </c>
      <c r="DC53" s="188">
        <f t="shared" si="11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8.75" x14ac:dyDescent="0.3">
      <c r="A54" s="145">
        <f>'NYISO A'!A54</f>
        <v>37500</v>
      </c>
      <c r="B54" s="118">
        <f>+[4]WestHub!$L45/16/DR54</f>
        <v>0</v>
      </c>
      <c r="C54" s="85">
        <f t="shared" si="0"/>
        <v>0</v>
      </c>
      <c r="D54" s="106">
        <f t="shared" si="17"/>
        <v>0</v>
      </c>
      <c r="E54" s="122">
        <f t="shared" si="22"/>
        <v>0</v>
      </c>
      <c r="F54" s="139">
        <f>[4]WestHub!$C45</f>
        <v>31.5</v>
      </c>
      <c r="G54" s="142">
        <f t="shared" si="27"/>
        <v>26.5</v>
      </c>
      <c r="H54" s="136">
        <f t="shared" si="2"/>
        <v>58</v>
      </c>
      <c r="I54" s="270">
        <f t="shared" si="23"/>
        <v>0</v>
      </c>
      <c r="J54" s="276">
        <f t="shared" si="24"/>
        <v>0</v>
      </c>
      <c r="K54" s="273">
        <f t="shared" si="3"/>
        <v>0</v>
      </c>
      <c r="L54" s="172"/>
      <c r="M54" s="348">
        <f t="shared" si="4"/>
        <v>37500</v>
      </c>
      <c r="N54" s="357">
        <v>58</v>
      </c>
      <c r="O54" s="358">
        <v>58</v>
      </c>
      <c r="P54" s="351">
        <f t="shared" si="21"/>
        <v>26.5</v>
      </c>
      <c r="Q54" s="213"/>
      <c r="R54" s="215">
        <f t="shared" si="5"/>
        <v>58</v>
      </c>
      <c r="S54" s="172"/>
      <c r="T54"/>
      <c r="U54" s="176"/>
      <c r="V54" s="237">
        <f t="shared" si="6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5"/>
        <v>0</v>
      </c>
      <c r="CZ54" s="34">
        <f t="shared" si="26"/>
        <v>0</v>
      </c>
      <c r="DB54" s="189">
        <f t="shared" si="10"/>
        <v>37500</v>
      </c>
      <c r="DC54" s="188">
        <f t="shared" si="11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8.75" x14ac:dyDescent="0.3">
      <c r="A55" s="145">
        <f>'NYISO A'!A55</f>
        <v>37530</v>
      </c>
      <c r="B55" s="118">
        <f>+[4]WestHub!$L46/16/DR55</f>
        <v>0</v>
      </c>
      <c r="C55" s="85">
        <f t="shared" si="0"/>
        <v>0</v>
      </c>
      <c r="D55" s="106">
        <f t="shared" si="17"/>
        <v>0</v>
      </c>
      <c r="E55" s="122">
        <f t="shared" si="22"/>
        <v>0</v>
      </c>
      <c r="F55" s="139">
        <f>[4]WestHub!$C46</f>
        <v>31.25</v>
      </c>
      <c r="G55" s="142">
        <f t="shared" si="27"/>
        <v>-0.25</v>
      </c>
      <c r="H55" s="136">
        <f t="shared" si="2"/>
        <v>31</v>
      </c>
      <c r="I55" s="270">
        <f t="shared" si="23"/>
        <v>0</v>
      </c>
      <c r="J55" s="276">
        <f t="shared" si="24"/>
        <v>0</v>
      </c>
      <c r="K55" s="273">
        <f t="shared" si="3"/>
        <v>0</v>
      </c>
      <c r="L55" s="172"/>
      <c r="M55" s="348">
        <f t="shared" si="4"/>
        <v>37530</v>
      </c>
      <c r="N55" s="357">
        <v>31</v>
      </c>
      <c r="O55" s="358">
        <v>31</v>
      </c>
      <c r="P55" s="351">
        <f t="shared" si="21"/>
        <v>-0.25</v>
      </c>
      <c r="Q55" s="213"/>
      <c r="R55" s="215">
        <f t="shared" si="5"/>
        <v>31</v>
      </c>
      <c r="S55" s="172"/>
      <c r="T55"/>
      <c r="U55" s="176"/>
      <c r="V55" s="237">
        <f t="shared" si="6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5"/>
        <v>0</v>
      </c>
      <c r="CZ55" s="34">
        <f t="shared" si="26"/>
        <v>0</v>
      </c>
      <c r="DB55" s="189">
        <f t="shared" si="10"/>
        <v>37530</v>
      </c>
      <c r="DC55" s="188">
        <f t="shared" si="11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9.5" thickBot="1" x14ac:dyDescent="0.35">
      <c r="A56" s="146">
        <f>'NYISO A'!A56</f>
        <v>37561</v>
      </c>
      <c r="B56" s="119">
        <f>+[4]WestHub!$L47/16/DR56</f>
        <v>0</v>
      </c>
      <c r="C56" s="121">
        <f t="shared" si="0"/>
        <v>0</v>
      </c>
      <c r="D56" s="41">
        <f t="shared" si="17"/>
        <v>0</v>
      </c>
      <c r="E56" s="123">
        <f t="shared" si="22"/>
        <v>0</v>
      </c>
      <c r="F56" s="140">
        <f>[4]WestHub!$C47</f>
        <v>31.25</v>
      </c>
      <c r="G56" s="143">
        <f t="shared" si="27"/>
        <v>0</v>
      </c>
      <c r="H56" s="137">
        <f t="shared" si="2"/>
        <v>31.25</v>
      </c>
      <c r="I56" s="271">
        <f t="shared" si="23"/>
        <v>0</v>
      </c>
      <c r="J56" s="277">
        <f t="shared" si="24"/>
        <v>0</v>
      </c>
      <c r="K56" s="274">
        <f t="shared" si="3"/>
        <v>0</v>
      </c>
      <c r="L56" s="172"/>
      <c r="M56" s="349">
        <f t="shared" si="4"/>
        <v>37561</v>
      </c>
      <c r="N56" s="359">
        <f>+F56</f>
        <v>31.25</v>
      </c>
      <c r="O56" s="360">
        <f>+F56</f>
        <v>31.25</v>
      </c>
      <c r="P56" s="352">
        <f t="shared" si="21"/>
        <v>0</v>
      </c>
      <c r="Q56" s="217"/>
      <c r="R56" s="218">
        <f t="shared" si="5"/>
        <v>31.25</v>
      </c>
      <c r="S56" s="172"/>
      <c r="T56"/>
      <c r="V56" s="133">
        <f t="shared" si="6"/>
        <v>37561</v>
      </c>
      <c r="W56" s="247"/>
      <c r="X56" s="248"/>
      <c r="Y56" s="247"/>
      <c r="Z56" s="248"/>
      <c r="AA56" s="247"/>
      <c r="AB56" s="248"/>
      <c r="AC56" s="224"/>
      <c r="AD56" s="225"/>
      <c r="AE56" s="224"/>
      <c r="AF56" s="225"/>
      <c r="AG56" s="224"/>
      <c r="AH56" s="225"/>
      <c r="AI56" s="224"/>
      <c r="AJ56" s="225"/>
      <c r="AK56" s="224"/>
      <c r="AL56" s="225"/>
      <c r="AM56" s="224"/>
      <c r="AN56" s="225"/>
      <c r="AO56" s="224"/>
      <c r="AP56" s="225"/>
      <c r="AQ56" s="224"/>
      <c r="AR56" s="225"/>
      <c r="AS56" s="224"/>
      <c r="AT56" s="226"/>
      <c r="AU56" s="96"/>
      <c r="AV56" s="97"/>
      <c r="AW56" s="89"/>
      <c r="AX56" s="43"/>
      <c r="AY56" s="42"/>
      <c r="AZ56" s="43"/>
      <c r="BA56" s="42"/>
      <c r="BB56" s="43"/>
      <c r="BC56" s="42"/>
      <c r="BD56" s="43"/>
      <c r="BE56" s="42"/>
      <c r="BF56" s="43"/>
      <c r="BG56" s="42"/>
      <c r="BH56" s="43"/>
      <c r="BI56" s="42"/>
      <c r="BJ56" s="43"/>
      <c r="BK56" s="42"/>
      <c r="BL56" s="43"/>
      <c r="BM56" s="42"/>
      <c r="BN56" s="43"/>
      <c r="BO56" s="42"/>
      <c r="BP56" s="43"/>
      <c r="BQ56" s="42"/>
      <c r="BR56" s="43"/>
      <c r="BS56" s="42"/>
      <c r="BT56" s="43"/>
      <c r="BU56" s="42"/>
      <c r="BV56" s="43"/>
      <c r="BW56" s="42"/>
      <c r="BX56" s="43"/>
      <c r="BY56" s="42"/>
      <c r="BZ56" s="43"/>
      <c r="CA56" s="42"/>
      <c r="CB56" s="43"/>
      <c r="CC56" s="42"/>
      <c r="CD56" s="43"/>
      <c r="CE56" s="42"/>
      <c r="CF56" s="43"/>
      <c r="CG56" s="42"/>
      <c r="CH56" s="43"/>
      <c r="CI56" s="42"/>
      <c r="CJ56" s="43"/>
      <c r="CK56" s="42"/>
      <c r="CL56" s="43"/>
      <c r="CM56" s="42"/>
      <c r="CN56" s="43"/>
      <c r="CO56" s="42"/>
      <c r="CP56" s="43"/>
      <c r="CQ56" s="42"/>
      <c r="CR56" s="43"/>
      <c r="CS56" s="42"/>
      <c r="CT56" s="43"/>
      <c r="CU56" s="42"/>
      <c r="CV56" s="43"/>
      <c r="CW56" s="42"/>
      <c r="CX56" s="43"/>
      <c r="CY56" s="44">
        <f t="shared" si="25"/>
        <v>0</v>
      </c>
      <c r="CZ56" s="45">
        <f t="shared" si="26"/>
        <v>0</v>
      </c>
      <c r="DB56" s="189">
        <f t="shared" si="10"/>
        <v>37561</v>
      </c>
      <c r="DC56" s="188">
        <f t="shared" si="11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x14ac:dyDescent="0.25">
      <c r="A57" s="172"/>
      <c r="B57" s="172"/>
      <c r="E57" s="184"/>
      <c r="L57" s="172"/>
      <c r="N57" s="172"/>
      <c r="O57" s="172"/>
      <c r="T57"/>
      <c r="DL57" s="167">
        <v>0</v>
      </c>
      <c r="DR57" s="179">
        <f>+NEPOOL!DR57</f>
        <v>21</v>
      </c>
    </row>
    <row r="58" spans="1:122" ht="16.5" thickBot="1" x14ac:dyDescent="0.3">
      <c r="A58" s="172"/>
      <c r="B58" s="172"/>
      <c r="E58" s="184"/>
      <c r="L58" s="172"/>
      <c r="N58" s="172"/>
      <c r="O58" s="172"/>
      <c r="DA58" s="167">
        <f>SUM(DA12:DA57)</f>
        <v>0</v>
      </c>
      <c r="DR58" s="179">
        <f>+NEPOOL!DR58</f>
        <v>21</v>
      </c>
    </row>
    <row r="59" spans="1:122" s="194" customFormat="1" ht="21" thickBot="1" x14ac:dyDescent="0.35">
      <c r="A59" s="46"/>
      <c r="B59" s="47" t="s">
        <v>36</v>
      </c>
      <c r="C59" s="48"/>
      <c r="D59" s="48"/>
      <c r="E59" s="48"/>
      <c r="F59" s="48"/>
      <c r="G59" s="48"/>
      <c r="H59" s="48"/>
      <c r="I59" s="48"/>
      <c r="J59" s="48"/>
      <c r="K59" s="49"/>
      <c r="L59" s="127" t="s">
        <v>37</v>
      </c>
      <c r="M59" s="128"/>
      <c r="N59" s="129"/>
      <c r="O59" s="129"/>
      <c r="P59" s="48"/>
      <c r="Q59" s="48"/>
      <c r="R59" s="48"/>
      <c r="S59" s="50"/>
      <c r="T59" s="81"/>
      <c r="U59" s="82"/>
      <c r="V59" s="47" t="s">
        <v>38</v>
      </c>
      <c r="W59" s="48"/>
      <c r="X59" s="48"/>
      <c r="Y59" s="48"/>
      <c r="Z59" s="48"/>
      <c r="AA59" s="48"/>
      <c r="AB59" s="48"/>
      <c r="AC59" s="48"/>
      <c r="AD59" s="48"/>
      <c r="AE59" s="49"/>
      <c r="AF59" s="47" t="s">
        <v>39</v>
      </c>
      <c r="AG59" s="48"/>
      <c r="AH59" s="48"/>
      <c r="AI59" s="48"/>
      <c r="AJ59" s="48"/>
      <c r="AK59" s="48"/>
      <c r="AL59" s="48"/>
      <c r="AM59" s="49"/>
      <c r="DR59" s="179">
        <f>+NEPOOL!DR59</f>
        <v>22</v>
      </c>
    </row>
    <row r="60" spans="1:122" s="195" customFormat="1" ht="19.5" thickBot="1" x14ac:dyDescent="0.35">
      <c r="A60" s="51"/>
      <c r="B60" s="52" t="s">
        <v>40</v>
      </c>
      <c r="C60" s="53"/>
      <c r="D60" s="53"/>
      <c r="E60" s="53"/>
      <c r="F60" s="54"/>
      <c r="G60" s="54" t="s">
        <v>41</v>
      </c>
      <c r="H60" s="56"/>
      <c r="I60" s="56"/>
      <c r="J60" s="56"/>
      <c r="K60" s="57"/>
      <c r="L60" s="52" t="s">
        <v>40</v>
      </c>
      <c r="M60" s="124"/>
      <c r="N60" s="125"/>
      <c r="O60" s="125"/>
      <c r="P60" s="126"/>
      <c r="Q60" s="55" t="s">
        <v>41</v>
      </c>
      <c r="R60" s="56"/>
      <c r="S60" s="58"/>
      <c r="T60" s="83"/>
      <c r="U60" s="84"/>
      <c r="V60" s="52" t="s">
        <v>40</v>
      </c>
      <c r="W60" s="53"/>
      <c r="X60" s="53"/>
      <c r="Y60" s="53"/>
      <c r="Z60" s="54"/>
      <c r="AA60" s="55" t="s">
        <v>41</v>
      </c>
      <c r="AB60" s="56"/>
      <c r="AC60" s="56"/>
      <c r="AD60" s="56"/>
      <c r="AE60" s="57"/>
      <c r="AF60" s="52" t="s">
        <v>40</v>
      </c>
      <c r="AG60" s="53"/>
      <c r="AH60" s="53"/>
      <c r="AI60" s="55"/>
      <c r="AJ60" s="56"/>
      <c r="AK60" s="56" t="s">
        <v>41</v>
      </c>
      <c r="AL60" s="56"/>
      <c r="AM60" s="57"/>
    </row>
    <row r="61" spans="1:122" s="196" customFormat="1" ht="16.5" thickBot="1" x14ac:dyDescent="0.3">
      <c r="A61" s="59" t="s">
        <v>42</v>
      </c>
      <c r="B61" s="60">
        <v>0</v>
      </c>
      <c r="C61" s="61">
        <v>0</v>
      </c>
      <c r="D61" s="61">
        <v>0</v>
      </c>
      <c r="E61" s="61">
        <v>0</v>
      </c>
      <c r="F61" s="62">
        <v>0</v>
      </c>
      <c r="G61" s="62">
        <v>0</v>
      </c>
      <c r="H61" s="61">
        <v>0</v>
      </c>
      <c r="I61" s="61">
        <v>0</v>
      </c>
      <c r="J61" s="61">
        <v>0</v>
      </c>
      <c r="K61" s="62">
        <v>0</v>
      </c>
      <c r="L61" s="60">
        <v>0</v>
      </c>
      <c r="M61" s="61">
        <v>0</v>
      </c>
      <c r="N61" s="61">
        <v>0</v>
      </c>
      <c r="O61" s="61">
        <v>0</v>
      </c>
      <c r="P61" s="62">
        <v>0</v>
      </c>
      <c r="Q61" s="60">
        <v>0</v>
      </c>
      <c r="R61" s="61">
        <v>0</v>
      </c>
      <c r="S61" s="61">
        <v>0</v>
      </c>
      <c r="T61" s="61">
        <v>0</v>
      </c>
      <c r="U61" s="62">
        <v>0</v>
      </c>
      <c r="V61" s="60">
        <v>0</v>
      </c>
      <c r="W61" s="61">
        <v>0</v>
      </c>
      <c r="X61" s="61">
        <v>0</v>
      </c>
      <c r="Y61" s="61">
        <v>0</v>
      </c>
      <c r="Z61" s="62">
        <v>0</v>
      </c>
      <c r="AA61" s="60">
        <v>0</v>
      </c>
      <c r="AB61" s="61">
        <v>0</v>
      </c>
      <c r="AC61" s="61">
        <v>0</v>
      </c>
      <c r="AD61" s="61">
        <v>0</v>
      </c>
      <c r="AE61" s="62">
        <v>0</v>
      </c>
      <c r="AF61" s="60">
        <v>0</v>
      </c>
      <c r="AG61" s="61">
        <v>0</v>
      </c>
      <c r="AH61" s="61">
        <v>0</v>
      </c>
      <c r="AI61" s="60"/>
      <c r="AJ61" s="61"/>
      <c r="AK61" s="61">
        <v>0</v>
      </c>
      <c r="AL61" s="61">
        <v>0</v>
      </c>
      <c r="AM61" s="62">
        <v>0</v>
      </c>
      <c r="AN61" s="196">
        <v>0</v>
      </c>
      <c r="AO61" s="196">
        <v>0</v>
      </c>
    </row>
    <row r="62" spans="1:122" x14ac:dyDescent="0.25">
      <c r="A62" s="63" t="s">
        <v>25</v>
      </c>
      <c r="B62" s="197">
        <v>0</v>
      </c>
      <c r="C62" s="198">
        <v>0</v>
      </c>
      <c r="D62" s="198">
        <v>0</v>
      </c>
      <c r="E62" s="198">
        <v>0</v>
      </c>
      <c r="F62" s="199">
        <v>0</v>
      </c>
      <c r="G62" s="199">
        <v>0</v>
      </c>
      <c r="H62" s="198">
        <v>0</v>
      </c>
      <c r="I62" s="198">
        <v>0</v>
      </c>
      <c r="J62" s="198">
        <v>0</v>
      </c>
      <c r="K62" s="199">
        <v>0</v>
      </c>
      <c r="L62" s="197">
        <v>0</v>
      </c>
      <c r="M62" s="198">
        <v>0</v>
      </c>
      <c r="N62" s="198">
        <v>0</v>
      </c>
      <c r="O62" s="198">
        <v>0</v>
      </c>
      <c r="P62" s="199">
        <v>0</v>
      </c>
      <c r="Q62" s="198">
        <v>0</v>
      </c>
      <c r="R62" s="198">
        <v>0</v>
      </c>
      <c r="S62" s="198">
        <v>0</v>
      </c>
      <c r="T62" s="198">
        <v>0</v>
      </c>
      <c r="U62" s="199">
        <v>0</v>
      </c>
      <c r="V62" s="197">
        <v>0</v>
      </c>
      <c r="W62" s="198">
        <v>0</v>
      </c>
      <c r="X62" s="198">
        <v>0</v>
      </c>
      <c r="Y62" s="198">
        <v>0</v>
      </c>
      <c r="Z62" s="199">
        <v>0</v>
      </c>
      <c r="AA62" s="197">
        <v>0</v>
      </c>
      <c r="AB62" s="198">
        <v>0</v>
      </c>
      <c r="AC62" s="198">
        <v>0</v>
      </c>
      <c r="AD62" s="198">
        <v>0</v>
      </c>
      <c r="AE62" s="199">
        <v>0</v>
      </c>
      <c r="AF62" s="197">
        <v>0</v>
      </c>
      <c r="AG62" s="198">
        <v>0</v>
      </c>
      <c r="AH62" s="198">
        <v>0</v>
      </c>
      <c r="AI62" s="197"/>
      <c r="AJ62" s="198"/>
      <c r="AK62" s="198">
        <v>0</v>
      </c>
      <c r="AL62" s="198">
        <v>0</v>
      </c>
      <c r="AM62" s="199">
        <v>0</v>
      </c>
      <c r="AN62" s="167">
        <v>0</v>
      </c>
      <c r="AO62" s="167">
        <v>0</v>
      </c>
    </row>
    <row r="63" spans="1:122" ht="16.5" thickBot="1" x14ac:dyDescent="0.3">
      <c r="A63" s="63" t="s">
        <v>43</v>
      </c>
      <c r="B63" s="197"/>
      <c r="C63" s="198"/>
      <c r="D63" s="198"/>
      <c r="E63" s="198"/>
      <c r="F63" s="199"/>
      <c r="G63" s="199"/>
      <c r="H63" s="201"/>
      <c r="I63" s="201"/>
      <c r="J63" s="201"/>
      <c r="K63" s="202"/>
      <c r="L63" s="197"/>
      <c r="M63" s="198"/>
      <c r="N63" s="204"/>
      <c r="O63" s="204"/>
      <c r="P63" s="199"/>
      <c r="Q63" s="200"/>
      <c r="R63" s="201"/>
      <c r="S63" s="201"/>
      <c r="T63" s="201"/>
      <c r="U63" s="202"/>
      <c r="V63" s="197"/>
      <c r="W63" s="198"/>
      <c r="X63" s="198"/>
      <c r="Y63" s="198"/>
      <c r="Z63" s="199"/>
      <c r="AA63" s="200"/>
      <c r="AB63" s="201"/>
      <c r="AC63" s="201"/>
      <c r="AD63" s="201"/>
      <c r="AE63" s="202"/>
      <c r="AF63" s="197"/>
      <c r="AG63" s="198"/>
      <c r="AH63" s="198"/>
      <c r="AI63" s="200"/>
      <c r="AJ63" s="201"/>
      <c r="AK63" s="201"/>
      <c r="AL63" s="201"/>
      <c r="AM63" s="202"/>
    </row>
    <row r="64" spans="1:122" ht="16.5" thickBot="1" x14ac:dyDescent="0.3">
      <c r="A64" s="7" t="s">
        <v>44</v>
      </c>
      <c r="B64" s="203"/>
      <c r="C64" s="204"/>
      <c r="D64" s="204"/>
      <c r="E64" s="204"/>
      <c r="F64" s="205"/>
      <c r="G64" s="205"/>
      <c r="H64" s="207"/>
      <c r="I64" s="207"/>
      <c r="J64" s="207"/>
      <c r="K64" s="208"/>
      <c r="L64" s="203"/>
      <c r="M64" s="204"/>
      <c r="N64" s="69"/>
      <c r="O64" s="69"/>
      <c r="P64" s="205"/>
      <c r="Q64" s="206"/>
      <c r="R64" s="207"/>
      <c r="S64" s="207"/>
      <c r="T64" s="207"/>
      <c r="U64" s="208"/>
      <c r="V64" s="203"/>
      <c r="W64" s="204"/>
      <c r="X64" s="204"/>
      <c r="Y64" s="204"/>
      <c r="Z64" s="205"/>
      <c r="AA64" s="206"/>
      <c r="AB64" s="207"/>
      <c r="AC64" s="207"/>
      <c r="AD64" s="207"/>
      <c r="AE64" s="208"/>
      <c r="AF64" s="203"/>
      <c r="AG64" s="204"/>
      <c r="AH64" s="204"/>
      <c r="AI64" s="206"/>
      <c r="AJ64" s="207"/>
      <c r="AK64" s="207"/>
      <c r="AL64" s="207"/>
      <c r="AM64" s="208"/>
    </row>
    <row r="65" spans="1:42" ht="16.5" thickBot="1" x14ac:dyDescent="0.3">
      <c r="A65" s="64" t="s">
        <v>45</v>
      </c>
      <c r="B65" s="65">
        <f t="shared" ref="B65:K65" si="28">B62*B63</f>
        <v>0</v>
      </c>
      <c r="C65" s="66">
        <f t="shared" si="28"/>
        <v>0</v>
      </c>
      <c r="D65" s="66">
        <f t="shared" si="28"/>
        <v>0</v>
      </c>
      <c r="E65" s="66">
        <f t="shared" si="28"/>
        <v>0</v>
      </c>
      <c r="F65" s="67">
        <f t="shared" si="28"/>
        <v>0</v>
      </c>
      <c r="G65" s="67">
        <f t="shared" si="28"/>
        <v>0</v>
      </c>
      <c r="H65" s="66">
        <f t="shared" si="28"/>
        <v>0</v>
      </c>
      <c r="I65" s="66">
        <f t="shared" si="28"/>
        <v>0</v>
      </c>
      <c r="J65" s="66">
        <f t="shared" si="28"/>
        <v>0</v>
      </c>
      <c r="K65" s="67">
        <f t="shared" si="28"/>
        <v>0</v>
      </c>
      <c r="L65" s="68"/>
      <c r="M65" s="69"/>
      <c r="N65" s="77"/>
      <c r="O65" s="77"/>
      <c r="P65" s="70"/>
      <c r="Q65" s="68"/>
      <c r="R65" s="69"/>
      <c r="S65" s="69"/>
      <c r="T65" s="69"/>
      <c r="U65" s="70"/>
      <c r="V65" s="65">
        <f t="shared" ref="V65:AE65" si="29">-V62*V63</f>
        <v>0</v>
      </c>
      <c r="W65" s="66">
        <f t="shared" si="29"/>
        <v>0</v>
      </c>
      <c r="X65" s="66">
        <f t="shared" si="29"/>
        <v>0</v>
      </c>
      <c r="Y65" s="66">
        <f t="shared" si="29"/>
        <v>0</v>
      </c>
      <c r="Z65" s="67">
        <f t="shared" si="29"/>
        <v>0</v>
      </c>
      <c r="AA65" s="65">
        <f t="shared" si="29"/>
        <v>0</v>
      </c>
      <c r="AB65" s="66">
        <f t="shared" si="29"/>
        <v>0</v>
      </c>
      <c r="AC65" s="66">
        <f t="shared" si="29"/>
        <v>0</v>
      </c>
      <c r="AD65" s="66">
        <f t="shared" si="29"/>
        <v>0</v>
      </c>
      <c r="AE65" s="67">
        <f t="shared" si="29"/>
        <v>0</v>
      </c>
      <c r="AF65" s="68"/>
      <c r="AG65" s="69"/>
      <c r="AH65" s="69"/>
      <c r="AI65" s="69"/>
      <c r="AJ65" s="69"/>
      <c r="AK65" s="69"/>
      <c r="AL65" s="69"/>
      <c r="AM65" s="70"/>
      <c r="AN65" s="71"/>
      <c r="AP65" s="167">
        <f>SUM(B65:AO65)</f>
        <v>0</v>
      </c>
    </row>
    <row r="66" spans="1:42" ht="16.5" thickBot="1" x14ac:dyDescent="0.3">
      <c r="A66" s="72" t="s">
        <v>46</v>
      </c>
      <c r="B66" s="73"/>
      <c r="C66" s="74"/>
      <c r="D66" s="74"/>
      <c r="E66" s="74"/>
      <c r="F66" s="75"/>
      <c r="G66" s="75"/>
      <c r="H66" s="74"/>
      <c r="I66" s="74"/>
      <c r="J66" s="74"/>
      <c r="K66" s="75"/>
      <c r="L66" s="76">
        <f>L62*L63</f>
        <v>0</v>
      </c>
      <c r="M66" s="77">
        <f>M62*M63</f>
        <v>0</v>
      </c>
      <c r="N66" s="167">
        <f>N62*N63</f>
        <v>0</v>
      </c>
      <c r="O66" s="167">
        <f>O62*O63</f>
        <v>0</v>
      </c>
      <c r="P66" s="78">
        <f>P62*P63</f>
        <v>0</v>
      </c>
      <c r="Q66" s="76">
        <f>Q63*Q62</f>
        <v>0</v>
      </c>
      <c r="R66" s="77">
        <f>R63*R62</f>
        <v>0</v>
      </c>
      <c r="S66" s="77">
        <f>S63*S62</f>
        <v>0</v>
      </c>
      <c r="T66" s="77">
        <f>T63*T62</f>
        <v>0</v>
      </c>
      <c r="U66" s="78">
        <f>U63*U62</f>
        <v>0</v>
      </c>
      <c r="V66" s="73"/>
      <c r="W66" s="74"/>
      <c r="X66" s="74"/>
      <c r="Y66" s="74"/>
      <c r="Z66" s="75"/>
      <c r="AA66" s="73"/>
      <c r="AB66" s="74"/>
      <c r="AC66" s="74"/>
      <c r="AD66" s="74"/>
      <c r="AE66" s="75"/>
      <c r="AF66" s="76">
        <f>-AF62*AF63</f>
        <v>0</v>
      </c>
      <c r="AG66" s="77">
        <f>-AG62*AG63</f>
        <v>0</v>
      </c>
      <c r="AH66" s="77">
        <f>-AH62*AH63</f>
        <v>0</v>
      </c>
      <c r="AI66" s="77"/>
      <c r="AJ66" s="77"/>
      <c r="AK66" s="77">
        <f>-AK62*AK63</f>
        <v>0</v>
      </c>
      <c r="AL66" s="77">
        <f>-AL62*AL63</f>
        <v>0</v>
      </c>
      <c r="AM66" s="78">
        <f>-AM62*AM63</f>
        <v>0</v>
      </c>
      <c r="AN66" s="79">
        <f>-AN62*AN63</f>
        <v>0</v>
      </c>
      <c r="AO66" s="167">
        <f>-AO62*AO63</f>
        <v>0</v>
      </c>
      <c r="AP66" s="167">
        <f>SUM(B66:AO66)</f>
        <v>0</v>
      </c>
    </row>
    <row r="67" spans="1:42" ht="12.75" x14ac:dyDescent="0.2">
      <c r="A67" s="172"/>
      <c r="B67" s="172">
        <f>(B61-$H$12)*B65*16</f>
        <v>0</v>
      </c>
      <c r="C67" s="172">
        <f>(C61-$H$12)*C65*16</f>
        <v>0</v>
      </c>
      <c r="D67" s="172">
        <f>(D61-$H$12)*D65*16</f>
        <v>0</v>
      </c>
      <c r="E67" s="172">
        <f>(E61-$H$12)*E65*16</f>
        <v>0</v>
      </c>
      <c r="F67" s="172">
        <f>(F61-$H$12)*F65*16</f>
        <v>0</v>
      </c>
      <c r="G67" s="172">
        <f>($H$12-G61)*G65*16</f>
        <v>0</v>
      </c>
      <c r="H67" s="172">
        <f>($H$12-H61)*H65*16</f>
        <v>0</v>
      </c>
      <c r="I67" s="172">
        <f>($H$12-I61)*I65*16</f>
        <v>0</v>
      </c>
      <c r="J67" s="172">
        <f>($H$12-J61)*J65*16</f>
        <v>0</v>
      </c>
      <c r="K67" s="172">
        <f>($H$12-K61)*K65*16</f>
        <v>0</v>
      </c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>
        <f t="shared" ref="V67:AE67" si="30">V65*($H$12-V61)*16</f>
        <v>0</v>
      </c>
      <c r="W67" s="172">
        <f t="shared" si="30"/>
        <v>0</v>
      </c>
      <c r="X67" s="172">
        <f t="shared" si="30"/>
        <v>0</v>
      </c>
      <c r="Y67" s="172">
        <f t="shared" si="30"/>
        <v>0</v>
      </c>
      <c r="Z67" s="172">
        <f t="shared" si="30"/>
        <v>0</v>
      </c>
      <c r="AA67" s="172">
        <f t="shared" si="30"/>
        <v>0</v>
      </c>
      <c r="AB67" s="172">
        <f t="shared" si="30"/>
        <v>0</v>
      </c>
      <c r="AC67" s="172">
        <f t="shared" si="30"/>
        <v>0</v>
      </c>
      <c r="AD67" s="172">
        <f t="shared" si="30"/>
        <v>0</v>
      </c>
      <c r="AE67" s="172">
        <f t="shared" si="30"/>
        <v>0</v>
      </c>
      <c r="AH67" s="167"/>
      <c r="AI67" s="167"/>
      <c r="AJ67" s="167"/>
      <c r="AK67" s="167"/>
      <c r="AP67" s="167">
        <f>SUM(B67:AO67)</f>
        <v>0</v>
      </c>
    </row>
    <row r="70" spans="1:42" x14ac:dyDescent="0.25">
      <c r="B70" s="180"/>
      <c r="C70" s="181"/>
      <c r="D70" s="181"/>
      <c r="E70" s="181"/>
      <c r="F70" s="182"/>
      <c r="G70" s="182"/>
    </row>
    <row r="71" spans="1:42" x14ac:dyDescent="0.25">
      <c r="B71" s="176"/>
      <c r="C71" s="176"/>
      <c r="D71" s="176"/>
      <c r="E71" s="176"/>
      <c r="F71" s="176"/>
      <c r="G71" s="176"/>
    </row>
    <row r="72" spans="1:42" x14ac:dyDescent="0.25">
      <c r="B72" s="176"/>
      <c r="C72" s="176"/>
      <c r="D72" s="176"/>
      <c r="E72" s="176"/>
      <c r="F72" s="176"/>
      <c r="G72" s="176"/>
    </row>
    <row r="73" spans="1:42" ht="12" customHeight="1" x14ac:dyDescent="0.25">
      <c r="B73" s="176"/>
      <c r="C73" s="176"/>
      <c r="D73" s="176"/>
      <c r="E73" s="176"/>
      <c r="F73" s="176"/>
      <c r="G73" s="176"/>
    </row>
    <row r="75" spans="1:42" x14ac:dyDescent="0.25">
      <c r="B75" s="176"/>
      <c r="C75" s="176"/>
      <c r="D75" s="176"/>
      <c r="E75" s="176"/>
      <c r="F75" s="176"/>
      <c r="G75" s="176"/>
    </row>
    <row r="76" spans="1:42" x14ac:dyDescent="0.25">
      <c r="B76" s="176"/>
      <c r="C76" s="176"/>
      <c r="D76" s="176"/>
      <c r="E76" s="176"/>
      <c r="F76" s="176"/>
      <c r="G76" s="176"/>
    </row>
    <row r="77" spans="1:42" x14ac:dyDescent="0.25">
      <c r="B77" s="176"/>
      <c r="C77" s="176"/>
      <c r="D77" s="176"/>
      <c r="E77" s="176"/>
      <c r="F77" s="176"/>
      <c r="G77" s="176"/>
    </row>
    <row r="78" spans="1:42" x14ac:dyDescent="0.25">
      <c r="B78" s="180"/>
      <c r="C78" s="181"/>
      <c r="D78" s="181"/>
      <c r="E78" s="181"/>
      <c r="F78" s="176"/>
      <c r="G78" s="176"/>
    </row>
    <row r="79" spans="1:42" x14ac:dyDescent="0.25">
      <c r="B79" s="176"/>
      <c r="C79" s="176"/>
      <c r="D79" s="176"/>
      <c r="E79" s="176"/>
      <c r="F79" s="176"/>
      <c r="G79" s="176"/>
    </row>
    <row r="80" spans="1:42" x14ac:dyDescent="0.25">
      <c r="B80" s="176"/>
      <c r="C80" s="176"/>
      <c r="D80" s="176"/>
      <c r="E80" s="176"/>
      <c r="F80" s="176"/>
      <c r="G80" s="176"/>
    </row>
    <row r="81" spans="2:7" x14ac:dyDescent="0.25">
      <c r="B81" s="176"/>
      <c r="C81" s="176"/>
      <c r="D81" s="176"/>
      <c r="E81" s="176"/>
      <c r="F81" s="176"/>
      <c r="G81" s="176"/>
    </row>
    <row r="82" spans="2:7" x14ac:dyDescent="0.25">
      <c r="B82" s="176"/>
      <c r="C82" s="176"/>
      <c r="D82" s="176"/>
      <c r="E82" s="176"/>
      <c r="F82" s="176"/>
      <c r="G82" s="176"/>
    </row>
    <row r="83" spans="2:7" x14ac:dyDescent="0.25">
      <c r="B83" s="176"/>
      <c r="C83" s="176"/>
      <c r="D83" s="176"/>
      <c r="E83" s="176"/>
      <c r="F83" s="176"/>
      <c r="G83" s="176"/>
    </row>
    <row r="84" spans="2:7" x14ac:dyDescent="0.25">
      <c r="B84" s="183"/>
      <c r="C84" s="181"/>
      <c r="D84" s="181"/>
      <c r="E84" s="181"/>
      <c r="F84" s="176"/>
      <c r="G84" s="176"/>
    </row>
    <row r="85" spans="2:7" x14ac:dyDescent="0.25">
      <c r="B85" s="185"/>
      <c r="C85" s="176"/>
      <c r="D85" s="176"/>
      <c r="E85" s="176"/>
      <c r="F85" s="176"/>
      <c r="G85" s="176"/>
    </row>
    <row r="86" spans="2:7" x14ac:dyDescent="0.25">
      <c r="B86" s="176"/>
      <c r="C86" s="176"/>
      <c r="D86" s="176"/>
      <c r="E86" s="176"/>
      <c r="F86" s="176"/>
      <c r="G86" s="176"/>
    </row>
    <row r="87" spans="2:7" x14ac:dyDescent="0.25">
      <c r="B87" s="176"/>
      <c r="C87" s="176"/>
      <c r="D87" s="176"/>
      <c r="E87" s="176"/>
      <c r="F87" s="176"/>
      <c r="G87" s="176"/>
    </row>
    <row r="88" spans="2:7" x14ac:dyDescent="0.25">
      <c r="B88" s="176"/>
      <c r="C88" s="176"/>
      <c r="D88" s="176"/>
      <c r="E88" s="176"/>
      <c r="F88" s="176"/>
      <c r="G88" s="176"/>
    </row>
    <row r="89" spans="2:7" x14ac:dyDescent="0.25">
      <c r="B89" s="176"/>
      <c r="C89" s="176"/>
      <c r="D89" s="176"/>
      <c r="E89" s="176"/>
      <c r="F89" s="176"/>
      <c r="G89" s="176"/>
    </row>
    <row r="91" spans="2:7" ht="12" customHeight="1" x14ac:dyDescent="0.25">
      <c r="B91" s="176"/>
      <c r="C91" s="176"/>
      <c r="D91" s="176"/>
      <c r="E91" s="176"/>
      <c r="F91" s="176"/>
    </row>
    <row r="92" spans="2:7" x14ac:dyDescent="0.25">
      <c r="B92" s="176"/>
      <c r="C92" s="176"/>
      <c r="D92" s="176"/>
      <c r="E92" s="176"/>
      <c r="F92" s="176"/>
    </row>
    <row r="93" spans="2:7" x14ac:dyDescent="0.25">
      <c r="B93" s="176"/>
      <c r="C93" s="176"/>
      <c r="D93" s="176"/>
      <c r="E93" s="176"/>
      <c r="F93" s="176"/>
    </row>
    <row r="94" spans="2:7" x14ac:dyDescent="0.25">
      <c r="B94" s="176"/>
      <c r="C94" s="176"/>
      <c r="D94" s="176"/>
      <c r="E94" s="176"/>
      <c r="F94" s="176"/>
    </row>
    <row r="95" spans="2:7" x14ac:dyDescent="0.25">
      <c r="B95" s="176"/>
      <c r="C95" s="176"/>
      <c r="D95" s="176"/>
      <c r="E95" s="176"/>
      <c r="F95" s="176"/>
    </row>
    <row r="96" spans="2:7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86"/>
      <c r="F98" s="186"/>
    </row>
    <row r="99" spans="2:6" x14ac:dyDescent="0.25">
      <c r="B99" s="176"/>
      <c r="C99" s="176"/>
      <c r="D99" s="176"/>
      <c r="E99" s="176"/>
      <c r="F99" s="176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54"/>
  <sheetViews>
    <sheetView topLeftCell="A31" zoomScale="75" workbookViewId="0">
      <selection activeCell="I40" sqref="I40"/>
    </sheetView>
  </sheetViews>
  <sheetFormatPr defaultRowHeight="12.75" x14ac:dyDescent="0.2"/>
  <cols>
    <col min="1" max="6" width="9.140625" style="172"/>
    <col min="7" max="7" width="8.85546875" style="172" customWidth="1"/>
    <col min="8" max="9" width="9.140625" style="172"/>
    <col min="10" max="10" width="0" style="172" hidden="1" customWidth="1"/>
    <col min="11" max="14" width="9.140625" style="172"/>
    <col min="15" max="15" width="11.140625" style="172" customWidth="1"/>
    <col min="16" max="16384" width="9.140625" style="172"/>
  </cols>
  <sheetData>
    <row r="1" spans="1:18" ht="16.5" thickBot="1" x14ac:dyDescent="0.3">
      <c r="A1" s="326" t="s">
        <v>70</v>
      </c>
      <c r="B1" s="324" t="s">
        <v>55</v>
      </c>
      <c r="C1" s="324" t="s">
        <v>58</v>
      </c>
      <c r="D1" s="324" t="s">
        <v>59</v>
      </c>
      <c r="E1" s="324" t="s">
        <v>78</v>
      </c>
      <c r="F1" s="325" t="s">
        <v>79</v>
      </c>
      <c r="G1" s="329" t="s">
        <v>84</v>
      </c>
      <c r="H1" s="330" t="s">
        <v>84</v>
      </c>
      <c r="I1" s="331" t="s">
        <v>84</v>
      </c>
      <c r="K1" s="367"/>
      <c r="L1" s="313"/>
      <c r="M1" s="313"/>
      <c r="N1" s="316" t="s">
        <v>91</v>
      </c>
      <c r="O1" s="313"/>
      <c r="P1" s="313"/>
      <c r="Q1" s="314"/>
      <c r="R1" s="183"/>
    </row>
    <row r="2" spans="1:18" ht="15.75" x14ac:dyDescent="0.25">
      <c r="A2" s="327"/>
      <c r="B2" s="251" t="s">
        <v>87</v>
      </c>
      <c r="C2" s="251" t="s">
        <v>87</v>
      </c>
      <c r="D2" s="251" t="s">
        <v>87</v>
      </c>
      <c r="E2" s="251" t="s">
        <v>87</v>
      </c>
      <c r="F2" s="252" t="s">
        <v>87</v>
      </c>
      <c r="G2" s="332" t="s">
        <v>88</v>
      </c>
      <c r="H2" s="333" t="s">
        <v>78</v>
      </c>
      <c r="I2" s="334" t="s">
        <v>79</v>
      </c>
      <c r="K2" s="370" t="s">
        <v>22</v>
      </c>
      <c r="L2" s="504" t="s">
        <v>89</v>
      </c>
      <c r="M2" s="505"/>
      <c r="N2" s="506"/>
      <c r="O2" s="504" t="s">
        <v>90</v>
      </c>
      <c r="P2" s="505"/>
      <c r="Q2" s="506"/>
    </row>
    <row r="3" spans="1:18" ht="13.5" thickBot="1" x14ac:dyDescent="0.25">
      <c r="A3" s="253"/>
      <c r="B3" s="254" t="s">
        <v>74</v>
      </c>
      <c r="C3" s="254"/>
      <c r="D3" s="254"/>
      <c r="E3" s="254"/>
      <c r="F3" s="255"/>
      <c r="G3" s="335"/>
      <c r="H3" s="336"/>
      <c r="I3" s="337"/>
      <c r="K3" s="371"/>
      <c r="L3" s="368" t="s">
        <v>55</v>
      </c>
      <c r="M3" s="368" t="s">
        <v>58</v>
      </c>
      <c r="N3" s="369" t="s">
        <v>59</v>
      </c>
      <c r="O3" s="368" t="s">
        <v>55</v>
      </c>
      <c r="P3" s="368" t="s">
        <v>58</v>
      </c>
      <c r="Q3" s="369" t="s">
        <v>59</v>
      </c>
    </row>
    <row r="4" spans="1:18" x14ac:dyDescent="0.2">
      <c r="A4" s="256">
        <f>+Summary!U5</f>
        <v>37135</v>
      </c>
      <c r="B4" s="257">
        <f>+Summary!B5</f>
        <v>0</v>
      </c>
      <c r="C4" s="257">
        <f>+Summary!G5</f>
        <v>0</v>
      </c>
      <c r="D4" s="257">
        <f>+Summary!L5</f>
        <v>0</v>
      </c>
      <c r="E4" s="257">
        <f>+Summary!Q5</f>
        <v>0</v>
      </c>
      <c r="F4" s="322">
        <f>+Summary!V5</f>
        <v>0</v>
      </c>
      <c r="G4" s="338">
        <f>+B4+C4+D4</f>
        <v>0</v>
      </c>
      <c r="H4" s="339">
        <f>+E4</f>
        <v>0</v>
      </c>
      <c r="I4" s="340">
        <f>+F4</f>
        <v>0</v>
      </c>
      <c r="K4" s="256">
        <f t="shared" ref="K4:K35" si="0">A4</f>
        <v>37135</v>
      </c>
      <c r="L4" s="385">
        <f>'NYISO A'!F12</f>
        <v>34</v>
      </c>
      <c r="M4" s="385">
        <f>'NYISO G'!F12</f>
        <v>38</v>
      </c>
      <c r="N4" s="386">
        <f>'NYISO J'!F12</f>
        <v>42</v>
      </c>
      <c r="O4" s="374">
        <f>'NYISO A'!H12</f>
        <v>30.28</v>
      </c>
      <c r="P4" s="374">
        <f>'NYISO G'!H12</f>
        <v>35.71</v>
      </c>
      <c r="Q4" s="377">
        <f>'NYISO J'!H12</f>
        <v>36.979999999999997</v>
      </c>
    </row>
    <row r="5" spans="1:18" ht="15.75" customHeight="1" x14ac:dyDescent="0.2">
      <c r="A5" s="256">
        <f>+Summary!U6</f>
        <v>37136</v>
      </c>
      <c r="B5" s="257">
        <f>+Summary!B6</f>
        <v>0</v>
      </c>
      <c r="C5" s="257">
        <f>+Summary!G6</f>
        <v>0</v>
      </c>
      <c r="D5" s="257">
        <f>+Summary!L6</f>
        <v>0</v>
      </c>
      <c r="E5" s="257">
        <f>+Summary!Q6</f>
        <v>0</v>
      </c>
      <c r="F5" s="322">
        <f>+Summary!V6</f>
        <v>0</v>
      </c>
      <c r="G5" s="338">
        <f t="shared" ref="G5:G35" si="1">+B5+C5+D5</f>
        <v>0</v>
      </c>
      <c r="H5" s="339">
        <f t="shared" ref="H5:H51" si="2">+E5</f>
        <v>0</v>
      </c>
      <c r="I5" s="340">
        <f t="shared" ref="I5:I38" si="3">+F5</f>
        <v>0</v>
      </c>
      <c r="K5" s="256">
        <f t="shared" si="0"/>
        <v>37136</v>
      </c>
      <c r="L5" s="385">
        <f>'NYISO A'!F13</f>
        <v>34</v>
      </c>
      <c r="M5" s="385">
        <f>'NYISO G'!F13</f>
        <v>38</v>
      </c>
      <c r="N5" s="386">
        <f>'NYISO J'!F13</f>
        <v>42</v>
      </c>
      <c r="O5" s="374">
        <f>'NYISO A'!H13</f>
        <v>34</v>
      </c>
      <c r="P5" s="374">
        <f>'NYISO G'!H13</f>
        <v>38</v>
      </c>
      <c r="Q5" s="377">
        <f>'NYISO J'!H13</f>
        <v>42</v>
      </c>
    </row>
    <row r="6" spans="1:18" ht="13.5" customHeight="1" x14ac:dyDescent="0.2">
      <c r="A6" s="256">
        <f>+Summary!U7</f>
        <v>37137</v>
      </c>
      <c r="B6" s="257">
        <f>+Summary!B7</f>
        <v>0</v>
      </c>
      <c r="C6" s="257">
        <f>+Summary!G7</f>
        <v>0</v>
      </c>
      <c r="D6" s="257">
        <f>+Summary!L7</f>
        <v>0</v>
      </c>
      <c r="E6" s="257">
        <f>+Summary!Q7</f>
        <v>0</v>
      </c>
      <c r="F6" s="322">
        <f>+Summary!V7</f>
        <v>0</v>
      </c>
      <c r="G6" s="338">
        <f t="shared" ref="G6:G13" si="4">+B6+C6+D6</f>
        <v>0</v>
      </c>
      <c r="H6" s="339">
        <f t="shared" ref="H6:I13" si="5">+E6</f>
        <v>0</v>
      </c>
      <c r="I6" s="340">
        <f t="shared" si="5"/>
        <v>0</v>
      </c>
      <c r="K6" s="256">
        <f t="shared" si="0"/>
        <v>37137</v>
      </c>
      <c r="L6" s="385">
        <f>'NYISO A'!F14</f>
        <v>34</v>
      </c>
      <c r="M6" s="385">
        <f>'NYISO G'!F14</f>
        <v>38</v>
      </c>
      <c r="N6" s="386">
        <f>'NYISO J'!F14</f>
        <v>42</v>
      </c>
      <c r="O6" s="374">
        <f>'NYISO A'!H14</f>
        <v>34</v>
      </c>
      <c r="P6" s="374">
        <f>'NYISO G'!H14</f>
        <v>44</v>
      </c>
      <c r="Q6" s="377">
        <f>'NYISO J'!H14</f>
        <v>45</v>
      </c>
      <c r="R6" s="384">
        <f>+P6-O6</f>
        <v>10</v>
      </c>
    </row>
    <row r="7" spans="1:18" x14ac:dyDescent="0.2">
      <c r="A7" s="256">
        <f>+Summary!U8</f>
        <v>37138</v>
      </c>
      <c r="B7" s="257">
        <f>+Summary!B8</f>
        <v>-50</v>
      </c>
      <c r="C7" s="257">
        <f>+Summary!G8</f>
        <v>-49.821971893310547</v>
      </c>
      <c r="D7" s="257">
        <f>+Summary!L8</f>
        <v>74.732955932617188</v>
      </c>
      <c r="E7" s="257">
        <f>+Summary!Q8</f>
        <v>149.24832153320312</v>
      </c>
      <c r="F7" s="322">
        <f>+Summary!V8</f>
        <v>149.24832153320312</v>
      </c>
      <c r="G7" s="338">
        <f t="shared" si="4"/>
        <v>-25.089015960693359</v>
      </c>
      <c r="H7" s="339">
        <f t="shared" si="5"/>
        <v>149.24832153320312</v>
      </c>
      <c r="I7" s="340">
        <f t="shared" si="5"/>
        <v>149.24832153320312</v>
      </c>
      <c r="K7" s="256">
        <f t="shared" si="0"/>
        <v>37138</v>
      </c>
      <c r="L7" s="385">
        <f>'NYISO A'!F15</f>
        <v>38.5</v>
      </c>
      <c r="M7" s="385">
        <f>'NYISO G'!F15</f>
        <v>45.5</v>
      </c>
      <c r="N7" s="386">
        <f>'NYISO J'!F15</f>
        <v>48.25</v>
      </c>
      <c r="O7" s="374">
        <f>'NYISO A'!H15</f>
        <v>38.5</v>
      </c>
      <c r="P7" s="374">
        <f>'NYISO G'!H15</f>
        <v>49.5</v>
      </c>
      <c r="Q7" s="377">
        <f>'NYISO J'!H15</f>
        <v>53</v>
      </c>
      <c r="R7" s="384">
        <f t="shared" ref="R7:R13" si="6">+P7-O7</f>
        <v>11</v>
      </c>
    </row>
    <row r="8" spans="1:18" x14ac:dyDescent="0.2">
      <c r="A8" s="256">
        <f>+Summary!U9</f>
        <v>37139</v>
      </c>
      <c r="B8" s="257">
        <f>+Summary!B9</f>
        <v>-50</v>
      </c>
      <c r="C8" s="257">
        <f>+Summary!G9</f>
        <v>-49.821971893310547</v>
      </c>
      <c r="D8" s="257">
        <f>+Summary!L9</f>
        <v>74.732955932617188</v>
      </c>
      <c r="E8" s="257">
        <f>+Summary!Q9</f>
        <v>149.24832153320312</v>
      </c>
      <c r="F8" s="322">
        <f>+Summary!V9</f>
        <v>149.24832153320312</v>
      </c>
      <c r="G8" s="338">
        <f t="shared" si="4"/>
        <v>-25.089015960693359</v>
      </c>
      <c r="H8" s="339">
        <f t="shared" si="5"/>
        <v>149.24832153320312</v>
      </c>
      <c r="I8" s="340">
        <f t="shared" si="5"/>
        <v>149.24832153320312</v>
      </c>
      <c r="K8" s="256">
        <f t="shared" si="0"/>
        <v>37139</v>
      </c>
      <c r="L8" s="385">
        <f>'NYISO A'!F16</f>
        <v>38.5</v>
      </c>
      <c r="M8" s="385">
        <f>'NYISO G'!F16</f>
        <v>45.5</v>
      </c>
      <c r="N8" s="386">
        <f>'NYISO J'!F16</f>
        <v>48.25</v>
      </c>
      <c r="O8" s="374">
        <f>'NYISO A'!H16</f>
        <v>41</v>
      </c>
      <c r="P8" s="374">
        <f>'NYISO G'!H16</f>
        <v>49.5</v>
      </c>
      <c r="Q8" s="377">
        <f>'NYISO J'!H16</f>
        <v>53</v>
      </c>
      <c r="R8" s="384">
        <f t="shared" si="6"/>
        <v>8.5</v>
      </c>
    </row>
    <row r="9" spans="1:18" x14ac:dyDescent="0.2">
      <c r="A9" s="256">
        <f>+Summary!U10</f>
        <v>37140</v>
      </c>
      <c r="B9" s="257">
        <f>+Summary!B10</f>
        <v>-50</v>
      </c>
      <c r="C9" s="257">
        <f>+Summary!G10</f>
        <v>-49.821971893310547</v>
      </c>
      <c r="D9" s="257">
        <f>+Summary!L10</f>
        <v>74.732955932617188</v>
      </c>
      <c r="E9" s="257">
        <f>+Summary!Q10</f>
        <v>149.24832153320312</v>
      </c>
      <c r="F9" s="322">
        <f>+Summary!V10</f>
        <v>149.24832153320312</v>
      </c>
      <c r="G9" s="338">
        <f t="shared" si="4"/>
        <v>-25.089015960693359</v>
      </c>
      <c r="H9" s="339">
        <f t="shared" si="5"/>
        <v>149.24832153320312</v>
      </c>
      <c r="I9" s="340">
        <f t="shared" si="5"/>
        <v>149.24832153320312</v>
      </c>
      <c r="K9" s="256">
        <f t="shared" si="0"/>
        <v>37140</v>
      </c>
      <c r="L9" s="385">
        <f>'NYISO A'!F17</f>
        <v>38.5</v>
      </c>
      <c r="M9" s="385">
        <f>'NYISO G'!F17</f>
        <v>45.5</v>
      </c>
      <c r="N9" s="386">
        <f>'NYISO J'!F17</f>
        <v>48.25</v>
      </c>
      <c r="O9" s="374">
        <f>'NYISO A'!H17</f>
        <v>41</v>
      </c>
      <c r="P9" s="374">
        <f>'NYISO G'!H17</f>
        <v>49.5</v>
      </c>
      <c r="Q9" s="377">
        <f>'NYISO J'!H17</f>
        <v>53</v>
      </c>
      <c r="R9" s="384">
        <f t="shared" si="6"/>
        <v>8.5</v>
      </c>
    </row>
    <row r="10" spans="1:18" ht="14.25" customHeight="1" x14ac:dyDescent="0.2">
      <c r="A10" s="256">
        <f>+Summary!U11</f>
        <v>37141</v>
      </c>
      <c r="B10" s="257">
        <f>+Summary!B11</f>
        <v>-50</v>
      </c>
      <c r="C10" s="257">
        <f>+Summary!G11</f>
        <v>-49.821971893310547</v>
      </c>
      <c r="D10" s="257">
        <f>+Summary!L11</f>
        <v>74.732955932617188</v>
      </c>
      <c r="E10" s="257">
        <f>+Summary!Q11</f>
        <v>149.24832153320312</v>
      </c>
      <c r="F10" s="322">
        <f>+Summary!V11</f>
        <v>149.24832153320312</v>
      </c>
      <c r="G10" s="338">
        <f t="shared" si="4"/>
        <v>-25.089015960693359</v>
      </c>
      <c r="H10" s="339">
        <f t="shared" si="5"/>
        <v>149.24832153320312</v>
      </c>
      <c r="I10" s="340">
        <f t="shared" si="5"/>
        <v>149.24832153320312</v>
      </c>
      <c r="K10" s="256">
        <f t="shared" si="0"/>
        <v>37141</v>
      </c>
      <c r="L10" s="385">
        <f>'NYISO A'!F18</f>
        <v>38.5</v>
      </c>
      <c r="M10" s="385">
        <f>'NYISO G'!F18</f>
        <v>45.5</v>
      </c>
      <c r="N10" s="386">
        <f>'NYISO J'!F18</f>
        <v>48.25</v>
      </c>
      <c r="O10" s="374">
        <f>'NYISO A'!H18</f>
        <v>41</v>
      </c>
      <c r="P10" s="374">
        <f>'NYISO G'!H18</f>
        <v>38</v>
      </c>
      <c r="Q10" s="377">
        <f>'NYISO J'!H18</f>
        <v>48.25</v>
      </c>
      <c r="R10" s="384">
        <f t="shared" si="6"/>
        <v>-3</v>
      </c>
    </row>
    <row r="11" spans="1:18" ht="12" customHeight="1" x14ac:dyDescent="0.2">
      <c r="A11" s="256">
        <f>+Summary!U12</f>
        <v>37142</v>
      </c>
      <c r="B11" s="257">
        <f>+Summary!B12</f>
        <v>0</v>
      </c>
      <c r="C11" s="257">
        <f>+Summary!G12</f>
        <v>0</v>
      </c>
      <c r="D11" s="257">
        <f>+Summary!L12</f>
        <v>0</v>
      </c>
      <c r="E11" s="257">
        <f>+Summary!Q12</f>
        <v>0</v>
      </c>
      <c r="F11" s="322">
        <f>+Summary!V12</f>
        <v>0</v>
      </c>
      <c r="G11" s="338">
        <f t="shared" si="4"/>
        <v>0</v>
      </c>
      <c r="H11" s="339">
        <f t="shared" si="5"/>
        <v>0</v>
      </c>
      <c r="I11" s="340">
        <f t="shared" si="5"/>
        <v>0</v>
      </c>
      <c r="K11" s="256">
        <f t="shared" si="0"/>
        <v>37142</v>
      </c>
      <c r="L11" s="385">
        <f>'NYISO A'!F19</f>
        <v>34</v>
      </c>
      <c r="M11" s="385">
        <f>'NYISO G'!F19</f>
        <v>38</v>
      </c>
      <c r="N11" s="386">
        <f>'NYISO J'!F19</f>
        <v>42</v>
      </c>
      <c r="O11" s="374">
        <f>'NYISO A'!H19</f>
        <v>34</v>
      </c>
      <c r="P11" s="374">
        <f>'NYISO G'!H19</f>
        <v>38</v>
      </c>
      <c r="Q11" s="377">
        <f>'NYISO J'!H19</f>
        <v>42</v>
      </c>
      <c r="R11" s="384">
        <f t="shared" si="6"/>
        <v>4</v>
      </c>
    </row>
    <row r="12" spans="1:18" x14ac:dyDescent="0.2">
      <c r="A12" s="256">
        <f>+Summary!U13</f>
        <v>37143</v>
      </c>
      <c r="B12" s="257">
        <f>+Summary!B13</f>
        <v>0</v>
      </c>
      <c r="C12" s="257">
        <f>+Summary!G13</f>
        <v>0</v>
      </c>
      <c r="D12" s="257">
        <f>+Summary!L13</f>
        <v>0</v>
      </c>
      <c r="E12" s="257">
        <f>+Summary!Q13</f>
        <v>0</v>
      </c>
      <c r="F12" s="322">
        <f>+Summary!V13</f>
        <v>0</v>
      </c>
      <c r="G12" s="338">
        <f t="shared" si="4"/>
        <v>0</v>
      </c>
      <c r="H12" s="339">
        <f t="shared" si="5"/>
        <v>0</v>
      </c>
      <c r="I12" s="340">
        <f t="shared" si="5"/>
        <v>0</v>
      </c>
      <c r="K12" s="256">
        <f t="shared" si="0"/>
        <v>37143</v>
      </c>
      <c r="L12" s="385">
        <f>'NYISO A'!F20</f>
        <v>34</v>
      </c>
      <c r="M12" s="385">
        <f>'NYISO G'!F20</f>
        <v>38</v>
      </c>
      <c r="N12" s="386">
        <f>'NYISO J'!F20</f>
        <v>42</v>
      </c>
      <c r="O12" s="374">
        <f>'NYISO A'!H20</f>
        <v>34</v>
      </c>
      <c r="P12" s="374">
        <f>'NYISO G'!H20</f>
        <v>38</v>
      </c>
      <c r="Q12" s="377">
        <f>'NYISO J'!H20</f>
        <v>42</v>
      </c>
      <c r="R12" s="384">
        <f t="shared" si="6"/>
        <v>4</v>
      </c>
    </row>
    <row r="13" spans="1:18" x14ac:dyDescent="0.2">
      <c r="A13" s="256">
        <f>+Summary!U14</f>
        <v>37144</v>
      </c>
      <c r="B13" s="257">
        <f>+Summary!B14</f>
        <v>-249.10986328125</v>
      </c>
      <c r="C13" s="257">
        <f>+Summary!G14</f>
        <v>1.2499999950052465E-13</v>
      </c>
      <c r="D13" s="257">
        <f>+Summary!L14</f>
        <v>74.732955932617188</v>
      </c>
      <c r="E13" s="257">
        <f>+Summary!Q14</f>
        <v>-198.99775695800781</v>
      </c>
      <c r="F13" s="322">
        <f>+Summary!V14</f>
        <v>-3.1249999875131163E-13</v>
      </c>
      <c r="G13" s="338">
        <f t="shared" si="4"/>
        <v>-174.3769073486327</v>
      </c>
      <c r="H13" s="339">
        <f t="shared" si="5"/>
        <v>-198.99775695800781</v>
      </c>
      <c r="I13" s="340">
        <f t="shared" si="5"/>
        <v>-3.1249999875131163E-13</v>
      </c>
      <c r="K13" s="256">
        <f t="shared" si="0"/>
        <v>37144</v>
      </c>
      <c r="L13" s="385">
        <f>'NYISO A'!F21</f>
        <v>34</v>
      </c>
      <c r="M13" s="385">
        <f>'NYISO G'!F21</f>
        <v>40.5</v>
      </c>
      <c r="N13" s="386">
        <f>'NYISO J'!F21</f>
        <v>45.75</v>
      </c>
      <c r="O13" s="374">
        <f>'NYISO A'!H21</f>
        <v>34.5</v>
      </c>
      <c r="P13" s="374">
        <f>'NYISO G'!H21</f>
        <v>40.5</v>
      </c>
      <c r="Q13" s="377">
        <f>'NYISO J'!H21</f>
        <v>45.75</v>
      </c>
      <c r="R13" s="384">
        <f t="shared" si="6"/>
        <v>6</v>
      </c>
    </row>
    <row r="14" spans="1:18" x14ac:dyDescent="0.2">
      <c r="A14" s="256">
        <f>+Summary!U15</f>
        <v>37145</v>
      </c>
      <c r="B14" s="257">
        <f>+Summary!B15</f>
        <v>-249.10986328125</v>
      </c>
      <c r="C14" s="257">
        <f>+Summary!G15</f>
        <v>1.2499999950052465E-13</v>
      </c>
      <c r="D14" s="257">
        <f>+Summary!L15</f>
        <v>74.732955932617188</v>
      </c>
      <c r="E14" s="257">
        <f>+Summary!Q15</f>
        <v>-198.99775695800781</v>
      </c>
      <c r="F14" s="322">
        <f>+Summary!V15</f>
        <v>-7.499999970031479E-13</v>
      </c>
      <c r="G14" s="338">
        <f t="shared" si="1"/>
        <v>-174.3769073486327</v>
      </c>
      <c r="H14" s="339">
        <f t="shared" si="2"/>
        <v>-198.99775695800781</v>
      </c>
      <c r="I14" s="340">
        <f t="shared" si="3"/>
        <v>-7.499999970031479E-13</v>
      </c>
      <c r="K14" s="256">
        <f t="shared" si="0"/>
        <v>37145</v>
      </c>
      <c r="L14" s="385">
        <f>'NYISO A'!F22</f>
        <v>34</v>
      </c>
      <c r="M14" s="385">
        <f>'NYISO G'!F22</f>
        <v>40.5</v>
      </c>
      <c r="N14" s="386">
        <f>'NYISO J'!F22</f>
        <v>45.75</v>
      </c>
      <c r="O14" s="374">
        <f>'NYISO A'!H22</f>
        <v>34.5</v>
      </c>
      <c r="P14" s="374">
        <f>'NYISO G'!H22</f>
        <v>40.5</v>
      </c>
      <c r="Q14" s="377">
        <f>'NYISO J'!H22</f>
        <v>45.75</v>
      </c>
    </row>
    <row r="15" spans="1:18" x14ac:dyDescent="0.2">
      <c r="A15" s="256">
        <f>+Summary!U16</f>
        <v>37146</v>
      </c>
      <c r="B15" s="257">
        <f>+Summary!B16</f>
        <v>-249.10986328125</v>
      </c>
      <c r="C15" s="257">
        <f>+Summary!G16</f>
        <v>1.2499999950052465E-13</v>
      </c>
      <c r="D15" s="257">
        <f>+Summary!L16</f>
        <v>74.732955932617188</v>
      </c>
      <c r="E15" s="257">
        <f>+Summary!Q16</f>
        <v>-198.99775695800781</v>
      </c>
      <c r="F15" s="322">
        <f>+Summary!V16</f>
        <v>3.1249999875131163E-13</v>
      </c>
      <c r="G15" s="338">
        <f t="shared" si="1"/>
        <v>-174.3769073486327</v>
      </c>
      <c r="H15" s="339">
        <f t="shared" si="2"/>
        <v>-198.99775695800781</v>
      </c>
      <c r="I15" s="340">
        <f t="shared" si="3"/>
        <v>3.1249999875131163E-13</v>
      </c>
      <c r="K15" s="256">
        <f t="shared" si="0"/>
        <v>37146</v>
      </c>
      <c r="L15" s="385">
        <f>'NYISO A'!F23</f>
        <v>34</v>
      </c>
      <c r="M15" s="385">
        <f>'NYISO G'!F23</f>
        <v>40.5</v>
      </c>
      <c r="N15" s="386">
        <f>'NYISO J'!F23</f>
        <v>45.75</v>
      </c>
      <c r="O15" s="374">
        <f>'NYISO A'!H23</f>
        <v>34.5</v>
      </c>
      <c r="P15" s="374">
        <f>'NYISO G'!H23</f>
        <v>40.5</v>
      </c>
      <c r="Q15" s="377">
        <f>'NYISO J'!H23</f>
        <v>45.75</v>
      </c>
    </row>
    <row r="16" spans="1:18" x14ac:dyDescent="0.2">
      <c r="A16" s="256">
        <f>+Summary!U17</f>
        <v>37147</v>
      </c>
      <c r="B16" s="257">
        <f>+Summary!B17</f>
        <v>-249.10986328125</v>
      </c>
      <c r="C16" s="257">
        <f>+Summary!G17</f>
        <v>1.2499999950052465E-13</v>
      </c>
      <c r="D16" s="257">
        <f>+Summary!L17</f>
        <v>74.732955932617188</v>
      </c>
      <c r="E16" s="257">
        <f>+Summary!Q17</f>
        <v>-198.99775695800781</v>
      </c>
      <c r="F16" s="322">
        <f>+Summary!V17</f>
        <v>-3.1249999875131163E-13</v>
      </c>
      <c r="G16" s="338">
        <f t="shared" si="1"/>
        <v>-174.3769073486327</v>
      </c>
      <c r="H16" s="339">
        <f t="shared" si="2"/>
        <v>-198.99775695800781</v>
      </c>
      <c r="I16" s="340">
        <f t="shared" si="3"/>
        <v>-3.1249999875131163E-13</v>
      </c>
      <c r="K16" s="256">
        <f t="shared" si="0"/>
        <v>37147</v>
      </c>
      <c r="L16" s="385">
        <f>'NYISO A'!F24</f>
        <v>34</v>
      </c>
      <c r="M16" s="385">
        <f>'NYISO G'!F24</f>
        <v>40.5</v>
      </c>
      <c r="N16" s="386">
        <f>'NYISO J'!F24</f>
        <v>45.75</v>
      </c>
      <c r="O16" s="374">
        <f>'NYISO A'!H24</f>
        <v>34.5</v>
      </c>
      <c r="P16" s="374">
        <f>'NYISO G'!H24</f>
        <v>40.5</v>
      </c>
      <c r="Q16" s="377">
        <f>'NYISO J'!H24</f>
        <v>45.75</v>
      </c>
    </row>
    <row r="17" spans="1:17" ht="13.5" customHeight="1" x14ac:dyDescent="0.2">
      <c r="A17" s="256">
        <f>+Summary!U18</f>
        <v>37148</v>
      </c>
      <c r="B17" s="257">
        <f>+Summary!B18</f>
        <v>-249.10986328125</v>
      </c>
      <c r="C17" s="257">
        <f>+Summary!G18</f>
        <v>1.2499999950052465E-13</v>
      </c>
      <c r="D17" s="257">
        <f>+Summary!L18</f>
        <v>74.732955932617188</v>
      </c>
      <c r="E17" s="257">
        <f>+Summary!Q18</f>
        <v>-198.99775695800781</v>
      </c>
      <c r="F17" s="322">
        <f>+Summary!V18</f>
        <v>-3.1249999875131163E-13</v>
      </c>
      <c r="G17" s="338">
        <f t="shared" si="1"/>
        <v>-174.3769073486327</v>
      </c>
      <c r="H17" s="339">
        <f t="shared" si="2"/>
        <v>-198.99775695800781</v>
      </c>
      <c r="I17" s="340">
        <f t="shared" si="3"/>
        <v>-3.1249999875131163E-13</v>
      </c>
      <c r="K17" s="256">
        <f t="shared" si="0"/>
        <v>37148</v>
      </c>
      <c r="L17" s="385">
        <f>'NYISO A'!F25</f>
        <v>34</v>
      </c>
      <c r="M17" s="385">
        <f>'NYISO G'!F25</f>
        <v>40.5</v>
      </c>
      <c r="N17" s="386">
        <f>'NYISO J'!F25</f>
        <v>45.75</v>
      </c>
      <c r="O17" s="374">
        <f>'NYISO A'!H25</f>
        <v>34.5</v>
      </c>
      <c r="P17" s="374">
        <f>'NYISO G'!H25</f>
        <v>40.5</v>
      </c>
      <c r="Q17" s="377">
        <f>'NYISO J'!H25</f>
        <v>45.75</v>
      </c>
    </row>
    <row r="18" spans="1:17" ht="10.5" customHeight="1" x14ac:dyDescent="0.2">
      <c r="A18" s="256">
        <f>+Summary!U19</f>
        <v>37149</v>
      </c>
      <c r="B18" s="257">
        <f>+Summary!B19</f>
        <v>0</v>
      </c>
      <c r="C18" s="257">
        <f>+Summary!G19</f>
        <v>0</v>
      </c>
      <c r="D18" s="257">
        <f>+Summary!L19</f>
        <v>0</v>
      </c>
      <c r="E18" s="257">
        <f>+Summary!Q19</f>
        <v>0</v>
      </c>
      <c r="F18" s="322">
        <f>+Summary!V19</f>
        <v>0</v>
      </c>
      <c r="G18" s="338">
        <f t="shared" si="1"/>
        <v>0</v>
      </c>
      <c r="H18" s="339">
        <f t="shared" si="2"/>
        <v>0</v>
      </c>
      <c r="I18" s="340">
        <f t="shared" si="3"/>
        <v>0</v>
      </c>
      <c r="K18" s="256">
        <f t="shared" si="0"/>
        <v>37149</v>
      </c>
      <c r="L18" s="385">
        <f>'NYISO A'!F26</f>
        <v>33</v>
      </c>
      <c r="M18" s="385">
        <f>'NYISO G'!F26</f>
        <v>38</v>
      </c>
      <c r="N18" s="386">
        <f>'NYISO J'!F26</f>
        <v>42</v>
      </c>
      <c r="O18" s="374">
        <f>'NYISO A'!H26</f>
        <v>33</v>
      </c>
      <c r="P18" s="374">
        <f>'NYISO G'!H26</f>
        <v>38</v>
      </c>
      <c r="Q18" s="377">
        <f>'NYISO J'!H26</f>
        <v>42</v>
      </c>
    </row>
    <row r="19" spans="1:17" x14ac:dyDescent="0.2">
      <c r="A19" s="256">
        <f>+Summary!U20</f>
        <v>37150</v>
      </c>
      <c r="B19" s="257">
        <f>+Summary!B20</f>
        <v>0</v>
      </c>
      <c r="C19" s="257">
        <f>+Summary!G20</f>
        <v>0</v>
      </c>
      <c r="D19" s="257">
        <f>+Summary!L20</f>
        <v>0</v>
      </c>
      <c r="E19" s="257">
        <f>+Summary!Q20</f>
        <v>0</v>
      </c>
      <c r="F19" s="322">
        <f>+Summary!V20</f>
        <v>0</v>
      </c>
      <c r="G19" s="338">
        <f t="shared" si="1"/>
        <v>0</v>
      </c>
      <c r="H19" s="339">
        <f t="shared" si="2"/>
        <v>0</v>
      </c>
      <c r="I19" s="340">
        <f t="shared" si="3"/>
        <v>0</v>
      </c>
      <c r="K19" s="256">
        <f t="shared" si="0"/>
        <v>37150</v>
      </c>
      <c r="L19" s="385">
        <f>'NYISO A'!F27</f>
        <v>33</v>
      </c>
      <c r="M19" s="385">
        <f>'NYISO G'!F27</f>
        <v>38</v>
      </c>
      <c r="N19" s="386">
        <f>'NYISO J'!F27</f>
        <v>42</v>
      </c>
      <c r="O19" s="374">
        <f>'NYISO A'!H27</f>
        <v>33</v>
      </c>
      <c r="P19" s="374">
        <f>'NYISO G'!H27</f>
        <v>38</v>
      </c>
      <c r="Q19" s="377">
        <f>'NYISO J'!H27</f>
        <v>42</v>
      </c>
    </row>
    <row r="20" spans="1:17" x14ac:dyDescent="0.2">
      <c r="A20" s="256">
        <f>+Summary!U21</f>
        <v>37151</v>
      </c>
      <c r="B20" s="257">
        <f>+Summary!B21</f>
        <v>-249.10986328125</v>
      </c>
      <c r="C20" s="257">
        <f>+Summary!G21</f>
        <v>1.2499999950052465E-13</v>
      </c>
      <c r="D20" s="257">
        <f>+Summary!L21</f>
        <v>74.732955932617188</v>
      </c>
      <c r="E20" s="257">
        <f>+Summary!Q21</f>
        <v>-198.99775695800781</v>
      </c>
      <c r="F20" s="322">
        <f>+Summary!V21</f>
        <v>-3.1249999875131163E-13</v>
      </c>
      <c r="G20" s="338">
        <f t="shared" si="1"/>
        <v>-174.3769073486327</v>
      </c>
      <c r="H20" s="339">
        <f t="shared" si="2"/>
        <v>-198.99775695800781</v>
      </c>
      <c r="I20" s="340">
        <f t="shared" si="3"/>
        <v>-3.1249999875131163E-13</v>
      </c>
      <c r="K20" s="256">
        <f t="shared" si="0"/>
        <v>37151</v>
      </c>
      <c r="L20" s="385">
        <f>'NYISO A'!F28</f>
        <v>34</v>
      </c>
      <c r="M20" s="385">
        <f>'NYISO G'!F28</f>
        <v>40.5</v>
      </c>
      <c r="N20" s="386">
        <f>'NYISO J'!F28</f>
        <v>45.75</v>
      </c>
      <c r="O20" s="374">
        <f>'NYISO A'!H28</f>
        <v>34.5</v>
      </c>
      <c r="P20" s="374">
        <f>'NYISO G'!H28</f>
        <v>40.5</v>
      </c>
      <c r="Q20" s="377">
        <f>'NYISO J'!H28</f>
        <v>45.75</v>
      </c>
    </row>
    <row r="21" spans="1:17" x14ac:dyDescent="0.2">
      <c r="A21" s="256">
        <f>+Summary!U22</f>
        <v>37152</v>
      </c>
      <c r="B21" s="257">
        <f>+Summary!B22</f>
        <v>-249.10986328125</v>
      </c>
      <c r="C21" s="257">
        <f>+Summary!G22</f>
        <v>0</v>
      </c>
      <c r="D21" s="257">
        <f>+Summary!L22</f>
        <v>74.732955932617188</v>
      </c>
      <c r="E21" s="257">
        <f>+Summary!Q22</f>
        <v>-198.99775695800781</v>
      </c>
      <c r="F21" s="322">
        <f>+Summary!V22</f>
        <v>-3.1249999875131163E-13</v>
      </c>
      <c r="G21" s="338">
        <f t="shared" si="1"/>
        <v>-174.37690734863281</v>
      </c>
      <c r="H21" s="339">
        <f t="shared" si="2"/>
        <v>-198.99775695800781</v>
      </c>
      <c r="I21" s="340">
        <f t="shared" si="3"/>
        <v>-3.1249999875131163E-13</v>
      </c>
      <c r="K21" s="256">
        <f t="shared" si="0"/>
        <v>37152</v>
      </c>
      <c r="L21" s="385">
        <f>'NYISO A'!F29</f>
        <v>34</v>
      </c>
      <c r="M21" s="385">
        <f>'NYISO G'!F29</f>
        <v>40.5</v>
      </c>
      <c r="N21" s="386">
        <f>'NYISO J'!F29</f>
        <v>45.75</v>
      </c>
      <c r="O21" s="374">
        <f>'NYISO A'!H29</f>
        <v>34.5</v>
      </c>
      <c r="P21" s="374">
        <f>'NYISO G'!H29</f>
        <v>40.5</v>
      </c>
      <c r="Q21" s="377">
        <f>'NYISO J'!H29</f>
        <v>45.75</v>
      </c>
    </row>
    <row r="22" spans="1:17" x14ac:dyDescent="0.2">
      <c r="A22" s="256">
        <f>+Summary!U23</f>
        <v>37153</v>
      </c>
      <c r="B22" s="257">
        <f>+Summary!B23</f>
        <v>-249.10986328125</v>
      </c>
      <c r="C22" s="257">
        <f>+Summary!G23</f>
        <v>2.499999990010493E-13</v>
      </c>
      <c r="D22" s="257">
        <f>+Summary!L23</f>
        <v>74.732955932617188</v>
      </c>
      <c r="E22" s="257">
        <f>+Summary!Q23</f>
        <v>-198.99775695800781</v>
      </c>
      <c r="F22" s="322">
        <f>+Summary!V23</f>
        <v>-7.499999970031479E-13</v>
      </c>
      <c r="G22" s="338">
        <f t="shared" si="1"/>
        <v>-174.37690734863256</v>
      </c>
      <c r="H22" s="339">
        <f t="shared" si="2"/>
        <v>-198.99775695800781</v>
      </c>
      <c r="I22" s="340">
        <f t="shared" si="3"/>
        <v>-7.499999970031479E-13</v>
      </c>
      <c r="K22" s="256">
        <f t="shared" si="0"/>
        <v>37153</v>
      </c>
      <c r="L22" s="385">
        <f>'NYISO A'!F30</f>
        <v>34</v>
      </c>
      <c r="M22" s="385">
        <f>'NYISO G'!F30</f>
        <v>40.5</v>
      </c>
      <c r="N22" s="386">
        <f>'NYISO J'!F30</f>
        <v>45.75</v>
      </c>
      <c r="O22" s="374">
        <f>'NYISO A'!H30</f>
        <v>34.5</v>
      </c>
      <c r="P22" s="374">
        <f>'NYISO G'!H30</f>
        <v>40.5</v>
      </c>
      <c r="Q22" s="377">
        <f>'NYISO J'!H30</f>
        <v>45.75</v>
      </c>
    </row>
    <row r="23" spans="1:17" ht="12" customHeight="1" x14ac:dyDescent="0.2">
      <c r="A23" s="256">
        <f>+Summary!U24</f>
        <v>37154</v>
      </c>
      <c r="B23" s="257">
        <f>+Summary!B24</f>
        <v>-249.10986328125</v>
      </c>
      <c r="C23" s="257">
        <f>+Summary!G24</f>
        <v>2.499999990010493E-13</v>
      </c>
      <c r="D23" s="257">
        <f>+Summary!L24</f>
        <v>74.732955932617188</v>
      </c>
      <c r="E23" s="257">
        <f>+Summary!Q24</f>
        <v>-198.99775695800781</v>
      </c>
      <c r="F23" s="322">
        <f>+Summary!V24</f>
        <v>-7.499999970031479E-13</v>
      </c>
      <c r="G23" s="338">
        <f t="shared" si="1"/>
        <v>-174.37690734863256</v>
      </c>
      <c r="H23" s="339">
        <f t="shared" si="2"/>
        <v>-198.99775695800781</v>
      </c>
      <c r="I23" s="340">
        <f t="shared" si="3"/>
        <v>-7.499999970031479E-13</v>
      </c>
      <c r="K23" s="256">
        <f t="shared" si="0"/>
        <v>37154</v>
      </c>
      <c r="L23" s="385">
        <f>'NYISO A'!F31</f>
        <v>34</v>
      </c>
      <c r="M23" s="385">
        <f>'NYISO G'!F31</f>
        <v>40.5</v>
      </c>
      <c r="N23" s="386">
        <f>'NYISO J'!F31</f>
        <v>45.75</v>
      </c>
      <c r="O23" s="374">
        <f>'NYISO A'!H31</f>
        <v>34.5</v>
      </c>
      <c r="P23" s="374">
        <f>'NYISO G'!H31</f>
        <v>40.5</v>
      </c>
      <c r="Q23" s="377">
        <f>'NYISO J'!H31</f>
        <v>45.75</v>
      </c>
    </row>
    <row r="24" spans="1:17" x14ac:dyDescent="0.2">
      <c r="A24" s="256">
        <f>+Summary!U25</f>
        <v>37155</v>
      </c>
      <c r="B24" s="257">
        <f>+Summary!B25</f>
        <v>-249.10986328125</v>
      </c>
      <c r="C24" s="257">
        <f>+Summary!G25</f>
        <v>2.499999990010493E-13</v>
      </c>
      <c r="D24" s="257">
        <f>+Summary!L25</f>
        <v>74.732955932617188</v>
      </c>
      <c r="E24" s="257">
        <f>+Summary!Q25</f>
        <v>-198.99775695800781</v>
      </c>
      <c r="F24" s="322">
        <f>+Summary!V25</f>
        <v>-1.2499999950052465E-13</v>
      </c>
      <c r="G24" s="338">
        <f t="shared" si="1"/>
        <v>-174.37690734863256</v>
      </c>
      <c r="H24" s="339">
        <f t="shared" si="2"/>
        <v>-198.99775695800781</v>
      </c>
      <c r="I24" s="340">
        <f t="shared" si="3"/>
        <v>-1.2499999950052465E-13</v>
      </c>
      <c r="K24" s="256">
        <f t="shared" si="0"/>
        <v>37155</v>
      </c>
      <c r="L24" s="385">
        <f>'NYISO A'!F32</f>
        <v>34</v>
      </c>
      <c r="M24" s="385">
        <f>'NYISO G'!F32</f>
        <v>40.5</v>
      </c>
      <c r="N24" s="386">
        <f>'NYISO J'!F32</f>
        <v>45.75</v>
      </c>
      <c r="O24" s="374">
        <f>'NYISO A'!H32</f>
        <v>34.5</v>
      </c>
      <c r="P24" s="374">
        <f>'NYISO G'!H32</f>
        <v>40.5</v>
      </c>
      <c r="Q24" s="377">
        <f>'NYISO J'!H32</f>
        <v>45.75</v>
      </c>
    </row>
    <row r="25" spans="1:17" x14ac:dyDescent="0.2">
      <c r="A25" s="256">
        <f>+Summary!U26</f>
        <v>37156</v>
      </c>
      <c r="B25" s="257">
        <f>+Summary!B26</f>
        <v>0</v>
      </c>
      <c r="C25" s="257">
        <f>+Summary!G26</f>
        <v>0</v>
      </c>
      <c r="D25" s="257">
        <f>+Summary!L26</f>
        <v>0</v>
      </c>
      <c r="E25" s="257">
        <f>+Summary!Q26</f>
        <v>0</v>
      </c>
      <c r="F25" s="322">
        <f>+Summary!V26</f>
        <v>0</v>
      </c>
      <c r="G25" s="338">
        <f t="shared" si="1"/>
        <v>0</v>
      </c>
      <c r="H25" s="339">
        <f t="shared" si="2"/>
        <v>0</v>
      </c>
      <c r="I25" s="340">
        <f t="shared" si="3"/>
        <v>0</v>
      </c>
      <c r="K25" s="256">
        <f t="shared" si="0"/>
        <v>37156</v>
      </c>
      <c r="L25" s="385">
        <f>'NYISO A'!F33</f>
        <v>33</v>
      </c>
      <c r="M25" s="385">
        <f>'NYISO G'!F33</f>
        <v>38</v>
      </c>
      <c r="N25" s="386">
        <f>'NYISO J'!F33</f>
        <v>42</v>
      </c>
      <c r="O25" s="374">
        <f>'NYISO A'!H33</f>
        <v>33</v>
      </c>
      <c r="P25" s="374">
        <f>'NYISO G'!H33</f>
        <v>38</v>
      </c>
      <c r="Q25" s="377">
        <f>'NYISO J'!H33</f>
        <v>42</v>
      </c>
    </row>
    <row r="26" spans="1:17" x14ac:dyDescent="0.2">
      <c r="A26" s="256">
        <f>+Summary!U27</f>
        <v>37157</v>
      </c>
      <c r="B26" s="257">
        <f>+Summary!B27</f>
        <v>0</v>
      </c>
      <c r="C26" s="257">
        <f>+Summary!G27</f>
        <v>0</v>
      </c>
      <c r="D26" s="257">
        <f>+Summary!L27</f>
        <v>0</v>
      </c>
      <c r="E26" s="257">
        <f>+Summary!Q27</f>
        <v>0</v>
      </c>
      <c r="F26" s="322">
        <f>+Summary!V27</f>
        <v>0</v>
      </c>
      <c r="G26" s="338">
        <f t="shared" si="1"/>
        <v>0</v>
      </c>
      <c r="H26" s="339">
        <f t="shared" si="2"/>
        <v>0</v>
      </c>
      <c r="I26" s="340">
        <f t="shared" si="3"/>
        <v>0</v>
      </c>
      <c r="K26" s="256">
        <f t="shared" si="0"/>
        <v>37157</v>
      </c>
      <c r="L26" s="385">
        <f>'NYISO A'!F34</f>
        <v>33</v>
      </c>
      <c r="M26" s="385">
        <f>'NYISO G'!F34</f>
        <v>38</v>
      </c>
      <c r="N26" s="386">
        <f>'NYISO J'!F34</f>
        <v>42</v>
      </c>
      <c r="O26" s="374">
        <f>'NYISO A'!H34</f>
        <v>33</v>
      </c>
      <c r="P26" s="374">
        <f>'NYISO G'!H34</f>
        <v>38</v>
      </c>
      <c r="Q26" s="377">
        <f>'NYISO J'!H34</f>
        <v>42</v>
      </c>
    </row>
    <row r="27" spans="1:17" x14ac:dyDescent="0.2">
      <c r="A27" s="256">
        <f>+Summary!U28</f>
        <v>37158</v>
      </c>
      <c r="B27" s="257">
        <f>+Summary!B28</f>
        <v>-249.10986328125</v>
      </c>
      <c r="C27" s="257">
        <f>+Summary!G28</f>
        <v>2.499999990010493E-13</v>
      </c>
      <c r="D27" s="257">
        <f>+Summary!L28</f>
        <v>74.732955932617188</v>
      </c>
      <c r="E27" s="257">
        <f>+Summary!Q28</f>
        <v>-198.99775695800781</v>
      </c>
      <c r="F27" s="322">
        <f>+Summary!V28</f>
        <v>-1.2499999950052465E-13</v>
      </c>
      <c r="G27" s="338">
        <f t="shared" si="1"/>
        <v>-174.37690734863256</v>
      </c>
      <c r="H27" s="339">
        <f t="shared" si="2"/>
        <v>-198.99775695800781</v>
      </c>
      <c r="I27" s="340">
        <f t="shared" si="3"/>
        <v>-1.2499999950052465E-13</v>
      </c>
      <c r="K27" s="256">
        <f t="shared" si="0"/>
        <v>37158</v>
      </c>
      <c r="L27" s="385">
        <f>'NYISO A'!F35</f>
        <v>34</v>
      </c>
      <c r="M27" s="385">
        <f>'NYISO G'!F35</f>
        <v>40.5</v>
      </c>
      <c r="N27" s="386">
        <f>'NYISO J'!F35</f>
        <v>45.75</v>
      </c>
      <c r="O27" s="374">
        <f>'NYISO A'!H35</f>
        <v>34.5</v>
      </c>
      <c r="P27" s="374">
        <f>'NYISO G'!H35</f>
        <v>40.5</v>
      </c>
      <c r="Q27" s="377">
        <f>'NYISO J'!H35</f>
        <v>45.75</v>
      </c>
    </row>
    <row r="28" spans="1:17" x14ac:dyDescent="0.2">
      <c r="A28" s="256">
        <f>+Summary!U29</f>
        <v>37159</v>
      </c>
      <c r="B28" s="257">
        <f>+Summary!B29</f>
        <v>-249.10986328125</v>
      </c>
      <c r="C28" s="257">
        <f>+Summary!G29</f>
        <v>2.499999990010493E-13</v>
      </c>
      <c r="D28" s="257">
        <f>+Summary!L29</f>
        <v>74.732955932617188</v>
      </c>
      <c r="E28" s="257">
        <f>+Summary!Q29</f>
        <v>-198.99775695800781</v>
      </c>
      <c r="F28" s="322">
        <f>+Summary!V29</f>
        <v>-1.2499999950052465E-13</v>
      </c>
      <c r="G28" s="338">
        <f t="shared" si="1"/>
        <v>-174.37690734863256</v>
      </c>
      <c r="H28" s="339">
        <f t="shared" si="2"/>
        <v>-198.99775695800781</v>
      </c>
      <c r="I28" s="340">
        <f t="shared" si="3"/>
        <v>-1.2499999950052465E-13</v>
      </c>
      <c r="K28" s="256">
        <f t="shared" si="0"/>
        <v>37159</v>
      </c>
      <c r="L28" s="385">
        <f>'NYISO A'!F36</f>
        <v>34</v>
      </c>
      <c r="M28" s="385">
        <f>'NYISO G'!F36</f>
        <v>40.5</v>
      </c>
      <c r="N28" s="386">
        <f>'NYISO J'!F36</f>
        <v>45.75</v>
      </c>
      <c r="O28" s="374">
        <f>'NYISO A'!H36</f>
        <v>34.5</v>
      </c>
      <c r="P28" s="374">
        <f>'NYISO G'!H36</f>
        <v>40.5</v>
      </c>
      <c r="Q28" s="377">
        <f>'NYISO J'!H36</f>
        <v>45.75</v>
      </c>
    </row>
    <row r="29" spans="1:17" x14ac:dyDescent="0.2">
      <c r="A29" s="256">
        <f>+Summary!U30</f>
        <v>37160</v>
      </c>
      <c r="B29" s="257">
        <f>+Summary!B30</f>
        <v>-249.10986328125</v>
      </c>
      <c r="C29" s="257">
        <f>+Summary!G30</f>
        <v>2.499999990010493E-13</v>
      </c>
      <c r="D29" s="257">
        <f>+Summary!L30</f>
        <v>74.732955932617188</v>
      </c>
      <c r="E29" s="257">
        <f>+Summary!Q30</f>
        <v>-198.99775695800781</v>
      </c>
      <c r="F29" s="322">
        <f>+Summary!V30</f>
        <v>-1.2499999950052465E-13</v>
      </c>
      <c r="G29" s="338">
        <f t="shared" si="1"/>
        <v>-174.37690734863256</v>
      </c>
      <c r="H29" s="339">
        <f t="shared" si="2"/>
        <v>-198.99775695800781</v>
      </c>
      <c r="I29" s="340">
        <f t="shared" si="3"/>
        <v>-1.2499999950052465E-13</v>
      </c>
      <c r="K29" s="256">
        <f t="shared" si="0"/>
        <v>37160</v>
      </c>
      <c r="L29" s="385">
        <f>'NYISO A'!F37</f>
        <v>34</v>
      </c>
      <c r="M29" s="385">
        <f>'NYISO G'!F37</f>
        <v>40.5</v>
      </c>
      <c r="N29" s="386">
        <f>'NYISO J'!F37</f>
        <v>45.75</v>
      </c>
      <c r="O29" s="374">
        <f>'NYISO A'!H37</f>
        <v>34.5</v>
      </c>
      <c r="P29" s="374">
        <f>'NYISO G'!H37</f>
        <v>40.5</v>
      </c>
      <c r="Q29" s="377">
        <f>'NYISO J'!H37</f>
        <v>45.75</v>
      </c>
    </row>
    <row r="30" spans="1:17" x14ac:dyDescent="0.2">
      <c r="A30" s="256">
        <f>+Summary!U31</f>
        <v>37161</v>
      </c>
      <c r="B30" s="257">
        <f>+Summary!B31</f>
        <v>-249.10986328125</v>
      </c>
      <c r="C30" s="257">
        <f>+Summary!G31</f>
        <v>2.499999990010493E-13</v>
      </c>
      <c r="D30" s="257">
        <f>+Summary!L31</f>
        <v>74.732955932617188</v>
      </c>
      <c r="E30" s="257">
        <f>+Summary!Q31</f>
        <v>-198.99775695800781</v>
      </c>
      <c r="F30" s="322">
        <f>+Summary!V31</f>
        <v>-1.2499999950052465E-13</v>
      </c>
      <c r="G30" s="338">
        <f t="shared" si="1"/>
        <v>-174.37690734863256</v>
      </c>
      <c r="H30" s="339">
        <f t="shared" si="2"/>
        <v>-198.99775695800781</v>
      </c>
      <c r="I30" s="340">
        <f t="shared" si="3"/>
        <v>-1.2499999950052465E-13</v>
      </c>
      <c r="K30" s="256">
        <f t="shared" si="0"/>
        <v>37161</v>
      </c>
      <c r="L30" s="385">
        <f>'NYISO A'!F38</f>
        <v>34</v>
      </c>
      <c r="M30" s="385">
        <f>'NYISO G'!F38</f>
        <v>40.5</v>
      </c>
      <c r="N30" s="386">
        <f>'NYISO J'!F38</f>
        <v>45.75</v>
      </c>
      <c r="O30" s="374">
        <f>'NYISO A'!H38</f>
        <v>34.5</v>
      </c>
      <c r="P30" s="374">
        <f>'NYISO G'!H38</f>
        <v>40.5</v>
      </c>
      <c r="Q30" s="377">
        <f>'NYISO J'!H38</f>
        <v>45.75</v>
      </c>
    </row>
    <row r="31" spans="1:17" x14ac:dyDescent="0.2">
      <c r="A31" s="256">
        <f>+Summary!U32</f>
        <v>37162</v>
      </c>
      <c r="B31" s="257">
        <f>+Summary!B32</f>
        <v>-249.10986328125</v>
      </c>
      <c r="C31" s="257">
        <f>+Summary!G32</f>
        <v>2.499999990010493E-13</v>
      </c>
      <c r="D31" s="257">
        <f>+Summary!L32</f>
        <v>74.732955932617188</v>
      </c>
      <c r="E31" s="257">
        <f>+Summary!Q32</f>
        <v>-198.99775695800781</v>
      </c>
      <c r="F31" s="322">
        <f>+Summary!V32</f>
        <v>-1.2499999950052465E-13</v>
      </c>
      <c r="G31" s="338">
        <f t="shared" si="1"/>
        <v>-174.37690734863256</v>
      </c>
      <c r="H31" s="339">
        <f t="shared" si="2"/>
        <v>-198.99775695800781</v>
      </c>
      <c r="I31" s="340">
        <f t="shared" si="3"/>
        <v>-1.2499999950052465E-13</v>
      </c>
      <c r="K31" s="256">
        <f t="shared" si="0"/>
        <v>37162</v>
      </c>
      <c r="L31" s="385">
        <f>'NYISO A'!F39</f>
        <v>34</v>
      </c>
      <c r="M31" s="385">
        <f>'NYISO G'!F39</f>
        <v>40.5</v>
      </c>
      <c r="N31" s="386">
        <f>'NYISO J'!F39</f>
        <v>45.75</v>
      </c>
      <c r="O31" s="374">
        <f>'NYISO A'!H39</f>
        <v>34.5</v>
      </c>
      <c r="P31" s="374">
        <f>'NYISO G'!H39</f>
        <v>40.5</v>
      </c>
      <c r="Q31" s="377">
        <f>'NYISO J'!H39</f>
        <v>45.75</v>
      </c>
    </row>
    <row r="32" spans="1:17" x14ac:dyDescent="0.2">
      <c r="A32" s="256">
        <f>+Summary!U33</f>
        <v>37163</v>
      </c>
      <c r="B32" s="257">
        <f>+Summary!B33</f>
        <v>0</v>
      </c>
      <c r="C32" s="257">
        <f>+Summary!G33</f>
        <v>0</v>
      </c>
      <c r="D32" s="257">
        <f>+Summary!L33</f>
        <v>0</v>
      </c>
      <c r="E32" s="257">
        <f>+Summary!Q33</f>
        <v>0</v>
      </c>
      <c r="F32" s="322">
        <f>+Summary!V33</f>
        <v>0</v>
      </c>
      <c r="G32" s="338">
        <f t="shared" si="1"/>
        <v>0</v>
      </c>
      <c r="H32" s="339">
        <f t="shared" si="2"/>
        <v>0</v>
      </c>
      <c r="I32" s="340">
        <f t="shared" si="3"/>
        <v>0</v>
      </c>
      <c r="K32" s="256">
        <f t="shared" si="0"/>
        <v>37163</v>
      </c>
      <c r="L32" s="385">
        <f>'NYISO A'!F40</f>
        <v>33</v>
      </c>
      <c r="M32" s="385">
        <f>'NYISO G'!F40</f>
        <v>38</v>
      </c>
      <c r="N32" s="386">
        <f>'NYISO J'!F40</f>
        <v>47</v>
      </c>
      <c r="O32" s="374">
        <f>'NYISO A'!H40</f>
        <v>33</v>
      </c>
      <c r="P32" s="374">
        <f>'NYISO G'!H40</f>
        <v>38</v>
      </c>
      <c r="Q32" s="377">
        <f>'NYISO J'!H40</f>
        <v>47</v>
      </c>
    </row>
    <row r="33" spans="1:17" x14ac:dyDescent="0.2">
      <c r="A33" s="256">
        <f>+Summary!U34</f>
        <v>37164</v>
      </c>
      <c r="B33" s="257">
        <f>+Summary!B34</f>
        <v>0</v>
      </c>
      <c r="C33" s="257">
        <f>+Summary!G34</f>
        <v>0</v>
      </c>
      <c r="D33" s="257">
        <f>+Summary!L34</f>
        <v>0</v>
      </c>
      <c r="E33" s="257">
        <f>+Summary!Q34</f>
        <v>0</v>
      </c>
      <c r="F33" s="322">
        <f>+Summary!V34</f>
        <v>0</v>
      </c>
      <c r="G33" s="338">
        <f t="shared" si="1"/>
        <v>0</v>
      </c>
      <c r="H33" s="339">
        <f t="shared" si="2"/>
        <v>0</v>
      </c>
      <c r="I33" s="340">
        <f t="shared" si="3"/>
        <v>0</v>
      </c>
      <c r="K33" s="256">
        <f t="shared" si="0"/>
        <v>37164</v>
      </c>
      <c r="L33" s="385">
        <f>'NYISO A'!F41</f>
        <v>33</v>
      </c>
      <c r="M33" s="385">
        <f>'NYISO G'!F41</f>
        <v>38</v>
      </c>
      <c r="N33" s="386">
        <f>'NYISO J'!F41</f>
        <v>47</v>
      </c>
      <c r="O33" s="374">
        <f>'NYISO A'!H41</f>
        <v>33</v>
      </c>
      <c r="P33" s="374">
        <f>'NYISO G'!H41</f>
        <v>38</v>
      </c>
      <c r="Q33" s="377">
        <f>'NYISO J'!H41</f>
        <v>47</v>
      </c>
    </row>
    <row r="34" spans="1:17" x14ac:dyDescent="0.2">
      <c r="A34" s="256">
        <f>+Summary!U35</f>
        <v>37165</v>
      </c>
      <c r="B34" s="257">
        <f>+Summary!B35</f>
        <v>-4569.0625</v>
      </c>
      <c r="C34" s="257">
        <f>+Summary!G35</f>
        <v>-1142.265625</v>
      </c>
      <c r="D34" s="257">
        <f>+Summary!L35</f>
        <v>1142.265625</v>
      </c>
      <c r="E34" s="257">
        <f>+Summary!Q35</f>
        <v>0</v>
      </c>
      <c r="F34" s="322">
        <f>+Summary!V35</f>
        <v>-1140.8641357421875</v>
      </c>
      <c r="G34" s="338">
        <f t="shared" si="1"/>
        <v>-4569.0625</v>
      </c>
      <c r="H34" s="339">
        <f t="shared" si="2"/>
        <v>0</v>
      </c>
      <c r="I34" s="340">
        <f t="shared" si="3"/>
        <v>-1140.8641357421875</v>
      </c>
      <c r="K34" s="256">
        <f t="shared" si="0"/>
        <v>37165</v>
      </c>
      <c r="L34" s="385">
        <f>'NYISO A'!F42</f>
        <v>34.25</v>
      </c>
      <c r="M34" s="385">
        <f>'NYISO G'!F42</f>
        <v>41</v>
      </c>
      <c r="N34" s="386">
        <f>'NYISO J'!F42</f>
        <v>45.75</v>
      </c>
      <c r="O34" s="374">
        <f>'NYISO A'!H42</f>
        <v>35</v>
      </c>
      <c r="P34" s="374">
        <f>'NYISO G'!H42</f>
        <v>41.5</v>
      </c>
      <c r="Q34" s="377">
        <f>'NYISO J'!H42</f>
        <v>46.5</v>
      </c>
    </row>
    <row r="35" spans="1:17" ht="13.5" thickBot="1" x14ac:dyDescent="0.25">
      <c r="A35" s="260">
        <f>+Summary!U36</f>
        <v>37195</v>
      </c>
      <c r="B35" s="261">
        <f>+Summary!B36</f>
        <v>0</v>
      </c>
      <c r="C35" s="261">
        <f>+Summary!G36</f>
        <v>0</v>
      </c>
      <c r="D35" s="261">
        <f>+Summary!L36</f>
        <v>0</v>
      </c>
      <c r="E35" s="261">
        <f>+Summary!Q36</f>
        <v>0</v>
      </c>
      <c r="F35" s="323">
        <f>+Summary!V36</f>
        <v>0</v>
      </c>
      <c r="G35" s="341">
        <f t="shared" si="1"/>
        <v>0</v>
      </c>
      <c r="H35" s="342">
        <f t="shared" si="2"/>
        <v>0</v>
      </c>
      <c r="I35" s="343">
        <f t="shared" si="3"/>
        <v>0</v>
      </c>
      <c r="K35" s="260">
        <f t="shared" si="0"/>
        <v>37195</v>
      </c>
      <c r="L35" s="394">
        <f>'NYISO A'!F43</f>
        <v>34.25</v>
      </c>
      <c r="M35" s="394">
        <f>'NYISO G'!F43</f>
        <v>41</v>
      </c>
      <c r="N35" s="395">
        <f>'NYISO J'!F43</f>
        <v>45.75</v>
      </c>
      <c r="O35" s="396">
        <f>'NYISO A'!H43</f>
        <v>35</v>
      </c>
      <c r="P35" s="396">
        <f>'NYISO G'!H43</f>
        <v>38</v>
      </c>
      <c r="Q35" s="397">
        <f>'NYISO J'!H43</f>
        <v>47</v>
      </c>
    </row>
    <row r="36" spans="1:17" ht="13.5" thickBot="1" x14ac:dyDescent="0.25">
      <c r="A36" s="321"/>
      <c r="B36" s="183"/>
      <c r="C36" s="183"/>
      <c r="D36" s="183"/>
      <c r="E36" s="183"/>
      <c r="F36" s="183"/>
      <c r="H36" s="328"/>
      <c r="I36" s="328"/>
      <c r="K36" s="256"/>
      <c r="L36" s="375"/>
      <c r="M36" s="375"/>
      <c r="N36" s="376"/>
      <c r="O36" s="375"/>
      <c r="P36" s="375"/>
      <c r="Q36" s="376"/>
    </row>
    <row r="37" spans="1:17" x14ac:dyDescent="0.2">
      <c r="A37" s="326" t="s">
        <v>76</v>
      </c>
      <c r="B37" s="324" t="s">
        <v>55</v>
      </c>
      <c r="C37" s="324" t="s">
        <v>58</v>
      </c>
      <c r="D37" s="324" t="s">
        <v>59</v>
      </c>
      <c r="E37" s="324" t="s">
        <v>78</v>
      </c>
      <c r="F37" s="325" t="s">
        <v>79</v>
      </c>
      <c r="G37" s="329"/>
      <c r="H37" s="344" t="str">
        <f t="shared" si="2"/>
        <v>Nepool</v>
      </c>
      <c r="I37" s="345" t="str">
        <f t="shared" si="3"/>
        <v>PJM</v>
      </c>
      <c r="K37" s="256" t="str">
        <f t="shared" ref="K37:K51" si="7">A37</f>
        <v>Term</v>
      </c>
      <c r="L37" s="257"/>
      <c r="M37" s="257"/>
      <c r="N37" s="322"/>
      <c r="O37" s="257"/>
      <c r="P37" s="257"/>
      <c r="Q37" s="322"/>
    </row>
    <row r="38" spans="1:17" x14ac:dyDescent="0.2">
      <c r="A38" s="327"/>
      <c r="B38" s="251" t="s">
        <v>87</v>
      </c>
      <c r="C38" s="251" t="s">
        <v>87</v>
      </c>
      <c r="D38" s="251" t="s">
        <v>87</v>
      </c>
      <c r="E38" s="251" t="s">
        <v>87</v>
      </c>
      <c r="F38" s="252" t="s">
        <v>87</v>
      </c>
      <c r="G38" s="332"/>
      <c r="H38" s="339" t="str">
        <f t="shared" si="2"/>
        <v>Position</v>
      </c>
      <c r="I38" s="340" t="str">
        <f t="shared" si="3"/>
        <v>Position</v>
      </c>
      <c r="K38" s="256"/>
      <c r="L38" s="257"/>
      <c r="M38" s="257"/>
      <c r="N38" s="322"/>
      <c r="O38" s="257"/>
      <c r="P38" s="257"/>
      <c r="Q38" s="322"/>
    </row>
    <row r="39" spans="1:17" ht="13.5" thickBot="1" x14ac:dyDescent="0.25">
      <c r="A39" s="253"/>
      <c r="B39" s="254" t="s">
        <v>74</v>
      </c>
      <c r="C39" s="254"/>
      <c r="D39" s="254"/>
      <c r="E39" s="254"/>
      <c r="F39" s="255"/>
      <c r="G39" s="335"/>
      <c r="H39" s="342"/>
      <c r="I39" s="343"/>
      <c r="K39" s="256"/>
      <c r="L39" s="257"/>
      <c r="M39" s="257"/>
      <c r="N39" s="322"/>
      <c r="O39" s="257"/>
      <c r="P39" s="257"/>
      <c r="Q39" s="322"/>
    </row>
    <row r="40" spans="1:17" x14ac:dyDescent="0.2">
      <c r="A40" s="264">
        <f>+Summary!U41</f>
        <v>37196</v>
      </c>
      <c r="B40" s="257">
        <f>+Summary!B41</f>
        <v>-198.09795851934524</v>
      </c>
      <c r="C40" s="257">
        <f>+Summary!G41</f>
        <v>-49.52448962983631</v>
      </c>
      <c r="D40" s="257">
        <f>+Summary!L41</f>
        <v>49.52448962983631</v>
      </c>
      <c r="E40" s="257">
        <f>+Summary!Q41</f>
        <v>0</v>
      </c>
      <c r="F40" s="322">
        <f>+Summary!V41</f>
        <v>-49.465924944196431</v>
      </c>
      <c r="G40" s="338">
        <f t="shared" ref="G40:G51" si="8">+B40+C40+D40</f>
        <v>-198.09795851934524</v>
      </c>
      <c r="H40" s="339">
        <f t="shared" si="2"/>
        <v>0</v>
      </c>
      <c r="I40" s="340">
        <f>+F40</f>
        <v>-49.465924944196431</v>
      </c>
      <c r="K40" s="256">
        <f t="shared" si="7"/>
        <v>37196</v>
      </c>
      <c r="L40" s="257">
        <f>'NYISO A'!F44</f>
        <v>34.25</v>
      </c>
      <c r="M40" s="257">
        <f>'NYISO G'!F44</f>
        <v>41</v>
      </c>
      <c r="N40" s="322">
        <f>'NYISO J'!F44</f>
        <v>45.75</v>
      </c>
      <c r="O40" s="257">
        <f>'NYISO A'!H44</f>
        <v>35</v>
      </c>
      <c r="P40" s="257">
        <f>'NYISO G'!H44</f>
        <v>41.5</v>
      </c>
      <c r="Q40" s="322">
        <f>'NYISO J'!H44</f>
        <v>46.5</v>
      </c>
    </row>
    <row r="41" spans="1:17" x14ac:dyDescent="0.2">
      <c r="A41" s="264">
        <f>+Summary!U42</f>
        <v>37226</v>
      </c>
      <c r="B41" s="257">
        <f>+Summary!B42</f>
        <v>-397.52004394531252</v>
      </c>
      <c r="C41" s="257">
        <f>+Summary!G42</f>
        <v>-99.380010986328131</v>
      </c>
      <c r="D41" s="257">
        <f>+Summary!L42</f>
        <v>49.380010986328124</v>
      </c>
      <c r="E41" s="257">
        <f>+Summary!Q42</f>
        <v>0</v>
      </c>
      <c r="F41" s="322">
        <f>+Summary!V42</f>
        <v>-49.324179077148436</v>
      </c>
      <c r="G41" s="338">
        <f t="shared" si="8"/>
        <v>-447.52004394531252</v>
      </c>
      <c r="H41" s="339">
        <f t="shared" si="2"/>
        <v>0</v>
      </c>
      <c r="I41" s="340">
        <f>+F41</f>
        <v>-49.324179077148436</v>
      </c>
      <c r="K41" s="256">
        <f t="shared" si="7"/>
        <v>37226</v>
      </c>
      <c r="L41" s="257">
        <f>'NYISO A'!F45</f>
        <v>34.25</v>
      </c>
      <c r="M41" s="257">
        <f>'NYISO G'!F45</f>
        <v>41</v>
      </c>
      <c r="N41" s="322">
        <f>'NYISO J'!F45</f>
        <v>45.75</v>
      </c>
      <c r="O41" s="257">
        <f>'NYISO A'!H45</f>
        <v>35</v>
      </c>
      <c r="P41" s="257">
        <f>'NYISO G'!H45</f>
        <v>41.5</v>
      </c>
      <c r="Q41" s="322">
        <f>'NYISO J'!H45</f>
        <v>46.5</v>
      </c>
    </row>
    <row r="42" spans="1:17" x14ac:dyDescent="0.2">
      <c r="A42" s="264">
        <f>+Summary!U43</f>
        <v>37257</v>
      </c>
      <c r="B42" s="257">
        <f>+Summary!B43</f>
        <v>97.722190163352266</v>
      </c>
      <c r="C42" s="257">
        <f>+Summary!G43</f>
        <v>-1.1363636318229514E-13</v>
      </c>
      <c r="D42" s="257">
        <f>+Summary!L43</f>
        <v>0</v>
      </c>
      <c r="E42" s="257">
        <f>+Summary!Q43</f>
        <v>0</v>
      </c>
      <c r="F42" s="322">
        <f>+Summary!V43</f>
        <v>-97.542047674005687</v>
      </c>
      <c r="G42" s="338">
        <f t="shared" si="8"/>
        <v>97.722190163352153</v>
      </c>
      <c r="H42" s="339">
        <f t="shared" si="2"/>
        <v>0</v>
      </c>
      <c r="I42" s="340">
        <f t="shared" ref="I42:I54" si="9">+F42</f>
        <v>-97.542047674005687</v>
      </c>
      <c r="K42" s="256">
        <f t="shared" si="7"/>
        <v>37257</v>
      </c>
      <c r="L42" s="257">
        <f>'NYISO A'!F46</f>
        <v>38.5</v>
      </c>
      <c r="M42" s="257">
        <f>'NYISO G'!F46</f>
        <v>47</v>
      </c>
      <c r="N42" s="322">
        <f>'NYISO J'!F46</f>
        <v>56</v>
      </c>
      <c r="O42" s="257">
        <f>'NYISO A'!H46</f>
        <v>38.5</v>
      </c>
      <c r="P42" s="257">
        <f>'NYISO G'!H46</f>
        <v>42.5</v>
      </c>
      <c r="Q42" s="322">
        <f>'NYISO J'!H46</f>
        <v>45.75</v>
      </c>
    </row>
    <row r="43" spans="1:17" x14ac:dyDescent="0.2">
      <c r="A43" s="264">
        <f>+Summary!U44</f>
        <v>37288</v>
      </c>
      <c r="B43" s="257">
        <f>+Summary!B44</f>
        <v>97.333996582031247</v>
      </c>
      <c r="C43" s="257">
        <f>+Summary!G44</f>
        <v>1.2499999950052465E-13</v>
      </c>
      <c r="D43" s="257">
        <f>+Summary!L44</f>
        <v>0</v>
      </c>
      <c r="E43" s="257">
        <f>+Summary!Q44</f>
        <v>0</v>
      </c>
      <c r="F43" s="322">
        <f>+Summary!V44</f>
        <v>-97.152929687500006</v>
      </c>
      <c r="G43" s="338">
        <f t="shared" si="8"/>
        <v>97.333996582031375</v>
      </c>
      <c r="H43" s="339">
        <f t="shared" si="2"/>
        <v>0</v>
      </c>
      <c r="I43" s="340">
        <f t="shared" si="9"/>
        <v>-97.152929687500006</v>
      </c>
      <c r="K43" s="256">
        <f t="shared" si="7"/>
        <v>37288</v>
      </c>
      <c r="L43" s="257">
        <f>'NYISO A'!F47</f>
        <v>38.5</v>
      </c>
      <c r="M43" s="257">
        <f>'NYISO G'!F47</f>
        <v>47</v>
      </c>
      <c r="N43" s="322">
        <f>'NYISO J'!F47</f>
        <v>56</v>
      </c>
      <c r="O43" s="257">
        <f>'NYISO A'!H47</f>
        <v>38.5</v>
      </c>
      <c r="P43" s="257">
        <f>'NYISO G'!H47</f>
        <v>47.25</v>
      </c>
      <c r="Q43" s="322">
        <f>'NYISO J'!H47</f>
        <v>70</v>
      </c>
    </row>
    <row r="44" spans="1:17" x14ac:dyDescent="0.2">
      <c r="A44" s="264">
        <f>+Summary!U45</f>
        <v>37316</v>
      </c>
      <c r="B44" s="257">
        <f>+Summary!B45</f>
        <v>98.976527622767861</v>
      </c>
      <c r="C44" s="257">
        <f>+Summary!G45</f>
        <v>5.952380928596412E-14</v>
      </c>
      <c r="D44" s="257">
        <f>+Summary!L45</f>
        <v>0</v>
      </c>
      <c r="E44" s="257">
        <f>+Summary!Q45</f>
        <v>0</v>
      </c>
      <c r="F44" s="322">
        <f>+Summary!V45</f>
        <v>0</v>
      </c>
      <c r="G44" s="338">
        <f t="shared" si="8"/>
        <v>98.976527622767918</v>
      </c>
      <c r="H44" s="339">
        <f t="shared" si="2"/>
        <v>0</v>
      </c>
      <c r="I44" s="340">
        <f t="shared" si="9"/>
        <v>0</v>
      </c>
      <c r="K44" s="256">
        <f t="shared" si="7"/>
        <v>37316</v>
      </c>
      <c r="L44" s="257">
        <f>'NYISO A'!F48</f>
        <v>34.5</v>
      </c>
      <c r="M44" s="257">
        <f>'NYISO G'!F48</f>
        <v>41.5</v>
      </c>
      <c r="N44" s="322">
        <f>'NYISO J'!F48</f>
        <v>44</v>
      </c>
      <c r="O44" s="257">
        <f>'NYISO A'!H48</f>
        <v>34.75</v>
      </c>
      <c r="P44" s="257">
        <f>'NYISO G'!H48</f>
        <v>47.25</v>
      </c>
      <c r="Q44" s="322">
        <f>'NYISO J'!H48</f>
        <v>87.5</v>
      </c>
    </row>
    <row r="45" spans="1:17" x14ac:dyDescent="0.2">
      <c r="A45" s="264">
        <f>+Summary!U46</f>
        <v>37347</v>
      </c>
      <c r="B45" s="257">
        <f>+Summary!B46</f>
        <v>98.825883345170453</v>
      </c>
      <c r="C45" s="257">
        <f>+Summary!G46</f>
        <v>1.1363636318229514E-13</v>
      </c>
      <c r="D45" s="257">
        <f>+Summary!L46</f>
        <v>0</v>
      </c>
      <c r="E45" s="257">
        <f>+Summary!Q46</f>
        <v>0</v>
      </c>
      <c r="F45" s="322">
        <f>+Summary!V46</f>
        <v>0</v>
      </c>
      <c r="G45" s="338">
        <f t="shared" si="8"/>
        <v>98.825883345170567</v>
      </c>
      <c r="H45" s="339">
        <f t="shared" si="2"/>
        <v>0</v>
      </c>
      <c r="I45" s="340">
        <f t="shared" si="9"/>
        <v>0</v>
      </c>
      <c r="K45" s="256">
        <f t="shared" si="7"/>
        <v>37347</v>
      </c>
      <c r="L45" s="257">
        <f>'NYISO A'!F49</f>
        <v>34.5</v>
      </c>
      <c r="M45" s="257">
        <f>'NYISO G'!F49</f>
        <v>40.5</v>
      </c>
      <c r="N45" s="322">
        <f>'NYISO J'!F49</f>
        <v>44</v>
      </c>
      <c r="O45" s="257">
        <f>'NYISO A'!H49</f>
        <v>34.75</v>
      </c>
      <c r="P45" s="257">
        <f>'NYISO G'!H49</f>
        <v>111</v>
      </c>
      <c r="Q45" s="322">
        <f>'NYISO J'!H49</f>
        <v>133.5</v>
      </c>
    </row>
    <row r="46" spans="1:17" x14ac:dyDescent="0.2">
      <c r="A46" s="264">
        <f>+Summary!U47</f>
        <v>37377</v>
      </c>
      <c r="B46" s="257">
        <f>+Summary!B47</f>
        <v>-5.6818182576785903E-13</v>
      </c>
      <c r="C46" s="257">
        <f>+Summary!G47</f>
        <v>48.67932683771307</v>
      </c>
      <c r="D46" s="257">
        <f>+Summary!L47</f>
        <v>0</v>
      </c>
      <c r="E46" s="257">
        <f>+Summary!Q47</f>
        <v>0</v>
      </c>
      <c r="F46" s="322">
        <f>+Summary!V47</f>
        <v>-97.233675870028407</v>
      </c>
      <c r="G46" s="338">
        <f t="shared" si="8"/>
        <v>48.679326837712502</v>
      </c>
      <c r="H46" s="339">
        <f t="shared" si="2"/>
        <v>0</v>
      </c>
      <c r="I46" s="340">
        <f t="shared" si="9"/>
        <v>-97.233675870028407</v>
      </c>
      <c r="K46" s="256">
        <f t="shared" si="7"/>
        <v>37377</v>
      </c>
      <c r="L46" s="257">
        <f>'NYISO A'!F50</f>
        <v>35.25</v>
      </c>
      <c r="M46" s="257">
        <f>'NYISO G'!F50</f>
        <v>43</v>
      </c>
      <c r="N46" s="322">
        <f>'NYISO J'!F50</f>
        <v>49</v>
      </c>
      <c r="O46" s="257">
        <f>'NYISO A'!H50</f>
        <v>36</v>
      </c>
      <c r="P46" s="257">
        <f>'NYISO G'!H50</f>
        <v>43</v>
      </c>
      <c r="Q46" s="322">
        <f>'NYISO J'!H50</f>
        <v>133</v>
      </c>
    </row>
    <row r="47" spans="1:17" x14ac:dyDescent="0.2">
      <c r="A47" s="264">
        <f>+Summary!U48</f>
        <v>37408</v>
      </c>
      <c r="B47" s="257">
        <f>+Summary!B48</f>
        <v>-145.58712158203124</v>
      </c>
      <c r="C47" s="257">
        <f>+Summary!G48</f>
        <v>97.058081054687506</v>
      </c>
      <c r="D47" s="257">
        <f>+Summary!L48</f>
        <v>0</v>
      </c>
      <c r="E47" s="257">
        <f>+Summary!Q48</f>
        <v>0</v>
      </c>
      <c r="F47" s="322">
        <f>+Summary!V48</f>
        <v>-48.46914367675781</v>
      </c>
      <c r="G47" s="338">
        <f t="shared" si="8"/>
        <v>-48.529040527343739</v>
      </c>
      <c r="H47" s="339">
        <f t="shared" si="2"/>
        <v>0</v>
      </c>
      <c r="I47" s="340">
        <f t="shared" si="9"/>
        <v>-48.46914367675781</v>
      </c>
      <c r="K47" s="256">
        <f t="shared" si="7"/>
        <v>37408</v>
      </c>
      <c r="L47" s="257">
        <f>'NYISO A'!F51</f>
        <v>42.75</v>
      </c>
      <c r="M47" s="257">
        <f>'NYISO G'!F51</f>
        <v>52</v>
      </c>
      <c r="N47" s="322">
        <f>'NYISO J'!F51</f>
        <v>58</v>
      </c>
      <c r="O47" s="257">
        <f>'NYISO A'!H51</f>
        <v>43.5</v>
      </c>
      <c r="P47" s="257">
        <f>'NYISO G'!H51</f>
        <v>51.5</v>
      </c>
      <c r="Q47" s="322">
        <f>'NYISO J'!H51</f>
        <v>58.5</v>
      </c>
    </row>
    <row r="48" spans="1:17" x14ac:dyDescent="0.2">
      <c r="A48" s="264">
        <f>+Summary!U49</f>
        <v>37438</v>
      </c>
      <c r="B48" s="257">
        <f>+Summary!B49</f>
        <v>250</v>
      </c>
      <c r="C48" s="257">
        <f>+Summary!G49</f>
        <v>-48.378856312144883</v>
      </c>
      <c r="D48" s="257">
        <f>+Summary!L49</f>
        <v>0</v>
      </c>
      <c r="E48" s="257">
        <f>+Summary!Q49</f>
        <v>0</v>
      </c>
      <c r="F48" s="322">
        <f>+Summary!V49</f>
        <v>-241.56660600142047</v>
      </c>
      <c r="G48" s="338">
        <f t="shared" si="8"/>
        <v>201.62114368785512</v>
      </c>
      <c r="H48" s="339">
        <f t="shared" si="2"/>
        <v>0</v>
      </c>
      <c r="I48" s="340">
        <f t="shared" si="9"/>
        <v>-241.56660600142047</v>
      </c>
      <c r="K48" s="256">
        <f t="shared" si="7"/>
        <v>37438</v>
      </c>
      <c r="L48" s="257">
        <f>'NYISO A'!F52</f>
        <v>56.5</v>
      </c>
      <c r="M48" s="257">
        <f>'NYISO G'!F52</f>
        <v>74</v>
      </c>
      <c r="N48" s="322">
        <f>'NYISO J'!F52</f>
        <v>85.5</v>
      </c>
      <c r="O48" s="257">
        <f>'NYISO A'!H52</f>
        <v>57.25</v>
      </c>
      <c r="P48" s="257">
        <f>'NYISO G'!H52</f>
        <v>74</v>
      </c>
      <c r="Q48" s="322">
        <f>'NYISO J'!H52</f>
        <v>60.5</v>
      </c>
    </row>
    <row r="49" spans="1:17" x14ac:dyDescent="0.2">
      <c r="A49" s="264">
        <f>+Summary!U50</f>
        <v>37469</v>
      </c>
      <c r="B49" s="257">
        <f>+Summary!B50</f>
        <v>250</v>
      </c>
      <c r="C49" s="257">
        <f>+Summary!G50</f>
        <v>-48.211231578480117</v>
      </c>
      <c r="D49" s="257">
        <f>+Summary!L50</f>
        <v>0</v>
      </c>
      <c r="E49" s="257">
        <f>+Summary!Q50</f>
        <v>0</v>
      </c>
      <c r="F49" s="322">
        <f>+Summary!V50</f>
        <v>-240.770751953125</v>
      </c>
      <c r="G49" s="338">
        <f t="shared" si="8"/>
        <v>201.78876842151988</v>
      </c>
      <c r="H49" s="339">
        <f t="shared" si="2"/>
        <v>0</v>
      </c>
      <c r="I49" s="340">
        <f t="shared" si="9"/>
        <v>-240.770751953125</v>
      </c>
      <c r="K49" s="256">
        <f t="shared" si="7"/>
        <v>37469</v>
      </c>
      <c r="L49" s="257">
        <f>'NYISO A'!F53</f>
        <v>56.5</v>
      </c>
      <c r="M49" s="257">
        <f>'NYISO G'!F53</f>
        <v>74</v>
      </c>
      <c r="N49" s="322">
        <f>'NYISO J'!F53</f>
        <v>85.5</v>
      </c>
      <c r="O49" s="257">
        <f>'NYISO A'!H53</f>
        <v>57.25</v>
      </c>
      <c r="P49" s="257">
        <f>'NYISO G'!H53</f>
        <v>74</v>
      </c>
      <c r="Q49" s="322">
        <f>'NYISO J'!H53</f>
        <v>61.5</v>
      </c>
    </row>
    <row r="50" spans="1:17" x14ac:dyDescent="0.2">
      <c r="A50" s="264">
        <f>+Summary!U51</f>
        <v>37500</v>
      </c>
      <c r="B50" s="257">
        <f>+Summary!B51</f>
        <v>48.064633178710935</v>
      </c>
      <c r="C50" s="257">
        <f>+Summary!G51</f>
        <v>6.2499999750262325E-14</v>
      </c>
      <c r="D50" s="257">
        <f>+Summary!L51</f>
        <v>0</v>
      </c>
      <c r="E50" s="257">
        <f>+Summary!Q51</f>
        <v>0</v>
      </c>
      <c r="F50" s="322">
        <f>+Summary!V51</f>
        <v>0</v>
      </c>
      <c r="G50" s="338">
        <f t="shared" si="8"/>
        <v>48.064633178710999</v>
      </c>
      <c r="H50" s="339">
        <f t="shared" si="2"/>
        <v>0</v>
      </c>
      <c r="I50" s="340">
        <f t="shared" si="9"/>
        <v>0</v>
      </c>
      <c r="K50" s="256">
        <f t="shared" si="7"/>
        <v>37500</v>
      </c>
      <c r="L50" s="257">
        <f>'NYISO A'!F54</f>
        <v>34.25</v>
      </c>
      <c r="M50" s="257">
        <f>'NYISO G'!F54</f>
        <v>40.75</v>
      </c>
      <c r="N50" s="322">
        <f>'NYISO J'!F54</f>
        <v>48.5</v>
      </c>
      <c r="O50" s="257">
        <f>'NYISO A'!H54</f>
        <v>35</v>
      </c>
      <c r="P50" s="257">
        <f>'NYISO G'!H54</f>
        <v>71</v>
      </c>
      <c r="Q50" s="322">
        <f>'NYISO J'!H54</f>
        <v>61.5</v>
      </c>
    </row>
    <row r="51" spans="1:17" x14ac:dyDescent="0.2">
      <c r="A51" s="264">
        <f>+Summary!U52</f>
        <v>37530</v>
      </c>
      <c r="B51" s="257">
        <f>+Summary!B52</f>
        <v>-56.309634001358695</v>
      </c>
      <c r="C51" s="257">
        <f>+Summary!G52</f>
        <v>-47.896786897078805</v>
      </c>
      <c r="D51" s="257">
        <f>+Summary!L52</f>
        <v>0</v>
      </c>
      <c r="E51" s="257">
        <f>+Summary!Q52</f>
        <v>0</v>
      </c>
      <c r="F51" s="322">
        <f>+Summary!V52</f>
        <v>0</v>
      </c>
      <c r="G51" s="338">
        <f t="shared" si="8"/>
        <v>-104.2064208984375</v>
      </c>
      <c r="H51" s="339">
        <f t="shared" si="2"/>
        <v>0</v>
      </c>
      <c r="I51" s="340">
        <f t="shared" si="9"/>
        <v>0</v>
      </c>
      <c r="K51" s="256">
        <f t="shared" si="7"/>
        <v>37530</v>
      </c>
      <c r="L51" s="257">
        <f>'NYISO A'!F55</f>
        <v>33.899997711181641</v>
      </c>
      <c r="M51" s="257">
        <f>'NYISO G'!F55</f>
        <v>40.75</v>
      </c>
      <c r="N51" s="322">
        <f>'NYISO J'!F55</f>
        <v>47.5</v>
      </c>
      <c r="O51" s="257">
        <f>'NYISO A'!H55</f>
        <v>35</v>
      </c>
      <c r="P51" s="257">
        <f>'NYISO G'!H55</f>
        <v>42.25</v>
      </c>
      <c r="Q51" s="322">
        <f>'NYISO J'!H55</f>
        <v>85</v>
      </c>
    </row>
    <row r="52" spans="1:17" x14ac:dyDescent="0.2">
      <c r="A52" s="264">
        <f>+Summary!U53</f>
        <v>37561</v>
      </c>
      <c r="B52" s="257">
        <f>+Summary!B53</f>
        <v>-56.788903808593751</v>
      </c>
      <c r="C52" s="257">
        <f>+Summary!G53</f>
        <v>-47.73703308105469</v>
      </c>
      <c r="D52" s="257">
        <f>+Summary!L53</f>
        <v>0</v>
      </c>
      <c r="E52" s="257">
        <f>+Summary!Q53</f>
        <v>0</v>
      </c>
      <c r="F52" s="322">
        <f>+Summary!V53</f>
        <v>0</v>
      </c>
      <c r="G52" s="338">
        <f>+B52+C52+D52</f>
        <v>-104.52593688964845</v>
      </c>
      <c r="H52" s="339">
        <f>+E52</f>
        <v>0</v>
      </c>
      <c r="I52" s="340">
        <f t="shared" si="9"/>
        <v>0</v>
      </c>
      <c r="K52" s="256">
        <f>A52</f>
        <v>37561</v>
      </c>
      <c r="L52" s="257">
        <f>'NYISO A'!F56</f>
        <v>33.899997711181641</v>
      </c>
      <c r="M52" s="257">
        <f>'NYISO G'!F56</f>
        <v>40.75</v>
      </c>
      <c r="N52" s="322">
        <f>'NYISO J'!F56</f>
        <v>47.5</v>
      </c>
      <c r="O52" s="257">
        <f>'NYISO A'!H56</f>
        <v>35</v>
      </c>
      <c r="P52" s="257">
        <f>'NYISO G'!H56</f>
        <v>42.25</v>
      </c>
      <c r="Q52" s="322">
        <f>'NYISO J'!H56</f>
        <v>85</v>
      </c>
    </row>
    <row r="53" spans="1:17" x14ac:dyDescent="0.2">
      <c r="A53" s="264">
        <f>+Summary!U54</f>
        <v>37591</v>
      </c>
      <c r="B53" s="257">
        <f>+Summary!B54</f>
        <v>-58</v>
      </c>
      <c r="C53" s="257">
        <f>+Summary!G54</f>
        <v>-48</v>
      </c>
      <c r="D53" s="257">
        <f>+Summary!L54</f>
        <v>0</v>
      </c>
      <c r="E53" s="257">
        <f>+Summary!Q54</f>
        <v>0</v>
      </c>
      <c r="F53" s="322">
        <f>+Summary!V54</f>
        <v>0</v>
      </c>
      <c r="G53" s="338">
        <f>+B53+C53+D53</f>
        <v>-106</v>
      </c>
      <c r="H53" s="339">
        <f>+E53</f>
        <v>0</v>
      </c>
      <c r="I53" s="340">
        <f t="shared" si="9"/>
        <v>0</v>
      </c>
      <c r="K53" s="256">
        <f>A53</f>
        <v>37591</v>
      </c>
      <c r="L53" s="257">
        <f>'NYISO A'!F57</f>
        <v>33.899997711181641</v>
      </c>
      <c r="M53" s="257">
        <f>'NYISO G'!F57</f>
        <v>40.75</v>
      </c>
      <c r="N53" s="322">
        <f>'NYISO J'!F61</f>
        <v>0</v>
      </c>
      <c r="O53" s="257">
        <f>'NYISO A'!H57</f>
        <v>35</v>
      </c>
      <c r="P53" s="257">
        <f>'NYISO G'!H57</f>
        <v>42.25</v>
      </c>
      <c r="Q53" s="322">
        <f>'NYISO J'!H61</f>
        <v>0</v>
      </c>
    </row>
    <row r="54" spans="1:17" ht="13.5" thickBot="1" x14ac:dyDescent="0.25">
      <c r="A54" s="265">
        <f>+Summary!U55</f>
        <v>37622</v>
      </c>
      <c r="B54" s="261">
        <f>+Summary!B55</f>
        <v>142</v>
      </c>
      <c r="C54" s="261">
        <f>+Summary!G55</f>
        <v>0</v>
      </c>
      <c r="D54" s="261">
        <f>+Summary!L55</f>
        <v>0</v>
      </c>
      <c r="E54" s="261">
        <f>+Summary!Q55</f>
        <v>0</v>
      </c>
      <c r="F54" s="323">
        <f>+Summary!V55</f>
        <v>0</v>
      </c>
      <c r="G54" s="341">
        <f>+B54+C54+D54</f>
        <v>142</v>
      </c>
      <c r="H54" s="342">
        <f>+E54</f>
        <v>0</v>
      </c>
      <c r="I54" s="343">
        <f t="shared" si="9"/>
        <v>0</v>
      </c>
      <c r="J54" s="503"/>
      <c r="K54" s="260">
        <f>A54</f>
        <v>37622</v>
      </c>
      <c r="L54" s="261">
        <f>'NYISO A'!F58</f>
        <v>40</v>
      </c>
      <c r="M54" s="261">
        <f>'NYISO G'!F58</f>
        <v>0</v>
      </c>
      <c r="N54" s="323">
        <f>'NYISO J'!F62</f>
        <v>0</v>
      </c>
      <c r="O54" s="261">
        <f>'NYISO A'!H58</f>
        <v>39.5</v>
      </c>
      <c r="P54" s="261">
        <f>'NYISO G'!H58</f>
        <v>55.5</v>
      </c>
      <c r="Q54" s="323">
        <f>'NYISO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6"/>
  <sheetViews>
    <sheetView zoomScale="85" workbookViewId="0">
      <selection activeCell="E12" sqref="E12"/>
    </sheetView>
  </sheetViews>
  <sheetFormatPr defaultRowHeight="12.75" x14ac:dyDescent="0.2"/>
  <cols>
    <col min="1" max="1" width="10.5703125" style="172" customWidth="1"/>
    <col min="2" max="2" width="14.42578125" style="172" customWidth="1"/>
    <col min="3" max="3" width="16.5703125" style="172" customWidth="1"/>
    <col min="4" max="4" width="15.28515625" style="172" customWidth="1"/>
    <col min="5" max="5" width="17.42578125" style="172" customWidth="1"/>
    <col min="6" max="6" width="14.42578125" style="172" customWidth="1"/>
    <col min="7" max="7" width="12.28515625" style="172" bestFit="1" customWidth="1"/>
    <col min="8" max="8" width="12.140625" style="172" customWidth="1"/>
    <col min="9" max="9" width="10.7109375" style="172" bestFit="1" customWidth="1"/>
    <col min="10" max="10" width="9.140625" style="172"/>
    <col min="11" max="11" width="7.7109375" style="172" bestFit="1" customWidth="1"/>
    <col min="12" max="12" width="12.28515625" style="172" bestFit="1" customWidth="1"/>
    <col min="13" max="13" width="11.42578125" style="172" bestFit="1" customWidth="1"/>
    <col min="14" max="14" width="10.7109375" style="172" bestFit="1" customWidth="1"/>
    <col min="15" max="15" width="9.140625" style="172"/>
    <col min="16" max="16" width="7.42578125" style="172" bestFit="1" customWidth="1"/>
    <col min="17" max="17" width="12.28515625" style="172" bestFit="1" customWidth="1"/>
    <col min="18" max="18" width="14.140625" style="172" bestFit="1" customWidth="1"/>
    <col min="19" max="19" width="10.7109375" style="172" bestFit="1" customWidth="1"/>
    <col min="20" max="22" width="9.140625" style="172"/>
    <col min="23" max="23" width="11.42578125" style="172" bestFit="1" customWidth="1"/>
    <col min="24" max="24" width="10.7109375" style="172" bestFit="1" customWidth="1"/>
    <col min="25" max="31" width="9.140625" style="172"/>
    <col min="32" max="32" width="11.42578125" style="172" bestFit="1" customWidth="1"/>
    <col min="33" max="16384" width="9.140625" style="172"/>
  </cols>
  <sheetData>
    <row r="1" spans="1:24" ht="18.75" thickBot="1" x14ac:dyDescent="0.3">
      <c r="A1" s="315" t="s">
        <v>84</v>
      </c>
      <c r="B1" s="317">
        <f>+D1+F1+G1</f>
        <v>-222635.89044256869</v>
      </c>
      <c r="C1" s="316" t="s">
        <v>85</v>
      </c>
      <c r="D1" s="317">
        <f>+C2+D2+H2+I2+M2+N2+R2+S2+W2+X2</f>
        <v>-87113.048612750703</v>
      </c>
      <c r="E1" s="316" t="s">
        <v>86</v>
      </c>
      <c r="F1" s="317">
        <f>+SUM(C38:D38,H38:I38,R38:S38,W38:X38)</f>
        <v>-135522.841829818</v>
      </c>
      <c r="G1" s="36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</row>
    <row r="2" spans="1:24" ht="13.5" thickBot="1" x14ac:dyDescent="0.25">
      <c r="A2" s="318" t="s">
        <v>70</v>
      </c>
      <c r="B2" s="183"/>
      <c r="C2" s="312">
        <f>+SUM(C5:C36)</f>
        <v>-90721.93359375</v>
      </c>
      <c r="D2" s="312">
        <f>+SUM(D5:D36)</f>
        <v>0</v>
      </c>
      <c r="F2" s="318" t="s">
        <v>70</v>
      </c>
      <c r="G2" s="183"/>
      <c r="H2" s="266">
        <f>+SUM(H5:H36)</f>
        <v>-12725.306976318359</v>
      </c>
      <c r="I2" s="312">
        <f>+SUM(I5:I36)</f>
        <v>0</v>
      </c>
      <c r="K2" s="318" t="s">
        <v>70</v>
      </c>
      <c r="L2" s="183"/>
      <c r="M2" s="312">
        <f>+SUM(M5:M36)</f>
        <v>30746.301452636719</v>
      </c>
      <c r="N2" s="312">
        <f>+SUM(N5:N36)</f>
        <v>0</v>
      </c>
      <c r="P2" s="113" t="s">
        <v>70</v>
      </c>
      <c r="Q2" s="183"/>
      <c r="R2" s="312">
        <f>+SUM(R5:R36)</f>
        <v>-2547.1713500977312</v>
      </c>
      <c r="S2" s="312">
        <f>+SUM(S5:S36)</f>
        <v>0</v>
      </c>
      <c r="U2" s="113" t="s">
        <v>70</v>
      </c>
      <c r="V2" s="183"/>
      <c r="W2" s="312">
        <f>+SUM(W5:W36)</f>
        <v>-11864.938145221324</v>
      </c>
      <c r="X2" s="312">
        <f>+SUM(X5:X36)</f>
        <v>0</v>
      </c>
    </row>
    <row r="3" spans="1:24" ht="13.5" thickBot="1" x14ac:dyDescent="0.25">
      <c r="A3" s="319" t="s">
        <v>55</v>
      </c>
      <c r="B3" s="251" t="s">
        <v>71</v>
      </c>
      <c r="C3" s="251" t="s">
        <v>72</v>
      </c>
      <c r="D3" s="252" t="s">
        <v>73</v>
      </c>
      <c r="F3" s="319" t="s">
        <v>58</v>
      </c>
      <c r="G3" s="251" t="s">
        <v>71</v>
      </c>
      <c r="H3" s="251" t="s">
        <v>72</v>
      </c>
      <c r="I3" s="252" t="s">
        <v>73</v>
      </c>
      <c r="K3" s="319" t="s">
        <v>59</v>
      </c>
      <c r="L3" s="251" t="s">
        <v>71</v>
      </c>
      <c r="M3" s="251" t="s">
        <v>72</v>
      </c>
      <c r="N3" s="252" t="s">
        <v>73</v>
      </c>
      <c r="P3" s="113" t="s">
        <v>78</v>
      </c>
      <c r="Q3" s="251" t="s">
        <v>71</v>
      </c>
      <c r="R3" s="251" t="s">
        <v>72</v>
      </c>
      <c r="S3" s="252" t="s">
        <v>73</v>
      </c>
      <c r="U3" s="113" t="s">
        <v>79</v>
      </c>
      <c r="V3" s="251" t="s">
        <v>71</v>
      </c>
      <c r="W3" s="251" t="s">
        <v>72</v>
      </c>
      <c r="X3" s="252" t="s">
        <v>73</v>
      </c>
    </row>
    <row r="4" spans="1:24" x14ac:dyDescent="0.2">
      <c r="A4" s="253"/>
      <c r="B4" s="254" t="s">
        <v>74</v>
      </c>
      <c r="C4" s="254" t="s">
        <v>75</v>
      </c>
      <c r="D4" s="255" t="s">
        <v>75</v>
      </c>
      <c r="F4" s="253"/>
      <c r="G4" s="254" t="s">
        <v>74</v>
      </c>
      <c r="H4" s="254" t="s">
        <v>75</v>
      </c>
      <c r="I4" s="255" t="s">
        <v>75</v>
      </c>
      <c r="K4" s="253"/>
      <c r="L4" s="254" t="s">
        <v>74</v>
      </c>
      <c r="M4" s="254" t="s">
        <v>75</v>
      </c>
      <c r="N4" s="255" t="s">
        <v>75</v>
      </c>
      <c r="P4" s="253"/>
      <c r="Q4" s="254" t="s">
        <v>74</v>
      </c>
      <c r="R4" s="254" t="s">
        <v>75</v>
      </c>
      <c r="S4" s="255" t="s">
        <v>75</v>
      </c>
      <c r="U4" s="253"/>
      <c r="V4" s="254" t="s">
        <v>74</v>
      </c>
      <c r="W4" s="254" t="s">
        <v>75</v>
      </c>
      <c r="X4" s="255" t="s">
        <v>75</v>
      </c>
    </row>
    <row r="5" spans="1:24" x14ac:dyDescent="0.2">
      <c r="A5" s="256">
        <f>+'NET P&amp;L'!A7</f>
        <v>37135</v>
      </c>
      <c r="B5" s="257">
        <f>+('NET P&amp;L'!B7+'NET P&amp;L'!G7)/16</f>
        <v>0</v>
      </c>
      <c r="C5" s="258">
        <f>+'NET P&amp;L'!L7</f>
        <v>0</v>
      </c>
      <c r="D5" s="259">
        <f>+'NET P&amp;L'!Q7</f>
        <v>0</v>
      </c>
      <c r="F5" s="256">
        <f>+'NET P&amp;L'!A7</f>
        <v>37135</v>
      </c>
      <c r="G5" s="257">
        <f>+('NET P&amp;L'!C7+'NET P&amp;L'!H7)/16</f>
        <v>0</v>
      </c>
      <c r="H5" s="258">
        <f>+'NET P&amp;L'!M7</f>
        <v>0</v>
      </c>
      <c r="I5" s="259">
        <f>+'NET P&amp;L'!R7</f>
        <v>0</v>
      </c>
      <c r="K5" s="256">
        <f>+'NET P&amp;L'!A7</f>
        <v>37135</v>
      </c>
      <c r="L5" s="257">
        <f>+('NET P&amp;L'!D7+'NET P&amp;L'!I7)/16</f>
        <v>0</v>
      </c>
      <c r="M5" s="258">
        <f>+'NET P&amp;L'!N7</f>
        <v>0</v>
      </c>
      <c r="N5" s="259">
        <f>+'NET P&amp;L'!S7</f>
        <v>0</v>
      </c>
      <c r="P5" s="256">
        <f>+'NET P&amp;L'!A7</f>
        <v>37135</v>
      </c>
      <c r="Q5" s="257">
        <f>+('NET P&amp;L'!E7+'NET P&amp;L'!J7)/16</f>
        <v>0</v>
      </c>
      <c r="R5" s="258">
        <f>+'NET P&amp;L'!O7</f>
        <v>0</v>
      </c>
      <c r="S5" s="259">
        <f>+'NET P&amp;L'!T7</f>
        <v>0</v>
      </c>
      <c r="U5" s="256">
        <f>+'NET P&amp;L'!A7</f>
        <v>37135</v>
      </c>
      <c r="V5" s="257">
        <f>+('NET P&amp;L'!F7+'NET P&amp;L'!K7)/16</f>
        <v>0</v>
      </c>
      <c r="W5" s="258">
        <f>+'NET P&amp;L'!P7</f>
        <v>0</v>
      </c>
      <c r="X5" s="259">
        <f>+'NET P&amp;L'!U7</f>
        <v>0</v>
      </c>
    </row>
    <row r="6" spans="1:24" x14ac:dyDescent="0.2">
      <c r="A6" s="256">
        <f>+'NET P&amp;L'!A8</f>
        <v>37136</v>
      </c>
      <c r="B6" s="257">
        <f>+('NET P&amp;L'!B8+'NET P&amp;L'!G8)/16</f>
        <v>0</v>
      </c>
      <c r="C6" s="258">
        <f>+'NET P&amp;L'!L8</f>
        <v>0</v>
      </c>
      <c r="D6" s="259">
        <f>+'NET P&amp;L'!Q8</f>
        <v>0</v>
      </c>
      <c r="F6" s="256">
        <f>+'NET P&amp;L'!A8</f>
        <v>37136</v>
      </c>
      <c r="G6" s="257">
        <f>+('NET P&amp;L'!C8+'NET P&amp;L'!H8)/16</f>
        <v>0</v>
      </c>
      <c r="H6" s="258">
        <f>+'NET P&amp;L'!M8</f>
        <v>0</v>
      </c>
      <c r="I6" s="259">
        <f>+'NET P&amp;L'!R8</f>
        <v>0</v>
      </c>
      <c r="K6" s="256">
        <f>+'NET P&amp;L'!A8</f>
        <v>37136</v>
      </c>
      <c r="L6" s="257">
        <f>+('NET P&amp;L'!D8+'NET P&amp;L'!I8)/16</f>
        <v>0</v>
      </c>
      <c r="M6" s="258">
        <f>+'NET P&amp;L'!N8</f>
        <v>0</v>
      </c>
      <c r="N6" s="259">
        <f>+'NET P&amp;L'!S8</f>
        <v>0</v>
      </c>
      <c r="P6" s="256">
        <f>+'NET P&amp;L'!A8</f>
        <v>37136</v>
      </c>
      <c r="Q6" s="257">
        <f>+('NET P&amp;L'!E8+'NET P&amp;L'!J8)/16</f>
        <v>0</v>
      </c>
      <c r="R6" s="258">
        <f>+'NET P&amp;L'!O8</f>
        <v>0</v>
      </c>
      <c r="S6" s="259">
        <f>+'NET P&amp;L'!T8</f>
        <v>0</v>
      </c>
      <c r="U6" s="256">
        <f>+'NET P&amp;L'!A8</f>
        <v>37136</v>
      </c>
      <c r="V6" s="257">
        <f>+('NET P&amp;L'!F8+'NET P&amp;L'!K8)/16</f>
        <v>0</v>
      </c>
      <c r="W6" s="258">
        <f>+'NET P&amp;L'!P8</f>
        <v>0</v>
      </c>
      <c r="X6" s="259">
        <f>+'NET P&amp;L'!U8</f>
        <v>0</v>
      </c>
    </row>
    <row r="7" spans="1:24" x14ac:dyDescent="0.2">
      <c r="A7" s="256">
        <f>+'NET P&amp;L'!A9</f>
        <v>37137</v>
      </c>
      <c r="B7" s="257">
        <f>+('NET P&amp;L'!B9+'NET P&amp;L'!G9)/16</f>
        <v>0</v>
      </c>
      <c r="C7" s="258">
        <f>+'NET P&amp;L'!L9</f>
        <v>0</v>
      </c>
      <c r="D7" s="259">
        <f>+'NET P&amp;L'!Q9</f>
        <v>0</v>
      </c>
      <c r="F7" s="256">
        <f>+'NET P&amp;L'!A9</f>
        <v>37137</v>
      </c>
      <c r="G7" s="257">
        <f>+('NET P&amp;L'!C9+'NET P&amp;L'!H9)/16</f>
        <v>0</v>
      </c>
      <c r="H7" s="258">
        <f>+'NET P&amp;L'!M9</f>
        <v>0</v>
      </c>
      <c r="I7" s="259">
        <f>+'NET P&amp;L'!R9</f>
        <v>0</v>
      </c>
      <c r="K7" s="256">
        <f>+'NET P&amp;L'!A9</f>
        <v>37137</v>
      </c>
      <c r="L7" s="257">
        <f>+('NET P&amp;L'!D9+'NET P&amp;L'!I9)/16</f>
        <v>0</v>
      </c>
      <c r="M7" s="258">
        <f>+'NET P&amp;L'!N9</f>
        <v>0</v>
      </c>
      <c r="N7" s="259">
        <f>+'NET P&amp;L'!S9</f>
        <v>0</v>
      </c>
      <c r="P7" s="256">
        <f>+'NET P&amp;L'!A9</f>
        <v>37137</v>
      </c>
      <c r="Q7" s="257">
        <f>+('NET P&amp;L'!E9+'NET P&amp;L'!J9)/16</f>
        <v>0</v>
      </c>
      <c r="R7" s="258">
        <f>+'NET P&amp;L'!O9</f>
        <v>0</v>
      </c>
      <c r="S7" s="259">
        <f>+'NET P&amp;L'!T9</f>
        <v>0</v>
      </c>
      <c r="U7" s="256">
        <f>+'NET P&amp;L'!A9</f>
        <v>37137</v>
      </c>
      <c r="V7" s="257">
        <f>+('NET P&amp;L'!F9+'NET P&amp;L'!K9)/16</f>
        <v>0</v>
      </c>
      <c r="W7" s="258">
        <f>+'NET P&amp;L'!P9</f>
        <v>0</v>
      </c>
      <c r="X7" s="259">
        <f>+'NET P&amp;L'!U9</f>
        <v>0</v>
      </c>
    </row>
    <row r="8" spans="1:24" x14ac:dyDescent="0.2">
      <c r="A8" s="256">
        <f>+'NET P&amp;L'!A10</f>
        <v>37138</v>
      </c>
      <c r="B8" s="257">
        <f>+('NET P&amp;L'!B10+'NET P&amp;L'!G10)/16</f>
        <v>-50</v>
      </c>
      <c r="C8" s="258">
        <f>+'NET P&amp;L'!L10</f>
        <v>0</v>
      </c>
      <c r="D8" s="259">
        <f>+'NET P&amp;L'!Q10</f>
        <v>0</v>
      </c>
      <c r="F8" s="256">
        <f>+'NET P&amp;L'!A10</f>
        <v>37138</v>
      </c>
      <c r="G8" s="257">
        <f>+('NET P&amp;L'!C10+'NET P&amp;L'!H10)/16</f>
        <v>-49.821971893310547</v>
      </c>
      <c r="H8" s="258">
        <f>+'NET P&amp;L'!M10</f>
        <v>-3188.606201171875</v>
      </c>
      <c r="I8" s="259">
        <f>+'NET P&amp;L'!R10</f>
        <v>0</v>
      </c>
      <c r="K8" s="256">
        <f>+'NET P&amp;L'!A10</f>
        <v>37138</v>
      </c>
      <c r="L8" s="257">
        <f>+('NET P&amp;L'!D10+'NET P&amp;L'!I10)/16</f>
        <v>74.732955932617188</v>
      </c>
      <c r="M8" s="258">
        <f>+'NET P&amp;L'!N10</f>
        <v>5679.7046508789062</v>
      </c>
      <c r="N8" s="259">
        <f>+'NET P&amp;L'!S10</f>
        <v>0</v>
      </c>
      <c r="P8" s="256">
        <f>+'NET P&amp;L'!A10</f>
        <v>37138</v>
      </c>
      <c r="Q8" s="257">
        <f>+('NET P&amp;L'!E10+'NET P&amp;L'!J10)/16</f>
        <v>149.24832153320312</v>
      </c>
      <c r="R8" s="258">
        <f>+'NET P&amp;L'!O10</f>
        <v>1193.986572265625</v>
      </c>
      <c r="S8" s="259">
        <f>+'NET P&amp;L'!T10</f>
        <v>0</v>
      </c>
      <c r="U8" s="256">
        <f>+'NET P&amp;L'!A10</f>
        <v>37138</v>
      </c>
      <c r="V8" s="257">
        <f>+('NET P&amp;L'!F10+'NET P&amp;L'!K10)/16</f>
        <v>149.24832153320312</v>
      </c>
      <c r="W8" s="258">
        <f>+'NET P&amp;L'!P10</f>
        <v>1.2753152478154523E-2</v>
      </c>
      <c r="X8" s="259">
        <f>+'NET P&amp;L'!U10</f>
        <v>0</v>
      </c>
    </row>
    <row r="9" spans="1:24" x14ac:dyDescent="0.2">
      <c r="A9" s="256">
        <f>+'NET P&amp;L'!A11</f>
        <v>37139</v>
      </c>
      <c r="B9" s="257">
        <f>+('NET P&amp;L'!B11+'NET P&amp;L'!G11)/16</f>
        <v>-50</v>
      </c>
      <c r="C9" s="258">
        <f>+'NET P&amp;L'!L11</f>
        <v>-2000</v>
      </c>
      <c r="D9" s="259">
        <f>+'NET P&amp;L'!Q11</f>
        <v>0</v>
      </c>
      <c r="F9" s="256">
        <f>+'NET P&amp;L'!A11</f>
        <v>37139</v>
      </c>
      <c r="G9" s="257">
        <f>+('NET P&amp;L'!C11+'NET P&amp;L'!H11)/16</f>
        <v>-49.821971893310547</v>
      </c>
      <c r="H9" s="258">
        <f>+'NET P&amp;L'!M11</f>
        <v>-3188.606201171875</v>
      </c>
      <c r="I9" s="259">
        <f>+'NET P&amp;L'!R11</f>
        <v>0</v>
      </c>
      <c r="K9" s="256">
        <f>+'NET P&amp;L'!A11</f>
        <v>37139</v>
      </c>
      <c r="L9" s="257">
        <f>+('NET P&amp;L'!D11+'NET P&amp;L'!I11)/16</f>
        <v>74.732955932617188</v>
      </c>
      <c r="M9" s="258">
        <f>+'NET P&amp;L'!N11</f>
        <v>5679.7046508789062</v>
      </c>
      <c r="N9" s="259">
        <f>+'NET P&amp;L'!S11</f>
        <v>0</v>
      </c>
      <c r="P9" s="256">
        <f>+'NET P&amp;L'!A11</f>
        <v>37139</v>
      </c>
      <c r="Q9" s="257">
        <f>+('NET P&amp;L'!E11+'NET P&amp;L'!J11)/16</f>
        <v>149.24832153320312</v>
      </c>
      <c r="R9" s="258">
        <f>+'NET P&amp;L'!O11</f>
        <v>-1193.986572265625</v>
      </c>
      <c r="S9" s="259">
        <f>+'NET P&amp;L'!T11</f>
        <v>0</v>
      </c>
      <c r="U9" s="256">
        <f>+'NET P&amp;L'!A11</f>
        <v>37139</v>
      </c>
      <c r="V9" s="257">
        <f>+('NET P&amp;L'!F11+'NET P&amp;L'!K11)/16</f>
        <v>149.24832153320312</v>
      </c>
      <c r="W9" s="258">
        <f>+'NET P&amp;L'!P11</f>
        <v>1.2753152478154523E-2</v>
      </c>
      <c r="X9" s="259">
        <f>+'NET P&amp;L'!U11</f>
        <v>0</v>
      </c>
    </row>
    <row r="10" spans="1:24" x14ac:dyDescent="0.2">
      <c r="A10" s="256">
        <f>+'NET P&amp;L'!A12</f>
        <v>37140</v>
      </c>
      <c r="B10" s="257">
        <f>+('NET P&amp;L'!B12+'NET P&amp;L'!G12)/16</f>
        <v>-50</v>
      </c>
      <c r="C10" s="258">
        <f>+'NET P&amp;L'!L12</f>
        <v>-2000</v>
      </c>
      <c r="D10" s="259">
        <f>+'NET P&amp;L'!Q12</f>
        <v>0</v>
      </c>
      <c r="F10" s="256">
        <f>+'NET P&amp;L'!A12</f>
        <v>37140</v>
      </c>
      <c r="G10" s="257">
        <f>+('NET P&amp;L'!C12+'NET P&amp;L'!H12)/16</f>
        <v>-49.821971893310547</v>
      </c>
      <c r="H10" s="258">
        <f>+'NET P&amp;L'!M12</f>
        <v>-3188.606201171875</v>
      </c>
      <c r="I10" s="259">
        <f>+'NET P&amp;L'!R12</f>
        <v>0</v>
      </c>
      <c r="K10" s="256">
        <f>+'NET P&amp;L'!A12</f>
        <v>37140</v>
      </c>
      <c r="L10" s="257">
        <f>+('NET P&amp;L'!D12+'NET P&amp;L'!I12)/16</f>
        <v>74.732955932617188</v>
      </c>
      <c r="M10" s="258">
        <f>+'NET P&amp;L'!N12</f>
        <v>5679.7046508789062</v>
      </c>
      <c r="N10" s="259">
        <f>+'NET P&amp;L'!S12</f>
        <v>0</v>
      </c>
      <c r="P10" s="256">
        <f>+'NET P&amp;L'!A12</f>
        <v>37140</v>
      </c>
      <c r="Q10" s="257">
        <f>+('NET P&amp;L'!E12+'NET P&amp;L'!J12)/16</f>
        <v>149.24832153320312</v>
      </c>
      <c r="R10" s="258">
        <f>+'NET P&amp;L'!O12</f>
        <v>-1193.986572265625</v>
      </c>
      <c r="S10" s="259">
        <f>+'NET P&amp;L'!T12</f>
        <v>0</v>
      </c>
      <c r="U10" s="256">
        <f>+'NET P&amp;L'!A12</f>
        <v>37140</v>
      </c>
      <c r="V10" s="257">
        <f>+('NET P&amp;L'!F12+'NET P&amp;L'!K12)/16</f>
        <v>149.24832153320312</v>
      </c>
      <c r="W10" s="258">
        <f>+'NET P&amp;L'!P12</f>
        <v>1.2753152478154523E-2</v>
      </c>
      <c r="X10" s="259">
        <f>+'NET P&amp;L'!U12</f>
        <v>0</v>
      </c>
    </row>
    <row r="11" spans="1:24" x14ac:dyDescent="0.2">
      <c r="A11" s="256">
        <f>+'NET P&amp;L'!A13</f>
        <v>37141</v>
      </c>
      <c r="B11" s="257">
        <f>+('NET P&amp;L'!B13+'NET P&amp;L'!G13)/16</f>
        <v>-50</v>
      </c>
      <c r="C11" s="258">
        <f>+'NET P&amp;L'!L13</f>
        <v>-2000</v>
      </c>
      <c r="D11" s="259">
        <f>+'NET P&amp;L'!Q13</f>
        <v>0</v>
      </c>
      <c r="F11" s="256">
        <f>+'NET P&amp;L'!A13</f>
        <v>37141</v>
      </c>
      <c r="G11" s="257">
        <f>+('NET P&amp;L'!C13+'NET P&amp;L'!H13)/16</f>
        <v>-49.821971893310547</v>
      </c>
      <c r="H11" s="258">
        <f>+'NET P&amp;L'!M13</f>
        <v>5978.6366271972656</v>
      </c>
      <c r="I11" s="259">
        <f>+'NET P&amp;L'!R13</f>
        <v>0</v>
      </c>
      <c r="K11" s="256">
        <f>+'NET P&amp;L'!A13</f>
        <v>37141</v>
      </c>
      <c r="L11" s="257">
        <f>+('NET P&amp;L'!D13+'NET P&amp;L'!I13)/16</f>
        <v>74.732955932617188</v>
      </c>
      <c r="M11" s="258">
        <f>+'NET P&amp;L'!N13</f>
        <v>0</v>
      </c>
      <c r="N11" s="259">
        <f>+'NET P&amp;L'!S13</f>
        <v>0</v>
      </c>
      <c r="P11" s="256">
        <f>+'NET P&amp;L'!A13</f>
        <v>37141</v>
      </c>
      <c r="Q11" s="257">
        <f>+('NET P&amp;L'!E13+'NET P&amp;L'!J13)/16</f>
        <v>149.24832153320312</v>
      </c>
      <c r="R11" s="258">
        <f>+'NET P&amp;L'!O13</f>
        <v>-1193.986572265625</v>
      </c>
      <c r="S11" s="259">
        <f>+'NET P&amp;L'!T13</f>
        <v>0</v>
      </c>
      <c r="U11" s="256">
        <f>+'NET P&amp;L'!A13</f>
        <v>37141</v>
      </c>
      <c r="V11" s="257">
        <f>+('NET P&amp;L'!F13+'NET P&amp;L'!K13)/16</f>
        <v>149.24832153320312</v>
      </c>
      <c r="W11" s="258">
        <f>+'NET P&amp;L'!P13</f>
        <v>3.6437578533252309E-3</v>
      </c>
      <c r="X11" s="259">
        <f>+'NET P&amp;L'!U13</f>
        <v>0</v>
      </c>
    </row>
    <row r="12" spans="1:24" x14ac:dyDescent="0.2">
      <c r="A12" s="256">
        <f>+'NET P&amp;L'!A14</f>
        <v>37142</v>
      </c>
      <c r="B12" s="257">
        <f>+('NET P&amp;L'!B14+'NET P&amp;L'!G14)/16</f>
        <v>0</v>
      </c>
      <c r="C12" s="258">
        <f>+'NET P&amp;L'!L14</f>
        <v>0</v>
      </c>
      <c r="D12" s="259">
        <f>+'NET P&amp;L'!Q14</f>
        <v>0</v>
      </c>
      <c r="F12" s="256">
        <f>+'NET P&amp;L'!A14</f>
        <v>37142</v>
      </c>
      <c r="G12" s="257">
        <f>+('NET P&amp;L'!C14+'NET P&amp;L'!H14)/16</f>
        <v>0</v>
      </c>
      <c r="H12" s="258">
        <f>+'NET P&amp;L'!M14</f>
        <v>0</v>
      </c>
      <c r="I12" s="259">
        <f>+'NET P&amp;L'!R14</f>
        <v>0</v>
      </c>
      <c r="K12" s="256">
        <f>+'NET P&amp;L'!A14</f>
        <v>37142</v>
      </c>
      <c r="L12" s="257">
        <f>+('NET P&amp;L'!D14+'NET P&amp;L'!I14)/16</f>
        <v>0</v>
      </c>
      <c r="M12" s="258">
        <f>+'NET P&amp;L'!N14</f>
        <v>0</v>
      </c>
      <c r="N12" s="259">
        <f>+'NET P&amp;L'!S14</f>
        <v>0</v>
      </c>
      <c r="P12" s="256">
        <f>+'NET P&amp;L'!A14</f>
        <v>37142</v>
      </c>
      <c r="Q12" s="257">
        <f>+('NET P&amp;L'!E14+'NET P&amp;L'!J14)/16</f>
        <v>0</v>
      </c>
      <c r="R12" s="258">
        <f>+'NET P&amp;L'!O14</f>
        <v>0</v>
      </c>
      <c r="S12" s="259">
        <f>+'NET P&amp;L'!T14</f>
        <v>0</v>
      </c>
      <c r="U12" s="256">
        <f>+'NET P&amp;L'!A14</f>
        <v>37142</v>
      </c>
      <c r="V12" s="257">
        <f>+('NET P&amp;L'!F14+'NET P&amp;L'!K14)/16</f>
        <v>0</v>
      </c>
      <c r="W12" s="258">
        <f>+'NET P&amp;L'!P14</f>
        <v>0</v>
      </c>
      <c r="X12" s="259">
        <f>+'NET P&amp;L'!U14</f>
        <v>0</v>
      </c>
    </row>
    <row r="13" spans="1:24" x14ac:dyDescent="0.2">
      <c r="A13" s="256">
        <f>+'NET P&amp;L'!A15</f>
        <v>37143</v>
      </c>
      <c r="B13" s="257">
        <f>+('NET P&amp;L'!B15+'NET P&amp;L'!G15)/16</f>
        <v>0</v>
      </c>
      <c r="C13" s="258">
        <f>+'NET P&amp;L'!L15</f>
        <v>0</v>
      </c>
      <c r="D13" s="259">
        <f>+'NET P&amp;L'!Q15</f>
        <v>0</v>
      </c>
      <c r="F13" s="256">
        <f>+'NET P&amp;L'!A15</f>
        <v>37143</v>
      </c>
      <c r="G13" s="257">
        <f>+('NET P&amp;L'!C15+'NET P&amp;L'!H15)/16</f>
        <v>0</v>
      </c>
      <c r="H13" s="258">
        <f>+'NET P&amp;L'!M15</f>
        <v>0</v>
      </c>
      <c r="I13" s="259">
        <f>+'NET P&amp;L'!R15</f>
        <v>0</v>
      </c>
      <c r="K13" s="256">
        <f>+'NET P&amp;L'!A15</f>
        <v>37143</v>
      </c>
      <c r="L13" s="257">
        <f>+('NET P&amp;L'!D15+'NET P&amp;L'!I15)/16</f>
        <v>0</v>
      </c>
      <c r="M13" s="258">
        <f>+'NET P&amp;L'!N15</f>
        <v>0</v>
      </c>
      <c r="N13" s="259">
        <f>+'NET P&amp;L'!S15</f>
        <v>0</v>
      </c>
      <c r="P13" s="256">
        <f>+'NET P&amp;L'!A15</f>
        <v>37143</v>
      </c>
      <c r="Q13" s="257">
        <f>+('NET P&amp;L'!E15+'NET P&amp;L'!J15)/16</f>
        <v>0</v>
      </c>
      <c r="R13" s="258">
        <f>+'NET P&amp;L'!O15</f>
        <v>0</v>
      </c>
      <c r="S13" s="259">
        <f>+'NET P&amp;L'!T15</f>
        <v>0</v>
      </c>
      <c r="U13" s="256">
        <f>+'NET P&amp;L'!A15</f>
        <v>37143</v>
      </c>
      <c r="V13" s="257">
        <f>+('NET P&amp;L'!F15+'NET P&amp;L'!K15)/16</f>
        <v>0</v>
      </c>
      <c r="W13" s="258">
        <f>+'NET P&amp;L'!P15</f>
        <v>0</v>
      </c>
      <c r="X13" s="259">
        <f>+'NET P&amp;L'!U15</f>
        <v>0</v>
      </c>
    </row>
    <row r="14" spans="1:24" x14ac:dyDescent="0.2">
      <c r="A14" s="256">
        <f>+'NET P&amp;L'!A16</f>
        <v>37144</v>
      </c>
      <c r="B14" s="257">
        <f>+('NET P&amp;L'!B16+'NET P&amp;L'!G16)/16</f>
        <v>-249.10986328125</v>
      </c>
      <c r="C14" s="258">
        <f>+'NET P&amp;L'!L16</f>
        <v>-1992.87890625</v>
      </c>
      <c r="D14" s="259">
        <f>+'NET P&amp;L'!Q16</f>
        <v>0</v>
      </c>
      <c r="F14" s="256">
        <f>+'NET P&amp;L'!A16</f>
        <v>37144</v>
      </c>
      <c r="G14" s="257">
        <f>+('NET P&amp;L'!C16+'NET P&amp;L'!H16)/16</f>
        <v>1.2499999950052465E-13</v>
      </c>
      <c r="H14" s="258">
        <f>+'NET P&amp;L'!M16</f>
        <v>0</v>
      </c>
      <c r="I14" s="259">
        <f>+'NET P&amp;L'!R16</f>
        <v>0</v>
      </c>
      <c r="K14" s="256">
        <f>+'NET P&amp;L'!A16</f>
        <v>37144</v>
      </c>
      <c r="L14" s="257">
        <f>+('NET P&amp;L'!D16+'NET P&amp;L'!I16)/16</f>
        <v>74.732955932617188</v>
      </c>
      <c r="M14" s="258">
        <f>+'NET P&amp;L'!N16</f>
        <v>0</v>
      </c>
      <c r="N14" s="259">
        <f>+'NET P&amp;L'!S16</f>
        <v>0</v>
      </c>
      <c r="P14" s="256">
        <f>+'NET P&amp;L'!A16</f>
        <v>37144</v>
      </c>
      <c r="Q14" s="257">
        <f>+('NET P&amp;L'!E16+'NET P&amp;L'!J16)/16</f>
        <v>-198.99775695800781</v>
      </c>
      <c r="R14" s="258">
        <f>+'NET P&amp;L'!O16</f>
        <v>4234.6722680664006</v>
      </c>
      <c r="S14" s="259">
        <f>+'NET P&amp;L'!T16</f>
        <v>0</v>
      </c>
      <c r="U14" s="256">
        <f>+'NET P&amp;L'!A16</f>
        <v>37144</v>
      </c>
      <c r="V14" s="257">
        <f>+('NET P&amp;L'!F16+'NET P&amp;L'!K16)/16</f>
        <v>-3.1249999875131163E-13</v>
      </c>
      <c r="W14" s="258">
        <f>+'NET P&amp;L'!P16</f>
        <v>1.725001900455865E-11</v>
      </c>
      <c r="X14" s="259">
        <f>+'NET P&amp;L'!U16</f>
        <v>0</v>
      </c>
    </row>
    <row r="15" spans="1:24" x14ac:dyDescent="0.2">
      <c r="A15" s="256">
        <f>+'NET P&amp;L'!A17</f>
        <v>37145</v>
      </c>
      <c r="B15" s="257">
        <f>+('NET P&amp;L'!B17+'NET P&amp;L'!G17)/16</f>
        <v>-249.10986328125</v>
      </c>
      <c r="C15" s="258">
        <f>+'NET P&amp;L'!L17</f>
        <v>-1992.87890625</v>
      </c>
      <c r="D15" s="259">
        <f>+'NET P&amp;L'!Q17</f>
        <v>0</v>
      </c>
      <c r="F15" s="256">
        <f>+'NET P&amp;L'!A17</f>
        <v>37145</v>
      </c>
      <c r="G15" s="257">
        <f>+('NET P&amp;L'!C17+'NET P&amp;L'!H17)/16</f>
        <v>1.2499999950052465E-13</v>
      </c>
      <c r="H15" s="258">
        <f>+'NET P&amp;L'!M17</f>
        <v>0</v>
      </c>
      <c r="I15" s="259">
        <f>+'NET P&amp;L'!R17</f>
        <v>0</v>
      </c>
      <c r="K15" s="256">
        <f>+'NET P&amp;L'!A17</f>
        <v>37145</v>
      </c>
      <c r="L15" s="257">
        <f>+('NET P&amp;L'!D17+'NET P&amp;L'!I17)/16</f>
        <v>74.732955932617188</v>
      </c>
      <c r="M15" s="258">
        <f>+'NET P&amp;L'!N17</f>
        <v>0</v>
      </c>
      <c r="N15" s="259">
        <f>+'NET P&amp;L'!S17</f>
        <v>0</v>
      </c>
      <c r="P15" s="256">
        <f>+'NET P&amp;L'!A17</f>
        <v>37145</v>
      </c>
      <c r="Q15" s="257">
        <f>+('NET P&amp;L'!E17+'NET P&amp;L'!J17)/16</f>
        <v>-198.99775695800781</v>
      </c>
      <c r="R15" s="258">
        <f>+'NET P&amp;L'!O17</f>
        <v>4234.6722680664006</v>
      </c>
      <c r="S15" s="259">
        <f>+'NET P&amp;L'!T17</f>
        <v>0</v>
      </c>
      <c r="U15" s="256">
        <f>+'NET P&amp;L'!A17</f>
        <v>37145</v>
      </c>
      <c r="V15" s="257">
        <f>+('NET P&amp;L'!F17+'NET P&amp;L'!K17)/16</f>
        <v>-7.499999970031479E-13</v>
      </c>
      <c r="W15" s="258">
        <f>+'NET P&amp;L'!P17</f>
        <v>4.8600045582171E-11</v>
      </c>
      <c r="X15" s="259">
        <f>+'NET P&amp;L'!U17</f>
        <v>0</v>
      </c>
    </row>
    <row r="16" spans="1:24" x14ac:dyDescent="0.2">
      <c r="A16" s="256">
        <f>+'NET P&amp;L'!A18</f>
        <v>37146</v>
      </c>
      <c r="B16" s="257">
        <f>+('NET P&amp;L'!B18+'NET P&amp;L'!G18)/16</f>
        <v>-249.10986328125</v>
      </c>
      <c r="C16" s="258">
        <f>+'NET P&amp;L'!L18</f>
        <v>-1992.87890625</v>
      </c>
      <c r="D16" s="259">
        <f>+'NET P&amp;L'!Q18</f>
        <v>0</v>
      </c>
      <c r="F16" s="256">
        <f>+'NET P&amp;L'!A18</f>
        <v>37146</v>
      </c>
      <c r="G16" s="257">
        <f>+('NET P&amp;L'!C18+'NET P&amp;L'!H18)/16</f>
        <v>1.2499999950052465E-13</v>
      </c>
      <c r="H16" s="258">
        <f>+'NET P&amp;L'!M18</f>
        <v>0</v>
      </c>
      <c r="I16" s="259">
        <f>+'NET P&amp;L'!R18</f>
        <v>0</v>
      </c>
      <c r="K16" s="256">
        <f>+'NET P&amp;L'!A18</f>
        <v>37146</v>
      </c>
      <c r="L16" s="257">
        <f>+('NET P&amp;L'!D18+'NET P&amp;L'!I18)/16</f>
        <v>74.732955932617188</v>
      </c>
      <c r="M16" s="258">
        <f>+'NET P&amp;L'!N18</f>
        <v>0</v>
      </c>
      <c r="N16" s="259">
        <f>+'NET P&amp;L'!S18</f>
        <v>0</v>
      </c>
      <c r="P16" s="256">
        <f>+'NET P&amp;L'!A18</f>
        <v>37146</v>
      </c>
      <c r="Q16" s="257">
        <f>+('NET P&amp;L'!E18+'NET P&amp;L'!J18)/16</f>
        <v>-198.99775695800781</v>
      </c>
      <c r="R16" s="258">
        <f>+'NET P&amp;L'!O18</f>
        <v>4234.6722680664006</v>
      </c>
      <c r="S16" s="259">
        <f>+'NET P&amp;L'!T18</f>
        <v>0</v>
      </c>
      <c r="U16" s="256">
        <f>+'NET P&amp;L'!A18</f>
        <v>37146</v>
      </c>
      <c r="V16" s="257">
        <f>+('NET P&amp;L'!F18+'NET P&amp;L'!K18)/16</f>
        <v>3.1249999875131163E-13</v>
      </c>
      <c r="W16" s="258">
        <f>+'NET P&amp;L'!P18</f>
        <v>-2.0250018992571248E-11</v>
      </c>
      <c r="X16" s="259">
        <f>+'NET P&amp;L'!U18</f>
        <v>0</v>
      </c>
    </row>
    <row r="17" spans="1:24" x14ac:dyDescent="0.2">
      <c r="A17" s="256">
        <f>+'NET P&amp;L'!A19</f>
        <v>37147</v>
      </c>
      <c r="B17" s="257">
        <f>+('NET P&amp;L'!B19+'NET P&amp;L'!G19)/16</f>
        <v>-249.10986328125</v>
      </c>
      <c r="C17" s="258">
        <f>+'NET P&amp;L'!L19</f>
        <v>-1992.87890625</v>
      </c>
      <c r="D17" s="259">
        <f>+'NET P&amp;L'!Q19</f>
        <v>0</v>
      </c>
      <c r="F17" s="256">
        <f>+'NET P&amp;L'!A19</f>
        <v>37147</v>
      </c>
      <c r="G17" s="257">
        <f>+('NET P&amp;L'!C19+'NET P&amp;L'!H19)/16</f>
        <v>1.2499999950052465E-13</v>
      </c>
      <c r="H17" s="258">
        <f>+'NET P&amp;L'!M19</f>
        <v>0</v>
      </c>
      <c r="I17" s="259">
        <f>+'NET P&amp;L'!R19</f>
        <v>0</v>
      </c>
      <c r="K17" s="256">
        <f>+'NET P&amp;L'!A19</f>
        <v>37147</v>
      </c>
      <c r="L17" s="257">
        <f>+('NET P&amp;L'!D19+'NET P&amp;L'!I19)/16</f>
        <v>74.732955932617188</v>
      </c>
      <c r="M17" s="258">
        <f>+'NET P&amp;L'!N19</f>
        <v>0</v>
      </c>
      <c r="N17" s="259">
        <f>+'NET P&amp;L'!S19</f>
        <v>0</v>
      </c>
      <c r="P17" s="256">
        <f>+'NET P&amp;L'!A19</f>
        <v>37147</v>
      </c>
      <c r="Q17" s="257">
        <f>+('NET P&amp;L'!E19+'NET P&amp;L'!J19)/16</f>
        <v>-198.99775695800781</v>
      </c>
      <c r="R17" s="258">
        <f>+'NET P&amp;L'!O19</f>
        <v>4234.6722680664006</v>
      </c>
      <c r="S17" s="259">
        <f>+'NET P&amp;L'!T19</f>
        <v>0</v>
      </c>
      <c r="U17" s="256">
        <f>+'NET P&amp;L'!A19</f>
        <v>37147</v>
      </c>
      <c r="V17" s="257">
        <f>+('NET P&amp;L'!F19+'NET P&amp;L'!K19)/16</f>
        <v>-3.1249999875131163E-13</v>
      </c>
      <c r="W17" s="258">
        <f>+'NET P&amp;L'!P19</f>
        <v>2.0250018992571248E-11</v>
      </c>
      <c r="X17" s="259">
        <f>+'NET P&amp;L'!U19</f>
        <v>0</v>
      </c>
    </row>
    <row r="18" spans="1:24" x14ac:dyDescent="0.2">
      <c r="A18" s="256">
        <f>+'NET P&amp;L'!A20</f>
        <v>37148</v>
      </c>
      <c r="B18" s="257">
        <f>+('NET P&amp;L'!B20+'NET P&amp;L'!G20)/16</f>
        <v>-249.10986328125</v>
      </c>
      <c r="C18" s="258">
        <f>+'NET P&amp;L'!L20</f>
        <v>-1992.87890625</v>
      </c>
      <c r="D18" s="259">
        <f>+'NET P&amp;L'!Q20</f>
        <v>0</v>
      </c>
      <c r="F18" s="256">
        <f>+'NET P&amp;L'!A20</f>
        <v>37148</v>
      </c>
      <c r="G18" s="257">
        <f>+('NET P&amp;L'!C20+'NET P&amp;L'!H20)/16</f>
        <v>1.2499999950052465E-13</v>
      </c>
      <c r="H18" s="258">
        <f>+'NET P&amp;L'!M20</f>
        <v>0</v>
      </c>
      <c r="I18" s="259">
        <f>+'NET P&amp;L'!R20</f>
        <v>0</v>
      </c>
      <c r="K18" s="256">
        <f>+'NET P&amp;L'!A20</f>
        <v>37148</v>
      </c>
      <c r="L18" s="257">
        <f>+('NET P&amp;L'!D20+'NET P&amp;L'!I20)/16</f>
        <v>74.732955932617188</v>
      </c>
      <c r="M18" s="258">
        <f>+'NET P&amp;L'!N20</f>
        <v>0</v>
      </c>
      <c r="N18" s="259">
        <f>+'NET P&amp;L'!S20</f>
        <v>0</v>
      </c>
      <c r="P18" s="256">
        <f>+'NET P&amp;L'!A20</f>
        <v>37148</v>
      </c>
      <c r="Q18" s="257">
        <f>+('NET P&amp;L'!E20+'NET P&amp;L'!J20)/16</f>
        <v>-198.99775695800781</v>
      </c>
      <c r="R18" s="258">
        <f>+'NET P&amp;L'!O20</f>
        <v>4234.6722680664006</v>
      </c>
      <c r="S18" s="259">
        <f>+'NET P&amp;L'!T20</f>
        <v>0</v>
      </c>
      <c r="U18" s="256">
        <f>+'NET P&amp;L'!A20</f>
        <v>37148</v>
      </c>
      <c r="V18" s="257">
        <f>+('NET P&amp;L'!F20+'NET P&amp;L'!K20)/16</f>
        <v>-3.1249999875131163E-13</v>
      </c>
      <c r="W18" s="258">
        <f>+'NET P&amp;L'!P20</f>
        <v>2.0250018992571248E-11</v>
      </c>
      <c r="X18" s="259">
        <f>+'NET P&amp;L'!U20</f>
        <v>0</v>
      </c>
    </row>
    <row r="19" spans="1:24" x14ac:dyDescent="0.2">
      <c r="A19" s="256">
        <f>+'NET P&amp;L'!A21</f>
        <v>37149</v>
      </c>
      <c r="B19" s="257">
        <f>+('NET P&amp;L'!B21+'NET P&amp;L'!G21)/16</f>
        <v>0</v>
      </c>
      <c r="C19" s="258">
        <f>+'NET P&amp;L'!L21</f>
        <v>0</v>
      </c>
      <c r="D19" s="259">
        <f>+'NET P&amp;L'!Q21</f>
        <v>0</v>
      </c>
      <c r="F19" s="256">
        <f>+'NET P&amp;L'!A21</f>
        <v>37149</v>
      </c>
      <c r="G19" s="257">
        <f>+('NET P&amp;L'!C21+'NET P&amp;L'!H21)/16</f>
        <v>0</v>
      </c>
      <c r="H19" s="258">
        <f>+'NET P&amp;L'!M21</f>
        <v>0</v>
      </c>
      <c r="I19" s="259">
        <f>+'NET P&amp;L'!R21</f>
        <v>0</v>
      </c>
      <c r="K19" s="256">
        <f>+'NET P&amp;L'!A21</f>
        <v>37149</v>
      </c>
      <c r="L19" s="257">
        <f>+('NET P&amp;L'!D21+'NET P&amp;L'!I21)/16</f>
        <v>0</v>
      </c>
      <c r="M19" s="258">
        <f>+'NET P&amp;L'!N21</f>
        <v>0</v>
      </c>
      <c r="N19" s="259">
        <f>+'NET P&amp;L'!S21</f>
        <v>0</v>
      </c>
      <c r="P19" s="256">
        <f>+'NET P&amp;L'!A21</f>
        <v>37149</v>
      </c>
      <c r="Q19" s="257">
        <f>+('NET P&amp;L'!E21+'NET P&amp;L'!J21)/16</f>
        <v>0</v>
      </c>
      <c r="R19" s="258">
        <f>+'NET P&amp;L'!O21</f>
        <v>0</v>
      </c>
      <c r="S19" s="259">
        <f>+'NET P&amp;L'!T21</f>
        <v>0</v>
      </c>
      <c r="U19" s="256">
        <f>+'NET P&amp;L'!A21</f>
        <v>37149</v>
      </c>
      <c r="V19" s="257">
        <f>+('NET P&amp;L'!F21+'NET P&amp;L'!K21)/16</f>
        <v>0</v>
      </c>
      <c r="W19" s="258">
        <f>+'NET P&amp;L'!P21</f>
        <v>0</v>
      </c>
      <c r="X19" s="259">
        <f>+'NET P&amp;L'!U21</f>
        <v>0</v>
      </c>
    </row>
    <row r="20" spans="1:24" x14ac:dyDescent="0.2">
      <c r="A20" s="256">
        <f>+'NET P&amp;L'!A22</f>
        <v>37150</v>
      </c>
      <c r="B20" s="257">
        <f>+('NET P&amp;L'!B22+'NET P&amp;L'!G22)/16</f>
        <v>0</v>
      </c>
      <c r="C20" s="258">
        <f>+'NET P&amp;L'!L22</f>
        <v>0</v>
      </c>
      <c r="D20" s="259">
        <f>+'NET P&amp;L'!Q22</f>
        <v>0</v>
      </c>
      <c r="F20" s="256">
        <f>+'NET P&amp;L'!A22</f>
        <v>37150</v>
      </c>
      <c r="G20" s="257">
        <f>+('NET P&amp;L'!C22+'NET P&amp;L'!H22)/16</f>
        <v>0</v>
      </c>
      <c r="H20" s="258">
        <f>+'NET P&amp;L'!M22</f>
        <v>0</v>
      </c>
      <c r="I20" s="259">
        <f>+'NET P&amp;L'!R22</f>
        <v>0</v>
      </c>
      <c r="K20" s="256">
        <f>+'NET P&amp;L'!A22</f>
        <v>37150</v>
      </c>
      <c r="L20" s="257">
        <f>+('NET P&amp;L'!D22+'NET P&amp;L'!I22)/16</f>
        <v>0</v>
      </c>
      <c r="M20" s="258">
        <f>+'NET P&amp;L'!N22</f>
        <v>0</v>
      </c>
      <c r="N20" s="259">
        <f>+'NET P&amp;L'!S22</f>
        <v>0</v>
      </c>
      <c r="P20" s="256">
        <f>+'NET P&amp;L'!A22</f>
        <v>37150</v>
      </c>
      <c r="Q20" s="257">
        <f>+('NET P&amp;L'!E22+'NET P&amp;L'!J22)/16</f>
        <v>0</v>
      </c>
      <c r="R20" s="258">
        <f>+'NET P&amp;L'!O22</f>
        <v>0</v>
      </c>
      <c r="S20" s="259">
        <f>+'NET P&amp;L'!T22</f>
        <v>0</v>
      </c>
      <c r="U20" s="256">
        <f>+'NET P&amp;L'!A22</f>
        <v>37150</v>
      </c>
      <c r="V20" s="257">
        <f>+('NET P&amp;L'!F22+'NET P&amp;L'!K22)/16</f>
        <v>0</v>
      </c>
      <c r="W20" s="258">
        <f>+'NET P&amp;L'!P22</f>
        <v>0</v>
      </c>
      <c r="X20" s="259">
        <f>+'NET P&amp;L'!U22</f>
        <v>0</v>
      </c>
    </row>
    <row r="21" spans="1:24" x14ac:dyDescent="0.2">
      <c r="A21" s="256">
        <f>+'NET P&amp;L'!A23</f>
        <v>37151</v>
      </c>
      <c r="B21" s="257">
        <f>+('NET P&amp;L'!B23+'NET P&amp;L'!G23)/16</f>
        <v>-249.10986328125</v>
      </c>
      <c r="C21" s="258">
        <f>+'NET P&amp;L'!L23</f>
        <v>-1992.87890625</v>
      </c>
      <c r="D21" s="259">
        <f>+'NET P&amp;L'!Q23</f>
        <v>0</v>
      </c>
      <c r="F21" s="256">
        <f>+'NET P&amp;L'!A23</f>
        <v>37151</v>
      </c>
      <c r="G21" s="257">
        <f>+('NET P&amp;L'!C23+'NET P&amp;L'!H23)/16</f>
        <v>1.2499999950052465E-13</v>
      </c>
      <c r="H21" s="258">
        <f>+'NET P&amp;L'!M23</f>
        <v>0</v>
      </c>
      <c r="I21" s="259">
        <f>+'NET P&amp;L'!R23</f>
        <v>0</v>
      </c>
      <c r="K21" s="256">
        <f>+'NET P&amp;L'!A23</f>
        <v>37151</v>
      </c>
      <c r="L21" s="257">
        <f>+('NET P&amp;L'!D23+'NET P&amp;L'!I23)/16</f>
        <v>74.732955932617188</v>
      </c>
      <c r="M21" s="258">
        <f>+'NET P&amp;L'!N23</f>
        <v>0</v>
      </c>
      <c r="N21" s="259">
        <f>+'NET P&amp;L'!S23</f>
        <v>0</v>
      </c>
      <c r="P21" s="256">
        <f>+'NET P&amp;L'!A23</f>
        <v>37151</v>
      </c>
      <c r="Q21" s="257">
        <f>+('NET P&amp;L'!E23+'NET P&amp;L'!J23)/16</f>
        <v>-198.99775695800781</v>
      </c>
      <c r="R21" s="258">
        <f>+'NET P&amp;L'!O23</f>
        <v>-541.27389892578663</v>
      </c>
      <c r="S21" s="259">
        <f>+'NET P&amp;L'!T23</f>
        <v>0</v>
      </c>
      <c r="U21" s="256">
        <f>+'NET P&amp;L'!A23</f>
        <v>37151</v>
      </c>
      <c r="V21" s="257">
        <f>+('NET P&amp;L'!F23+'NET P&amp;L'!K23)/16</f>
        <v>-3.1249999875131163E-13</v>
      </c>
      <c r="W21" s="258">
        <f>+'NET P&amp;L'!P23</f>
        <v>-5.4999866265827115E-12</v>
      </c>
      <c r="X21" s="259">
        <f>+'NET P&amp;L'!U23</f>
        <v>0</v>
      </c>
    </row>
    <row r="22" spans="1:24" x14ac:dyDescent="0.2">
      <c r="A22" s="256">
        <f>+'NET P&amp;L'!A24</f>
        <v>37152</v>
      </c>
      <c r="B22" s="257">
        <f>+('NET P&amp;L'!B24+'NET P&amp;L'!G24)/16</f>
        <v>-249.10986328125</v>
      </c>
      <c r="C22" s="258">
        <f>+'NET P&amp;L'!L24</f>
        <v>-1992.87890625</v>
      </c>
      <c r="D22" s="259">
        <f>+'NET P&amp;L'!Q24</f>
        <v>0</v>
      </c>
      <c r="F22" s="256">
        <f>+'NET P&amp;L'!A24</f>
        <v>37152</v>
      </c>
      <c r="G22" s="257">
        <f>+('NET P&amp;L'!C24+'NET P&amp;L'!H24)/16</f>
        <v>0</v>
      </c>
      <c r="H22" s="258">
        <f>+'NET P&amp;L'!M24</f>
        <v>0</v>
      </c>
      <c r="I22" s="259">
        <f>+'NET P&amp;L'!R24</f>
        <v>0</v>
      </c>
      <c r="K22" s="256">
        <f>+'NET P&amp;L'!A24</f>
        <v>37152</v>
      </c>
      <c r="L22" s="257">
        <f>+('NET P&amp;L'!D24+'NET P&amp;L'!I24)/16</f>
        <v>74.732955932617188</v>
      </c>
      <c r="M22" s="258">
        <f>+'NET P&amp;L'!N24</f>
        <v>0</v>
      </c>
      <c r="N22" s="259">
        <f>+'NET P&amp;L'!S24</f>
        <v>0</v>
      </c>
      <c r="P22" s="256">
        <f>+'NET P&amp;L'!A24</f>
        <v>37152</v>
      </c>
      <c r="Q22" s="257">
        <f>+('NET P&amp;L'!E24+'NET P&amp;L'!J24)/16</f>
        <v>-198.99775695800781</v>
      </c>
      <c r="R22" s="258">
        <f>+'NET P&amp;L'!O24</f>
        <v>-541.27389892578663</v>
      </c>
      <c r="S22" s="259">
        <f>+'NET P&amp;L'!T24</f>
        <v>0</v>
      </c>
      <c r="U22" s="256">
        <f>+'NET P&amp;L'!A24</f>
        <v>37152</v>
      </c>
      <c r="V22" s="257">
        <f>+('NET P&amp;L'!F24+'NET P&amp;L'!K24)/16</f>
        <v>-3.1249999875131163E-13</v>
      </c>
      <c r="W22" s="258">
        <f>+'NET P&amp;L'!P24</f>
        <v>-2.499986638570113E-12</v>
      </c>
      <c r="X22" s="259">
        <f>+'NET P&amp;L'!U24</f>
        <v>0</v>
      </c>
    </row>
    <row r="23" spans="1:24" x14ac:dyDescent="0.2">
      <c r="A23" s="256">
        <f>+'NET P&amp;L'!A25</f>
        <v>37153</v>
      </c>
      <c r="B23" s="257">
        <f>+('NET P&amp;L'!B25+'NET P&amp;L'!G25)/16</f>
        <v>-249.10986328125</v>
      </c>
      <c r="C23" s="258">
        <f>+'NET P&amp;L'!L25</f>
        <v>-1992.87890625</v>
      </c>
      <c r="D23" s="259">
        <f>+'NET P&amp;L'!Q25</f>
        <v>0</v>
      </c>
      <c r="F23" s="256">
        <f>+'NET P&amp;L'!A25</f>
        <v>37153</v>
      </c>
      <c r="G23" s="257">
        <f>+('NET P&amp;L'!C25+'NET P&amp;L'!H25)/16</f>
        <v>2.499999990010493E-13</v>
      </c>
      <c r="H23" s="258">
        <f>+'NET P&amp;L'!M25</f>
        <v>0</v>
      </c>
      <c r="I23" s="259">
        <f>+'NET P&amp;L'!R25</f>
        <v>0</v>
      </c>
      <c r="K23" s="256">
        <f>+'NET P&amp;L'!A25</f>
        <v>37153</v>
      </c>
      <c r="L23" s="257">
        <f>+('NET P&amp;L'!D25+'NET P&amp;L'!I25)/16</f>
        <v>74.732955932617188</v>
      </c>
      <c r="M23" s="258">
        <f>+'NET P&amp;L'!N25</f>
        <v>0</v>
      </c>
      <c r="N23" s="259">
        <f>+'NET P&amp;L'!S25</f>
        <v>0</v>
      </c>
      <c r="P23" s="256">
        <f>+'NET P&amp;L'!A25</f>
        <v>37153</v>
      </c>
      <c r="Q23" s="257">
        <f>+('NET P&amp;L'!E25+'NET P&amp;L'!J25)/16</f>
        <v>-198.99775695800781</v>
      </c>
      <c r="R23" s="258">
        <f>+'NET P&amp;L'!O25</f>
        <v>-541.27389892578663</v>
      </c>
      <c r="S23" s="259">
        <f>+'NET P&amp;L'!T25</f>
        <v>0</v>
      </c>
      <c r="U23" s="256">
        <f>+'NET P&amp;L'!A25</f>
        <v>37153</v>
      </c>
      <c r="V23" s="257">
        <f>+('NET P&amp;L'!F25+'NET P&amp;L'!K25)/16</f>
        <v>-7.499999970031479E-13</v>
      </c>
      <c r="W23" s="258">
        <f>+'NET P&amp;L'!P25</f>
        <v>-5.9999679325682716E-12</v>
      </c>
      <c r="X23" s="259">
        <f>+'NET P&amp;L'!U25</f>
        <v>0</v>
      </c>
    </row>
    <row r="24" spans="1:24" x14ac:dyDescent="0.2">
      <c r="A24" s="256">
        <f>+'NET P&amp;L'!A26</f>
        <v>37154</v>
      </c>
      <c r="B24" s="257">
        <f>+('NET P&amp;L'!B26+'NET P&amp;L'!G26)/16</f>
        <v>-249.10986328125</v>
      </c>
      <c r="C24" s="258">
        <f>+'NET P&amp;L'!L26</f>
        <v>-1992.87890625</v>
      </c>
      <c r="D24" s="259">
        <f>+'NET P&amp;L'!Q26</f>
        <v>0</v>
      </c>
      <c r="F24" s="256">
        <f>+'NET P&amp;L'!A26</f>
        <v>37154</v>
      </c>
      <c r="G24" s="257">
        <f>+('NET P&amp;L'!C26+'NET P&amp;L'!H26)/16</f>
        <v>2.499999990010493E-13</v>
      </c>
      <c r="H24" s="258">
        <f>+'NET P&amp;L'!M26</f>
        <v>0</v>
      </c>
      <c r="I24" s="259">
        <f>+'NET P&amp;L'!R26</f>
        <v>0</v>
      </c>
      <c r="K24" s="256">
        <f>+'NET P&amp;L'!A26</f>
        <v>37154</v>
      </c>
      <c r="L24" s="257">
        <f>+('NET P&amp;L'!D26+'NET P&amp;L'!I26)/16</f>
        <v>74.732955932617188</v>
      </c>
      <c r="M24" s="258">
        <f>+'NET P&amp;L'!N26</f>
        <v>0</v>
      </c>
      <c r="N24" s="259">
        <f>+'NET P&amp;L'!S26</f>
        <v>0</v>
      </c>
      <c r="P24" s="256">
        <f>+'NET P&amp;L'!A26</f>
        <v>37154</v>
      </c>
      <c r="Q24" s="257">
        <f>+('NET P&amp;L'!E26+'NET P&amp;L'!J26)/16</f>
        <v>-198.99775695800781</v>
      </c>
      <c r="R24" s="258">
        <f>+'NET P&amp;L'!O26</f>
        <v>-541.27389892578663</v>
      </c>
      <c r="S24" s="259">
        <f>+'NET P&amp;L'!T26</f>
        <v>0</v>
      </c>
      <c r="U24" s="256">
        <f>+'NET P&amp;L'!A26</f>
        <v>37154</v>
      </c>
      <c r="V24" s="257">
        <f>+('NET P&amp;L'!F26+'NET P&amp;L'!K26)/16</f>
        <v>-7.499999970031479E-13</v>
      </c>
      <c r="W24" s="258">
        <f>+'NET P&amp;L'!P26</f>
        <v>-5.9999679325682716E-12</v>
      </c>
      <c r="X24" s="259">
        <f>+'NET P&amp;L'!U26</f>
        <v>0</v>
      </c>
    </row>
    <row r="25" spans="1:24" x14ac:dyDescent="0.2">
      <c r="A25" s="256">
        <f>+'NET P&amp;L'!A27</f>
        <v>37155</v>
      </c>
      <c r="B25" s="257">
        <f>+('NET P&amp;L'!B27+'NET P&amp;L'!G27)/16</f>
        <v>-249.10986328125</v>
      </c>
      <c r="C25" s="258">
        <f>+'NET P&amp;L'!L27</f>
        <v>-1992.87890625</v>
      </c>
      <c r="D25" s="259">
        <f>+'NET P&amp;L'!Q27</f>
        <v>0</v>
      </c>
      <c r="F25" s="256">
        <f>+'NET P&amp;L'!A27</f>
        <v>37155</v>
      </c>
      <c r="G25" s="257">
        <f>+('NET P&amp;L'!C27+'NET P&amp;L'!H27)/16</f>
        <v>2.499999990010493E-13</v>
      </c>
      <c r="H25" s="258">
        <f>+'NET P&amp;L'!M27</f>
        <v>0</v>
      </c>
      <c r="I25" s="259">
        <f>+'NET P&amp;L'!R27</f>
        <v>0</v>
      </c>
      <c r="K25" s="256">
        <f>+'NET P&amp;L'!A27</f>
        <v>37155</v>
      </c>
      <c r="L25" s="257">
        <f>+('NET P&amp;L'!D27+'NET P&amp;L'!I27)/16</f>
        <v>74.732955932617188</v>
      </c>
      <c r="M25" s="258">
        <f>+'NET P&amp;L'!N27</f>
        <v>0</v>
      </c>
      <c r="N25" s="259">
        <f>+'NET P&amp;L'!S27</f>
        <v>0</v>
      </c>
      <c r="P25" s="256">
        <f>+'NET P&amp;L'!A27</f>
        <v>37155</v>
      </c>
      <c r="Q25" s="257">
        <f>+('NET P&amp;L'!E27+'NET P&amp;L'!J27)/16</f>
        <v>-198.99775695800781</v>
      </c>
      <c r="R25" s="258">
        <f>+'NET P&amp;L'!O27</f>
        <v>-541.27389892578663</v>
      </c>
      <c r="S25" s="259">
        <f>+'NET P&amp;L'!T27</f>
        <v>0</v>
      </c>
      <c r="U25" s="256">
        <f>+'NET P&amp;L'!A27</f>
        <v>37155</v>
      </c>
      <c r="V25" s="257">
        <f>+('NET P&amp;L'!F27+'NET P&amp;L'!K27)/16</f>
        <v>-1.2499999950052465E-13</v>
      </c>
      <c r="W25" s="258">
        <f>+'NET P&amp;L'!P27</f>
        <v>-9.9999465542804533E-13</v>
      </c>
      <c r="X25" s="259">
        <f>+'NET P&amp;L'!U27</f>
        <v>0</v>
      </c>
    </row>
    <row r="26" spans="1:24" x14ac:dyDescent="0.2">
      <c r="A26" s="256">
        <f>+'NET P&amp;L'!A28</f>
        <v>37156</v>
      </c>
      <c r="B26" s="257">
        <f>+('NET P&amp;L'!B28+'NET P&amp;L'!G28)/16</f>
        <v>0</v>
      </c>
      <c r="C26" s="258">
        <f>+'NET P&amp;L'!L28</f>
        <v>0</v>
      </c>
      <c r="D26" s="259">
        <f>+'NET P&amp;L'!Q28</f>
        <v>0</v>
      </c>
      <c r="F26" s="256">
        <f>+'NET P&amp;L'!A28</f>
        <v>37156</v>
      </c>
      <c r="G26" s="257">
        <f>+('NET P&amp;L'!C28+'NET P&amp;L'!H28)/16</f>
        <v>0</v>
      </c>
      <c r="H26" s="258">
        <f>+'NET P&amp;L'!M28</f>
        <v>0</v>
      </c>
      <c r="I26" s="259">
        <f>+'NET P&amp;L'!R28</f>
        <v>0</v>
      </c>
      <c r="K26" s="256">
        <f>+'NET P&amp;L'!A28</f>
        <v>37156</v>
      </c>
      <c r="L26" s="257">
        <f>+('NET P&amp;L'!D28+'NET P&amp;L'!I28)/16</f>
        <v>0</v>
      </c>
      <c r="M26" s="258">
        <f>+'NET P&amp;L'!N28</f>
        <v>0</v>
      </c>
      <c r="N26" s="259">
        <f>+'NET P&amp;L'!S28</f>
        <v>0</v>
      </c>
      <c r="P26" s="256">
        <f>+'NET P&amp;L'!A28</f>
        <v>37156</v>
      </c>
      <c r="Q26" s="257">
        <f>+('NET P&amp;L'!E28+'NET P&amp;L'!J28)/16</f>
        <v>0</v>
      </c>
      <c r="R26" s="258">
        <f>+'NET P&amp;L'!O28</f>
        <v>0</v>
      </c>
      <c r="S26" s="259">
        <f>+'NET P&amp;L'!T28</f>
        <v>0</v>
      </c>
      <c r="U26" s="256">
        <f>+'NET P&amp;L'!A28</f>
        <v>37156</v>
      </c>
      <c r="V26" s="257">
        <f>+('NET P&amp;L'!F28+'NET P&amp;L'!K28)/16</f>
        <v>0</v>
      </c>
      <c r="W26" s="258">
        <f>+'NET P&amp;L'!P28</f>
        <v>0</v>
      </c>
      <c r="X26" s="259">
        <f>+'NET P&amp;L'!U28</f>
        <v>0</v>
      </c>
    </row>
    <row r="27" spans="1:24" x14ac:dyDescent="0.2">
      <c r="A27" s="256">
        <f>+'NET P&amp;L'!A29</f>
        <v>37157</v>
      </c>
      <c r="B27" s="257">
        <f>+('NET P&amp;L'!B29+'NET P&amp;L'!G29)/16</f>
        <v>0</v>
      </c>
      <c r="C27" s="258">
        <f>+'NET P&amp;L'!L29</f>
        <v>0</v>
      </c>
      <c r="D27" s="259">
        <f>+'NET P&amp;L'!Q29</f>
        <v>0</v>
      </c>
      <c r="F27" s="256">
        <f>+'NET P&amp;L'!A29</f>
        <v>37157</v>
      </c>
      <c r="G27" s="257">
        <f>+('NET P&amp;L'!C29+'NET P&amp;L'!H29)/16</f>
        <v>0</v>
      </c>
      <c r="H27" s="258">
        <f>+'NET P&amp;L'!M29</f>
        <v>0</v>
      </c>
      <c r="I27" s="259">
        <f>+'NET P&amp;L'!R29</f>
        <v>0</v>
      </c>
      <c r="K27" s="256">
        <f>+'NET P&amp;L'!A29</f>
        <v>37157</v>
      </c>
      <c r="L27" s="257">
        <f>+('NET P&amp;L'!D29+'NET P&amp;L'!I29)/16</f>
        <v>0</v>
      </c>
      <c r="M27" s="258">
        <f>+'NET P&amp;L'!N29</f>
        <v>0</v>
      </c>
      <c r="N27" s="259">
        <f>+'NET P&amp;L'!S29</f>
        <v>0</v>
      </c>
      <c r="P27" s="256">
        <f>+'NET P&amp;L'!A29</f>
        <v>37157</v>
      </c>
      <c r="Q27" s="257">
        <f>+('NET P&amp;L'!E29+'NET P&amp;L'!J29)/16</f>
        <v>0</v>
      </c>
      <c r="R27" s="258">
        <f>+'NET P&amp;L'!O29</f>
        <v>0</v>
      </c>
      <c r="S27" s="259">
        <f>+'NET P&amp;L'!T29</f>
        <v>0</v>
      </c>
      <c r="U27" s="256">
        <f>+'NET P&amp;L'!A29</f>
        <v>37157</v>
      </c>
      <c r="V27" s="257">
        <f>+('NET P&amp;L'!F29+'NET P&amp;L'!K29)/16</f>
        <v>0</v>
      </c>
      <c r="W27" s="258">
        <f>+'NET P&amp;L'!P29</f>
        <v>0</v>
      </c>
      <c r="X27" s="259">
        <f>+'NET P&amp;L'!U29</f>
        <v>0</v>
      </c>
    </row>
    <row r="28" spans="1:24" x14ac:dyDescent="0.2">
      <c r="A28" s="256">
        <f>+'NET P&amp;L'!A30</f>
        <v>37158</v>
      </c>
      <c r="B28" s="257">
        <f>+('NET P&amp;L'!B30+'NET P&amp;L'!G30)/16</f>
        <v>-249.10986328125</v>
      </c>
      <c r="C28" s="258">
        <f>+'NET P&amp;L'!L30</f>
        <v>-1992.87890625</v>
      </c>
      <c r="D28" s="259">
        <f>+'NET P&amp;L'!Q30</f>
        <v>0</v>
      </c>
      <c r="F28" s="256">
        <f>+'NET P&amp;L'!A30</f>
        <v>37158</v>
      </c>
      <c r="G28" s="257">
        <f>+('NET P&amp;L'!C30+'NET P&amp;L'!H30)/16</f>
        <v>2.499999990010493E-13</v>
      </c>
      <c r="H28" s="258">
        <f>+'NET P&amp;L'!M30</f>
        <v>0</v>
      </c>
      <c r="I28" s="259">
        <f>+'NET P&amp;L'!R30</f>
        <v>0</v>
      </c>
      <c r="K28" s="256">
        <f>+'NET P&amp;L'!A30</f>
        <v>37158</v>
      </c>
      <c r="L28" s="257">
        <f>+('NET P&amp;L'!D30+'NET P&amp;L'!I30)/16</f>
        <v>74.732955932617188</v>
      </c>
      <c r="M28" s="258">
        <f>+'NET P&amp;L'!N30</f>
        <v>0</v>
      </c>
      <c r="N28" s="259">
        <f>+'NET P&amp;L'!S30</f>
        <v>0</v>
      </c>
      <c r="P28" s="256">
        <f>+'NET P&amp;L'!A30</f>
        <v>37158</v>
      </c>
      <c r="Q28" s="257">
        <f>+('NET P&amp;L'!E30+'NET P&amp;L'!J30)/16</f>
        <v>-198.99775695800781</v>
      </c>
      <c r="R28" s="258">
        <f>+'NET P&amp;L'!O30</f>
        <v>-3725.2380102539119</v>
      </c>
      <c r="S28" s="259">
        <f>+'NET P&amp;L'!T30</f>
        <v>0</v>
      </c>
      <c r="U28" s="256">
        <f>+'NET P&amp;L'!A30</f>
        <v>37158</v>
      </c>
      <c r="V28" s="257">
        <f>+('NET P&amp;L'!F30+'NET P&amp;L'!K30)/16</f>
        <v>-1.2499999950052465E-13</v>
      </c>
      <c r="W28" s="258">
        <f>+'NET P&amp;L'!P30</f>
        <v>-1.9999938884927953E-12</v>
      </c>
      <c r="X28" s="259">
        <f>+'NET P&amp;L'!U30</f>
        <v>0</v>
      </c>
    </row>
    <row r="29" spans="1:24" x14ac:dyDescent="0.2">
      <c r="A29" s="256">
        <f>+'NET P&amp;L'!A31</f>
        <v>37159</v>
      </c>
      <c r="B29" s="257">
        <f>+('NET P&amp;L'!B31+'NET P&amp;L'!G31)/16</f>
        <v>-249.10986328125</v>
      </c>
      <c r="C29" s="258">
        <f>+'NET P&amp;L'!L31</f>
        <v>-1992.87890625</v>
      </c>
      <c r="D29" s="259">
        <f>+'NET P&amp;L'!Q31</f>
        <v>0</v>
      </c>
      <c r="F29" s="256">
        <f>+'NET P&amp;L'!A31</f>
        <v>37159</v>
      </c>
      <c r="G29" s="257">
        <f>+('NET P&amp;L'!C31+'NET P&amp;L'!H31)/16</f>
        <v>2.499999990010493E-13</v>
      </c>
      <c r="H29" s="258">
        <f>+'NET P&amp;L'!M31</f>
        <v>0</v>
      </c>
      <c r="I29" s="259">
        <f>+'NET P&amp;L'!R31</f>
        <v>0</v>
      </c>
      <c r="K29" s="256">
        <f>+'NET P&amp;L'!A31</f>
        <v>37159</v>
      </c>
      <c r="L29" s="257">
        <f>+('NET P&amp;L'!D31+'NET P&amp;L'!I31)/16</f>
        <v>74.732955932617188</v>
      </c>
      <c r="M29" s="258">
        <f>+'NET P&amp;L'!N31</f>
        <v>0</v>
      </c>
      <c r="N29" s="259">
        <f>+'NET P&amp;L'!S31</f>
        <v>0</v>
      </c>
      <c r="P29" s="256">
        <f>+'NET P&amp;L'!A31</f>
        <v>37159</v>
      </c>
      <c r="Q29" s="257">
        <f>+('NET P&amp;L'!E31+'NET P&amp;L'!J31)/16</f>
        <v>-198.99775695800781</v>
      </c>
      <c r="R29" s="258">
        <f>+'NET P&amp;L'!O31</f>
        <v>-3725.2380102539119</v>
      </c>
      <c r="S29" s="259">
        <f>+'NET P&amp;L'!T31</f>
        <v>0</v>
      </c>
      <c r="U29" s="256">
        <f>+'NET P&amp;L'!A31</f>
        <v>37159</v>
      </c>
      <c r="V29" s="257">
        <f>+('NET P&amp;L'!F31+'NET P&amp;L'!K31)/16</f>
        <v>-1.2499999950052465E-13</v>
      </c>
      <c r="W29" s="258">
        <f>+'NET P&amp;L'!P31</f>
        <v>-7.9999389328775571E-13</v>
      </c>
      <c r="X29" s="259">
        <f>+'NET P&amp;L'!U31</f>
        <v>0</v>
      </c>
    </row>
    <row r="30" spans="1:24" x14ac:dyDescent="0.2">
      <c r="A30" s="256">
        <f>+'NET P&amp;L'!A32</f>
        <v>37160</v>
      </c>
      <c r="B30" s="257">
        <f>+('NET P&amp;L'!B32+'NET P&amp;L'!G32)/16</f>
        <v>-249.10986328125</v>
      </c>
      <c r="C30" s="258">
        <f>+'NET P&amp;L'!L32</f>
        <v>-1992.87890625</v>
      </c>
      <c r="D30" s="259">
        <f>+'NET P&amp;L'!Q32</f>
        <v>0</v>
      </c>
      <c r="F30" s="256">
        <f>+'NET P&amp;L'!A32</f>
        <v>37160</v>
      </c>
      <c r="G30" s="257">
        <f>+('NET P&amp;L'!C32+'NET P&amp;L'!H32)/16</f>
        <v>2.499999990010493E-13</v>
      </c>
      <c r="H30" s="258">
        <f>+'NET P&amp;L'!M32</f>
        <v>0</v>
      </c>
      <c r="I30" s="259">
        <f>+'NET P&amp;L'!R32</f>
        <v>0</v>
      </c>
      <c r="K30" s="256">
        <f>+'NET P&amp;L'!A32</f>
        <v>37160</v>
      </c>
      <c r="L30" s="257">
        <f>+('NET P&amp;L'!D32+'NET P&amp;L'!I32)/16</f>
        <v>74.732955932617188</v>
      </c>
      <c r="M30" s="258">
        <f>+'NET P&amp;L'!N32</f>
        <v>0</v>
      </c>
      <c r="N30" s="259">
        <f>+'NET P&amp;L'!S32</f>
        <v>0</v>
      </c>
      <c r="P30" s="256">
        <f>+'NET P&amp;L'!A32</f>
        <v>37160</v>
      </c>
      <c r="Q30" s="257">
        <f>+('NET P&amp;L'!E32+'NET P&amp;L'!J32)/16</f>
        <v>-198.99775695800781</v>
      </c>
      <c r="R30" s="258">
        <f>+'NET P&amp;L'!O32</f>
        <v>-3725.2380102539119</v>
      </c>
      <c r="S30" s="259">
        <f>+'NET P&amp;L'!T32</f>
        <v>0</v>
      </c>
      <c r="U30" s="256">
        <f>+'NET P&amp;L'!A32</f>
        <v>37160</v>
      </c>
      <c r="V30" s="257">
        <f>+('NET P&amp;L'!F32+'NET P&amp;L'!K32)/16</f>
        <v>-1.2499999950052465E-13</v>
      </c>
      <c r="W30" s="258">
        <f>+'NET P&amp;L'!P32</f>
        <v>-7.9999389328775571E-13</v>
      </c>
      <c r="X30" s="259">
        <f>+'NET P&amp;L'!U32</f>
        <v>0</v>
      </c>
    </row>
    <row r="31" spans="1:24" x14ac:dyDescent="0.2">
      <c r="A31" s="256">
        <f>+'NET P&amp;L'!A33</f>
        <v>37161</v>
      </c>
      <c r="B31" s="257">
        <f>+('NET P&amp;L'!B33+'NET P&amp;L'!G33)/16</f>
        <v>-249.10986328125</v>
      </c>
      <c r="C31" s="258">
        <f>+'NET P&amp;L'!L33</f>
        <v>-1992.87890625</v>
      </c>
      <c r="D31" s="259">
        <f>+'NET P&amp;L'!Q33</f>
        <v>0</v>
      </c>
      <c r="F31" s="256">
        <f>+'NET P&amp;L'!A33</f>
        <v>37161</v>
      </c>
      <c r="G31" s="257">
        <f>+('NET P&amp;L'!C33+'NET P&amp;L'!H33)/16</f>
        <v>2.499999990010493E-13</v>
      </c>
      <c r="H31" s="258">
        <f>+'NET P&amp;L'!M33</f>
        <v>0</v>
      </c>
      <c r="I31" s="259">
        <f>+'NET P&amp;L'!R33</f>
        <v>0</v>
      </c>
      <c r="K31" s="256">
        <f>+'NET P&amp;L'!A33</f>
        <v>37161</v>
      </c>
      <c r="L31" s="257">
        <f>+('NET P&amp;L'!D33+'NET P&amp;L'!I33)/16</f>
        <v>74.732955932617188</v>
      </c>
      <c r="M31" s="258">
        <f>+'NET P&amp;L'!N33</f>
        <v>0</v>
      </c>
      <c r="N31" s="259">
        <f>+'NET P&amp;L'!S33</f>
        <v>0</v>
      </c>
      <c r="P31" s="256">
        <f>+'NET P&amp;L'!A33</f>
        <v>37161</v>
      </c>
      <c r="Q31" s="257">
        <f>+('NET P&amp;L'!E33+'NET P&amp;L'!J33)/16</f>
        <v>-198.99775695800781</v>
      </c>
      <c r="R31" s="258">
        <f>+'NET P&amp;L'!O33</f>
        <v>-3725.2380102539119</v>
      </c>
      <c r="S31" s="259">
        <f>+'NET P&amp;L'!T33</f>
        <v>0</v>
      </c>
      <c r="U31" s="256">
        <f>+'NET P&amp;L'!A33</f>
        <v>37161</v>
      </c>
      <c r="V31" s="257">
        <f>+('NET P&amp;L'!F33+'NET P&amp;L'!K33)/16</f>
        <v>-1.2499999950052465E-13</v>
      </c>
      <c r="W31" s="258">
        <f>+'NET P&amp;L'!P33</f>
        <v>-7.9999389328775571E-13</v>
      </c>
      <c r="X31" s="259">
        <f>+'NET P&amp;L'!U33</f>
        <v>0</v>
      </c>
    </row>
    <row r="32" spans="1:24" x14ac:dyDescent="0.2">
      <c r="A32" s="256">
        <f>+'NET P&amp;L'!A34</f>
        <v>37162</v>
      </c>
      <c r="B32" s="257">
        <f>+('NET P&amp;L'!B34+'NET P&amp;L'!G34)/16</f>
        <v>-249.10986328125</v>
      </c>
      <c r="C32" s="258">
        <f>+'NET P&amp;L'!L34</f>
        <v>-1992.87890625</v>
      </c>
      <c r="D32" s="259">
        <f>+'NET P&amp;L'!Q34</f>
        <v>0</v>
      </c>
      <c r="F32" s="256">
        <f>+'NET P&amp;L'!A34</f>
        <v>37162</v>
      </c>
      <c r="G32" s="257">
        <f>+('NET P&amp;L'!C34+'NET P&amp;L'!H34)/16</f>
        <v>2.499999990010493E-13</v>
      </c>
      <c r="H32" s="258">
        <f>+'NET P&amp;L'!M34</f>
        <v>0</v>
      </c>
      <c r="I32" s="259">
        <f>+'NET P&amp;L'!R34</f>
        <v>0</v>
      </c>
      <c r="K32" s="256">
        <f>+'NET P&amp;L'!A34</f>
        <v>37162</v>
      </c>
      <c r="L32" s="257">
        <f>+('NET P&amp;L'!D34+'NET P&amp;L'!I34)/16</f>
        <v>74.732955932617188</v>
      </c>
      <c r="M32" s="258">
        <f>+'NET P&amp;L'!N34</f>
        <v>0</v>
      </c>
      <c r="N32" s="259">
        <f>+'NET P&amp;L'!S34</f>
        <v>0</v>
      </c>
      <c r="P32" s="256">
        <f>+'NET P&amp;L'!A34</f>
        <v>37162</v>
      </c>
      <c r="Q32" s="257">
        <f>+('NET P&amp;L'!E34+'NET P&amp;L'!J34)/16</f>
        <v>-198.99775695800781</v>
      </c>
      <c r="R32" s="258">
        <f>+'NET P&amp;L'!O34</f>
        <v>-3725.2380102539119</v>
      </c>
      <c r="S32" s="259">
        <f>+'NET P&amp;L'!T34</f>
        <v>0</v>
      </c>
      <c r="U32" s="256">
        <f>+'NET P&amp;L'!A34</f>
        <v>37162</v>
      </c>
      <c r="V32" s="257">
        <f>+('NET P&amp;L'!F34+'NET P&amp;L'!K34)/16</f>
        <v>-1.2499999950052465E-13</v>
      </c>
      <c r="W32" s="258">
        <f>+'NET P&amp;L'!P34</f>
        <v>-7.9999389328775571E-13</v>
      </c>
      <c r="X32" s="259">
        <f>+'NET P&amp;L'!U34</f>
        <v>0</v>
      </c>
    </row>
    <row r="33" spans="1:24" x14ac:dyDescent="0.2">
      <c r="A33" s="256">
        <f>+'NET P&amp;L'!A35</f>
        <v>37163</v>
      </c>
      <c r="B33" s="257">
        <f>+('NET P&amp;L'!B35+'NET P&amp;L'!G35)/16</f>
        <v>0</v>
      </c>
      <c r="C33" s="258">
        <f>+'NET P&amp;L'!L35</f>
        <v>0</v>
      </c>
      <c r="D33" s="259">
        <f>+'NET P&amp;L'!Q35</f>
        <v>0</v>
      </c>
      <c r="F33" s="256">
        <f>+'NET P&amp;L'!A35</f>
        <v>37163</v>
      </c>
      <c r="G33" s="257">
        <f>+('NET P&amp;L'!C35+'NET P&amp;L'!H35)/16</f>
        <v>0</v>
      </c>
      <c r="H33" s="258">
        <f>+'NET P&amp;L'!M35</f>
        <v>0</v>
      </c>
      <c r="I33" s="259">
        <f>+'NET P&amp;L'!R35</f>
        <v>0</v>
      </c>
      <c r="K33" s="256">
        <f>+'NET P&amp;L'!A35</f>
        <v>37163</v>
      </c>
      <c r="L33" s="257">
        <f>+('NET P&amp;L'!D35+'NET P&amp;L'!I35)/16</f>
        <v>0</v>
      </c>
      <c r="M33" s="258">
        <f>+'NET P&amp;L'!N35</f>
        <v>0</v>
      </c>
      <c r="N33" s="259">
        <f>+'NET P&amp;L'!S35</f>
        <v>0</v>
      </c>
      <c r="P33" s="256">
        <f>+'NET P&amp;L'!A35</f>
        <v>37163</v>
      </c>
      <c r="Q33" s="257">
        <f>+('NET P&amp;L'!E35+'NET P&amp;L'!J35)/16</f>
        <v>0</v>
      </c>
      <c r="R33" s="258">
        <f>+'NET P&amp;L'!O35</f>
        <v>0</v>
      </c>
      <c r="S33" s="259">
        <f>+'NET P&amp;L'!T35</f>
        <v>0</v>
      </c>
      <c r="U33" s="256">
        <f>+'NET P&amp;L'!A35</f>
        <v>37163</v>
      </c>
      <c r="V33" s="257">
        <f>+('NET P&amp;L'!F35+'NET P&amp;L'!K35)/16</f>
        <v>0</v>
      </c>
      <c r="W33" s="258">
        <f>+'NET P&amp;L'!P35</f>
        <v>0</v>
      </c>
      <c r="X33" s="259">
        <f>+'NET P&amp;L'!U35</f>
        <v>0</v>
      </c>
    </row>
    <row r="34" spans="1:24" x14ac:dyDescent="0.2">
      <c r="A34" s="256">
        <f>+'NET P&amp;L'!A36</f>
        <v>37164</v>
      </c>
      <c r="B34" s="257">
        <f>+('NET P&amp;L'!B36+'NET P&amp;L'!G36)/16</f>
        <v>0</v>
      </c>
      <c r="C34" s="258">
        <f>+'NET P&amp;L'!L36</f>
        <v>0</v>
      </c>
      <c r="D34" s="259">
        <f>+'NET P&amp;L'!Q36</f>
        <v>0</v>
      </c>
      <c r="F34" s="256">
        <f>+'NET P&amp;L'!A36</f>
        <v>37164</v>
      </c>
      <c r="G34" s="257">
        <f>+('NET P&amp;L'!C36+'NET P&amp;L'!H36)/16</f>
        <v>0</v>
      </c>
      <c r="H34" s="258">
        <f>+'NET P&amp;L'!M36</f>
        <v>0</v>
      </c>
      <c r="I34" s="259">
        <f>+'NET P&amp;L'!R36</f>
        <v>0</v>
      </c>
      <c r="K34" s="256">
        <f>+'NET P&amp;L'!A36</f>
        <v>37164</v>
      </c>
      <c r="L34" s="257">
        <f>+('NET P&amp;L'!D36+'NET P&amp;L'!I36)/16</f>
        <v>0</v>
      </c>
      <c r="M34" s="258">
        <f>+'NET P&amp;L'!N36</f>
        <v>0</v>
      </c>
      <c r="N34" s="259">
        <f>+'NET P&amp;L'!S36</f>
        <v>0</v>
      </c>
      <c r="P34" s="256">
        <f>+'NET P&amp;L'!A36</f>
        <v>37164</v>
      </c>
      <c r="Q34" s="257">
        <f>+('NET P&amp;L'!E36+'NET P&amp;L'!J36)/16</f>
        <v>0</v>
      </c>
      <c r="R34" s="258">
        <f>+'NET P&amp;L'!O36</f>
        <v>0</v>
      </c>
      <c r="S34" s="259">
        <f>+'NET P&amp;L'!T36</f>
        <v>0</v>
      </c>
      <c r="U34" s="256">
        <f>+'NET P&amp;L'!A36</f>
        <v>37164</v>
      </c>
      <c r="V34" s="257">
        <f>+('NET P&amp;L'!F36+'NET P&amp;L'!K36)/16</f>
        <v>0</v>
      </c>
      <c r="W34" s="258">
        <f>+'NET P&amp;L'!P36</f>
        <v>0</v>
      </c>
      <c r="X34" s="259">
        <f>+'NET P&amp;L'!U36</f>
        <v>0</v>
      </c>
    </row>
    <row r="35" spans="1:24" ht="12" customHeight="1" x14ac:dyDescent="0.2">
      <c r="A35" s="256">
        <f>+'NET P&amp;L'!A37</f>
        <v>37165</v>
      </c>
      <c r="B35" s="257">
        <f>+('NET P&amp;L'!B37+'NET P&amp;L'!G37)/16</f>
        <v>-4569.0625</v>
      </c>
      <c r="C35" s="258">
        <f>+'NET P&amp;L'!L37</f>
        <v>-54828.75</v>
      </c>
      <c r="D35" s="259">
        <f>+'NET P&amp;L'!Q37</f>
        <v>0</v>
      </c>
      <c r="F35" s="256">
        <f>+'NET P&amp;L'!A37</f>
        <v>37165</v>
      </c>
      <c r="G35" s="257">
        <f>+('NET P&amp;L'!C37+'NET P&amp;L'!H37)/16</f>
        <v>-1142.265625</v>
      </c>
      <c r="H35" s="258">
        <f>+'NET P&amp;L'!M37</f>
        <v>-9138.125</v>
      </c>
      <c r="I35" s="259">
        <f>+'NET P&amp;L'!R37</f>
        <v>0</v>
      </c>
      <c r="K35" s="256">
        <f>+'NET P&amp;L'!A37</f>
        <v>37165</v>
      </c>
      <c r="L35" s="257">
        <f>+('NET P&amp;L'!D37+'NET P&amp;L'!I37)/16</f>
        <v>1142.265625</v>
      </c>
      <c r="M35" s="258">
        <f>+'NET P&amp;L'!N37</f>
        <v>13707.1875</v>
      </c>
      <c r="N35" s="259">
        <f>+'NET P&amp;L'!S37</f>
        <v>0</v>
      </c>
      <c r="P35" s="256">
        <f>+'NET P&amp;L'!A37</f>
        <v>37165</v>
      </c>
      <c r="Q35" s="257">
        <f>+('NET P&amp;L'!E37+'NET P&amp;L'!J37)/16</f>
        <v>0</v>
      </c>
      <c r="R35" s="258">
        <f>+'NET P&amp;L'!O37</f>
        <v>0</v>
      </c>
      <c r="S35" s="259">
        <f>+'NET P&amp;L'!T37</f>
        <v>0</v>
      </c>
      <c r="U35" s="256">
        <f>+'NET P&amp;L'!A37</f>
        <v>37165</v>
      </c>
      <c r="V35" s="257">
        <f>+('NET P&amp;L'!F37+'NET P&amp;L'!K37)/16</f>
        <v>-1140.8641357421875</v>
      </c>
      <c r="W35" s="258">
        <f>+'NET P&amp;L'!P37</f>
        <v>-11864.980048436671</v>
      </c>
      <c r="X35" s="259">
        <f>+'NET P&amp;L'!U37</f>
        <v>0</v>
      </c>
    </row>
    <row r="36" spans="1:24" ht="13.5" thickBot="1" x14ac:dyDescent="0.25">
      <c r="A36" s="260">
        <f>+'NET P&amp;L'!A38</f>
        <v>37195</v>
      </c>
      <c r="B36" s="261">
        <f>+('NET P&amp;L'!B38+'NET P&amp;L'!G38)/16</f>
        <v>0</v>
      </c>
      <c r="C36" s="262">
        <f>+'NET P&amp;L'!L38</f>
        <v>0</v>
      </c>
      <c r="D36" s="263">
        <f>+'NET P&amp;L'!Q38</f>
        <v>0</v>
      </c>
      <c r="F36" s="260">
        <f>+'NET P&amp;L'!A38</f>
        <v>37195</v>
      </c>
      <c r="G36" s="261">
        <f>+('NET P&amp;L'!C38+'NET P&amp;L'!H38)/16</f>
        <v>0</v>
      </c>
      <c r="H36" s="262">
        <f>+'NET P&amp;L'!M38</f>
        <v>0</v>
      </c>
      <c r="I36" s="263">
        <f>+'NET P&amp;L'!R38</f>
        <v>0</v>
      </c>
      <c r="K36" s="260">
        <f>+'NET P&amp;L'!A38</f>
        <v>37195</v>
      </c>
      <c r="L36" s="261">
        <f>+('NET P&amp;L'!D38+'NET P&amp;L'!I38)/16</f>
        <v>0</v>
      </c>
      <c r="M36" s="262">
        <f>+'NET P&amp;L'!N38</f>
        <v>0</v>
      </c>
      <c r="N36" s="263">
        <f>+'NET P&amp;L'!S38</f>
        <v>0</v>
      </c>
      <c r="P36" s="260">
        <f>+'NET P&amp;L'!A38</f>
        <v>37195</v>
      </c>
      <c r="Q36" s="261">
        <f>+('NET P&amp;L'!E38+'NET P&amp;L'!J38)/16</f>
        <v>0</v>
      </c>
      <c r="R36" s="262">
        <f>+'NET P&amp;L'!O38</f>
        <v>0</v>
      </c>
      <c r="S36" s="263">
        <f>+'NET P&amp;L'!T38</f>
        <v>0</v>
      </c>
      <c r="U36" s="260">
        <f>+'NET P&amp;L'!A38</f>
        <v>37195</v>
      </c>
      <c r="V36" s="261">
        <f>+('NET P&amp;L'!F38+'NET P&amp;L'!K38)/16</f>
        <v>0</v>
      </c>
      <c r="W36" s="262">
        <f>+'NET P&amp;L'!P38</f>
        <v>0</v>
      </c>
      <c r="X36" s="263">
        <f>+'NET P&amp;L'!U38</f>
        <v>0</v>
      </c>
    </row>
    <row r="37" spans="1:24" ht="13.5" thickBot="1" x14ac:dyDescent="0.25"/>
    <row r="38" spans="1:24" ht="13.5" thickBot="1" x14ac:dyDescent="0.25">
      <c r="A38" s="318" t="s">
        <v>76</v>
      </c>
      <c r="B38" s="250"/>
      <c r="C38" s="266">
        <f>+SUM(C41:C55)</f>
        <v>156883.51388306901</v>
      </c>
      <c r="D38" s="266">
        <f>+SUM(D41:D55)</f>
        <v>-28240.000000000084</v>
      </c>
      <c r="F38" s="318" t="s">
        <v>76</v>
      </c>
      <c r="G38" s="250"/>
      <c r="H38" s="266">
        <f>+SUM(H41:H55)</f>
        <v>-105295.01123046502</v>
      </c>
      <c r="I38" s="266">
        <f>+SUM(I41:I55)</f>
        <v>-9600.0000000000218</v>
      </c>
      <c r="K38" s="318" t="s">
        <v>76</v>
      </c>
      <c r="L38" s="250"/>
      <c r="M38" s="266">
        <f>+SUM(M41:M55)</f>
        <v>24331.3740234375</v>
      </c>
      <c r="N38" s="266">
        <f>+SUM(N41:N55)</f>
        <v>0</v>
      </c>
      <c r="P38" s="112" t="s">
        <v>76</v>
      </c>
      <c r="Q38" s="250"/>
      <c r="R38" s="266">
        <f>+SUM(R41:R53)</f>
        <v>0</v>
      </c>
      <c r="S38" s="266">
        <f>+SUM(S41:S53)</f>
        <v>0</v>
      </c>
      <c r="U38" s="112" t="s">
        <v>76</v>
      </c>
      <c r="V38" s="250"/>
      <c r="W38" s="266">
        <f>+SUM(W41:W53)</f>
        <v>-191271.34448242187</v>
      </c>
      <c r="X38" s="266">
        <f>+SUM(X41:X53)</f>
        <v>42000</v>
      </c>
    </row>
    <row r="39" spans="1:24" ht="13.5" thickBot="1" x14ac:dyDescent="0.25">
      <c r="A39" s="319" t="s">
        <v>55</v>
      </c>
      <c r="B39" s="251" t="s">
        <v>71</v>
      </c>
      <c r="C39" s="251" t="s">
        <v>72</v>
      </c>
      <c r="D39" s="252" t="s">
        <v>73</v>
      </c>
      <c r="F39" s="319" t="s">
        <v>58</v>
      </c>
      <c r="G39" s="251" t="s">
        <v>71</v>
      </c>
      <c r="H39" s="251" t="s">
        <v>72</v>
      </c>
      <c r="I39" s="252" t="s">
        <v>73</v>
      </c>
      <c r="K39" s="319" t="s">
        <v>59</v>
      </c>
      <c r="L39" s="251" t="s">
        <v>71</v>
      </c>
      <c r="M39" s="251" t="s">
        <v>72</v>
      </c>
      <c r="N39" s="252" t="s">
        <v>73</v>
      </c>
      <c r="P39" s="113" t="s">
        <v>78</v>
      </c>
      <c r="Q39" s="251" t="s">
        <v>71</v>
      </c>
      <c r="R39" s="251" t="s">
        <v>72</v>
      </c>
      <c r="S39" s="252" t="s">
        <v>73</v>
      </c>
      <c r="U39" s="113" t="s">
        <v>79</v>
      </c>
      <c r="V39" s="251" t="s">
        <v>71</v>
      </c>
      <c r="W39" s="251" t="s">
        <v>72</v>
      </c>
      <c r="X39" s="252" t="s">
        <v>73</v>
      </c>
    </row>
    <row r="40" spans="1:24" x14ac:dyDescent="0.2">
      <c r="A40" s="253"/>
      <c r="B40" s="254" t="s">
        <v>74</v>
      </c>
      <c r="C40" s="254" t="s">
        <v>75</v>
      </c>
      <c r="D40" s="255" t="s">
        <v>75</v>
      </c>
      <c r="F40" s="253"/>
      <c r="G40" s="254" t="s">
        <v>74</v>
      </c>
      <c r="H40" s="254" t="s">
        <v>75</v>
      </c>
      <c r="I40" s="255" t="s">
        <v>75</v>
      </c>
      <c r="K40" s="253"/>
      <c r="L40" s="254" t="s">
        <v>74</v>
      </c>
      <c r="M40" s="254" t="s">
        <v>75</v>
      </c>
      <c r="N40" s="255" t="s">
        <v>75</v>
      </c>
      <c r="P40" s="253"/>
      <c r="Q40" s="254" t="s">
        <v>74</v>
      </c>
      <c r="R40" s="254" t="s">
        <v>75</v>
      </c>
      <c r="S40" s="255" t="s">
        <v>75</v>
      </c>
      <c r="U40" s="253"/>
      <c r="V40" s="254" t="s">
        <v>74</v>
      </c>
      <c r="W40" s="254" t="s">
        <v>75</v>
      </c>
      <c r="X40" s="255" t="s">
        <v>75</v>
      </c>
    </row>
    <row r="41" spans="1:24" x14ac:dyDescent="0.2">
      <c r="A41" s="264">
        <f>+'NET P&amp;L'!A39</f>
        <v>37196</v>
      </c>
      <c r="B41" s="257">
        <f>+('NET P&amp;L'!B39+'NET P&amp;L'!G39)/16/'NYISO A'!DR44</f>
        <v>-198.09795851934524</v>
      </c>
      <c r="C41" s="258">
        <f>+'NET P&amp;L'!L39</f>
        <v>-49920.685546875007</v>
      </c>
      <c r="D41" s="259">
        <f>+'NET P&amp;L'!Q39</f>
        <v>0</v>
      </c>
      <c r="F41" s="264">
        <f>+'NET P&amp;L'!A39</f>
        <v>37196</v>
      </c>
      <c r="G41" s="257">
        <f>+('NET P&amp;L'!C39+'NET P&amp;L'!H39)/16/'NYISO G'!DR44</f>
        <v>-49.52448962983631</v>
      </c>
      <c r="H41" s="258">
        <f>+'NET P&amp;L'!M39</f>
        <v>-8320.1142578125</v>
      </c>
      <c r="I41" s="259">
        <f>+'NET P&amp;L'!R39</f>
        <v>0</v>
      </c>
      <c r="K41" s="264">
        <f>+'NET P&amp;L'!A39</f>
        <v>37196</v>
      </c>
      <c r="L41" s="257">
        <f>+('NET P&amp;L'!D39+'NET P&amp;L'!I39)/16/'NYISO J'!DR44</f>
        <v>49.52448962983631</v>
      </c>
      <c r="M41" s="258">
        <f>+'NET P&amp;L'!N39</f>
        <v>12480.171386718752</v>
      </c>
      <c r="N41" s="259">
        <f>+'NET P&amp;L'!S39</f>
        <v>0</v>
      </c>
      <c r="P41" s="264">
        <f>+'NET P&amp;L'!A39</f>
        <v>37196</v>
      </c>
      <c r="Q41" s="257">
        <f>+('NET P&amp;L'!J39+'NET P&amp;L'!E39)/16/NEPOOL!DR44</f>
        <v>0</v>
      </c>
      <c r="R41" s="258">
        <f>+'NET P&amp;L'!O39</f>
        <v>0</v>
      </c>
      <c r="S41" s="259">
        <f>+'NET P&amp;L'!T39</f>
        <v>0</v>
      </c>
      <c r="U41" s="264">
        <f>+'NET P&amp;L'!A39</f>
        <v>37196</v>
      </c>
      <c r="V41" s="257">
        <f>+('NET P&amp;L'!F39+'NET P&amp;L'!K39)/16/PJM!DR44</f>
        <v>-49.465924944196431</v>
      </c>
      <c r="W41" s="258">
        <f>+'NET P&amp;L'!P39</f>
        <v>-24930.826171875</v>
      </c>
      <c r="X41" s="259">
        <f>+'NET P&amp;L'!U39</f>
        <v>0</v>
      </c>
    </row>
    <row r="42" spans="1:24" x14ac:dyDescent="0.2">
      <c r="A42" s="264">
        <f>+'NET P&amp;L'!A40</f>
        <v>37226</v>
      </c>
      <c r="B42" s="257">
        <f>+('NET P&amp;L'!B40+'NET P&amp;L'!G40)/16/'NYISO A'!DR45</f>
        <v>-397.52004394531252</v>
      </c>
      <c r="C42" s="258">
        <f>+'NET P&amp;L'!L40</f>
        <v>-47404.810546875</v>
      </c>
      <c r="D42" s="259">
        <f>+'NET P&amp;L'!Q40</f>
        <v>8799.9999999999545</v>
      </c>
      <c r="F42" s="264">
        <f>+'NET P&amp;L'!A40</f>
        <v>37226</v>
      </c>
      <c r="G42" s="257">
        <f>+('NET P&amp;L'!C40+'NET P&amp;L'!H40)/16/'NYISO G'!DR45</f>
        <v>-99.380010986328131</v>
      </c>
      <c r="H42" s="258">
        <f>+'NET P&amp;L'!M40</f>
        <v>-7900.8017578125</v>
      </c>
      <c r="I42" s="259">
        <f>+'NET P&amp;L'!R40</f>
        <v>-9600.0000000000218</v>
      </c>
      <c r="K42" s="264">
        <f>+'NET P&amp;L'!A40</f>
        <v>37226</v>
      </c>
      <c r="L42" s="257">
        <f>+('NET P&amp;L'!D40+'NET P&amp;L'!I40)/16/'NYISO J'!DR45</f>
        <v>49.380010986328124</v>
      </c>
      <c r="M42" s="258">
        <f>+'NET P&amp;L'!N40</f>
        <v>11851.20263671875</v>
      </c>
      <c r="N42" s="259">
        <f>+'NET P&amp;L'!S40</f>
        <v>0</v>
      </c>
      <c r="P42" s="264">
        <f>+'NET P&amp;L'!A40</f>
        <v>37226</v>
      </c>
      <c r="Q42" s="257">
        <f>+('NET P&amp;L'!J40+'NET P&amp;L'!E40)/16/NEPOOL!DR45</f>
        <v>0</v>
      </c>
      <c r="R42" s="258">
        <f>+'NET P&amp;L'!O40</f>
        <v>0</v>
      </c>
      <c r="S42" s="259">
        <f>+'NET P&amp;L'!T40</f>
        <v>0</v>
      </c>
      <c r="U42" s="264">
        <f>+'NET P&amp;L'!A40</f>
        <v>37226</v>
      </c>
      <c r="V42" s="257">
        <f>+('NET P&amp;L'!F40+'NET P&amp;L'!K40)/16/PJM!DR45</f>
        <v>-49.324179077148436</v>
      </c>
      <c r="W42" s="258">
        <f>+'NET P&amp;L'!P40</f>
        <v>27621.540283203125</v>
      </c>
      <c r="X42" s="259">
        <f>+'NET P&amp;L'!U40</f>
        <v>0</v>
      </c>
    </row>
    <row r="43" spans="1:24" x14ac:dyDescent="0.2">
      <c r="A43" s="264">
        <f>+'NET P&amp;L'!A41</f>
        <v>37257</v>
      </c>
      <c r="B43" s="257">
        <f>+('NET P&amp;L'!B41+'NET P&amp;L'!G41)/16/'NYISO A'!DR46</f>
        <v>97.722190163352266</v>
      </c>
      <c r="C43" s="258">
        <f>+'NET P&amp;L'!L41</f>
        <v>0</v>
      </c>
      <c r="D43" s="259">
        <f>+'NET P&amp;L'!Q41</f>
        <v>-7039.9999999999745</v>
      </c>
      <c r="F43" s="264">
        <f>+'NET P&amp;L'!A41</f>
        <v>37257</v>
      </c>
      <c r="G43" s="257">
        <f>+('NET P&amp;L'!C41+'NET P&amp;L'!H41)/16/'NYISO G'!DR46</f>
        <v>-1.1363636318229514E-13</v>
      </c>
      <c r="H43" s="258">
        <f>+'NET P&amp;L'!M41</f>
        <v>1.7999999928075552E-10</v>
      </c>
      <c r="I43" s="259">
        <f>+'NET P&amp;L'!R41</f>
        <v>0</v>
      </c>
      <c r="K43" s="264">
        <f>+'NET P&amp;L'!A41</f>
        <v>37257</v>
      </c>
      <c r="L43" s="257">
        <f>+('NET P&amp;L'!D41+'NET P&amp;L'!I41)/16/'NYISO J'!DR46</f>
        <v>0</v>
      </c>
      <c r="M43" s="258">
        <f>+'NET P&amp;L'!N41</f>
        <v>0</v>
      </c>
      <c r="N43" s="259">
        <f>+'NET P&amp;L'!S41</f>
        <v>0</v>
      </c>
      <c r="P43" s="264">
        <f>+'NET P&amp;L'!A41</f>
        <v>37257</v>
      </c>
      <c r="Q43" s="257">
        <f>+('NET P&amp;L'!J41+'NET P&amp;L'!E41)/16/NEPOOL!DR46</f>
        <v>0</v>
      </c>
      <c r="R43" s="258">
        <f>+'NET P&amp;L'!O41</f>
        <v>0</v>
      </c>
      <c r="S43" s="259">
        <f>+'NET P&amp;L'!T41</f>
        <v>0</v>
      </c>
      <c r="U43" s="264">
        <f>+'NET P&amp;L'!A41</f>
        <v>37257</v>
      </c>
      <c r="V43" s="257">
        <f>+('NET P&amp;L'!F41+'NET P&amp;L'!K41)/16/PJM!DR46</f>
        <v>-97.542047674005687</v>
      </c>
      <c r="W43" s="258">
        <f>+'NET P&amp;L'!P41</f>
        <v>-25967.400390625</v>
      </c>
      <c r="X43" s="259">
        <f>+'NET P&amp;L'!U41</f>
        <v>22000</v>
      </c>
    </row>
    <row r="44" spans="1:24" x14ac:dyDescent="0.2">
      <c r="A44" s="264">
        <f>+'NET P&amp;L'!A42</f>
        <v>37288</v>
      </c>
      <c r="B44" s="257">
        <f>+('NET P&amp;L'!B42+'NET P&amp;L'!G42)/16/'NYISO A'!DR47</f>
        <v>97.333996582031247</v>
      </c>
      <c r="C44" s="258">
        <f>+'NET P&amp;L'!L42</f>
        <v>0</v>
      </c>
      <c r="D44" s="259">
        <f>+'NET P&amp;L'!Q42</f>
        <v>-6399.9999999999773</v>
      </c>
      <c r="F44" s="264">
        <f>+'NET P&amp;L'!A42</f>
        <v>37288</v>
      </c>
      <c r="G44" s="257">
        <f>+('NET P&amp;L'!C42+'NET P&amp;L'!H42)/16/'NYISO G'!DR47</f>
        <v>1.2499999950052465E-13</v>
      </c>
      <c r="H44" s="258">
        <f>+'NET P&amp;L'!M42</f>
        <v>9.999999960041972E-12</v>
      </c>
      <c r="I44" s="259">
        <f>+'NET P&amp;L'!R42</f>
        <v>0</v>
      </c>
      <c r="K44" s="264">
        <f>+'NET P&amp;L'!A42</f>
        <v>37288</v>
      </c>
      <c r="L44" s="257">
        <f>+('NET P&amp;L'!D42+'NET P&amp;L'!I42)/16/'NYISO J'!DR47</f>
        <v>0</v>
      </c>
      <c r="M44" s="258">
        <f>+'NET P&amp;L'!N42</f>
        <v>0</v>
      </c>
      <c r="N44" s="259">
        <f>+'NET P&amp;L'!S42</f>
        <v>0</v>
      </c>
      <c r="P44" s="264">
        <f>+'NET P&amp;L'!A42</f>
        <v>37288</v>
      </c>
      <c r="Q44" s="257">
        <f>+('NET P&amp;L'!J42+'NET P&amp;L'!E42)/16/NEPOOL!DR47</f>
        <v>0</v>
      </c>
      <c r="R44" s="258">
        <f>+'NET P&amp;L'!O42</f>
        <v>0</v>
      </c>
      <c r="S44" s="259">
        <f>+'NET P&amp;L'!T42</f>
        <v>0</v>
      </c>
      <c r="U44" s="264">
        <f>+'NET P&amp;L'!A42</f>
        <v>37288</v>
      </c>
      <c r="V44" s="257">
        <f>+('NET P&amp;L'!F42+'NET P&amp;L'!K42)/16/PJM!DR47</f>
        <v>-97.152929687500006</v>
      </c>
      <c r="W44" s="258">
        <f>+'NET P&amp;L'!P42</f>
        <v>-23544.46875</v>
      </c>
      <c r="X44" s="259">
        <f>+'NET P&amp;L'!U42</f>
        <v>20000</v>
      </c>
    </row>
    <row r="45" spans="1:24" x14ac:dyDescent="0.2">
      <c r="A45" s="264">
        <f>+'NET P&amp;L'!A43</f>
        <v>37316</v>
      </c>
      <c r="B45" s="257">
        <f>+('NET P&amp;L'!B43+'NET P&amp;L'!G43)/16/'NYISO A'!DR48</f>
        <v>98.976527622767861</v>
      </c>
      <c r="C45" s="258">
        <f>+'NET P&amp;L'!L43</f>
        <v>4114.0283203125</v>
      </c>
      <c r="D45" s="259">
        <f>+'NET P&amp;L'!Q43</f>
        <v>18480.000000000025</v>
      </c>
      <c r="F45" s="264">
        <f>+'NET P&amp;L'!A43</f>
        <v>37316</v>
      </c>
      <c r="G45" s="257">
        <f>+('NET P&amp;L'!C43+'NET P&amp;L'!H43)/16/'NYISO G'!DR48</f>
        <v>5.952380928596412E-14</v>
      </c>
      <c r="H45" s="258">
        <f>+'NET P&amp;L'!M43</f>
        <v>1.1499999954048268E-10</v>
      </c>
      <c r="I45" s="259">
        <f>+'NET P&amp;L'!R43</f>
        <v>0</v>
      </c>
      <c r="K45" s="264">
        <f>+'NET P&amp;L'!A43</f>
        <v>37316</v>
      </c>
      <c r="L45" s="257">
        <f>+('NET P&amp;L'!D43+'NET P&amp;L'!I43)/16/'NYISO J'!DR48</f>
        <v>0</v>
      </c>
      <c r="M45" s="258">
        <f>+'NET P&amp;L'!N43</f>
        <v>0</v>
      </c>
      <c r="N45" s="259">
        <f>+'NET P&amp;L'!S43</f>
        <v>0</v>
      </c>
      <c r="P45" s="264">
        <f>+'NET P&amp;L'!A43</f>
        <v>37316</v>
      </c>
      <c r="Q45" s="257">
        <f>+('NET P&amp;L'!J43+'NET P&amp;L'!E43)/16/NEPOOL!DR48</f>
        <v>0</v>
      </c>
      <c r="R45" s="258">
        <f>+'NET P&amp;L'!O43</f>
        <v>0</v>
      </c>
      <c r="S45" s="259">
        <f>+'NET P&amp;L'!T43</f>
        <v>0</v>
      </c>
      <c r="U45" s="264">
        <f>+'NET P&amp;L'!A43</f>
        <v>37316</v>
      </c>
      <c r="V45" s="257">
        <f>+('NET P&amp;L'!F43+'NET P&amp;L'!K43)/16/PJM!DR48</f>
        <v>0</v>
      </c>
      <c r="W45" s="258">
        <f>+'NET P&amp;L'!P43</f>
        <v>0</v>
      </c>
      <c r="X45" s="259">
        <f>+'NET P&amp;L'!U43</f>
        <v>0</v>
      </c>
    </row>
    <row r="46" spans="1:24" x14ac:dyDescent="0.2">
      <c r="A46" s="264">
        <f>+'NET P&amp;L'!A44</f>
        <v>37347</v>
      </c>
      <c r="B46" s="257">
        <f>+('NET P&amp;L'!B44+'NET P&amp;L'!G44)/16/'NYISO A'!DR49</f>
        <v>98.825883345170453</v>
      </c>
      <c r="C46" s="258">
        <f>+'NET P&amp;L'!L44</f>
        <v>4296.677734375</v>
      </c>
      <c r="D46" s="259">
        <f>+'NET P&amp;L'!Q44</f>
        <v>19360.000000000025</v>
      </c>
      <c r="F46" s="264">
        <f>+'NET P&amp;L'!A44</f>
        <v>37347</v>
      </c>
      <c r="G46" s="257">
        <f>+('NET P&amp;L'!C44+'NET P&amp;L'!H44)/16/'NYISO G'!DR49</f>
        <v>1.1363636318229514E-13</v>
      </c>
      <c r="H46" s="258">
        <f>+'NET P&amp;L'!M44</f>
        <v>2.8199999887318361E-9</v>
      </c>
      <c r="I46" s="259">
        <f>+'NET P&amp;L'!R44</f>
        <v>0</v>
      </c>
      <c r="K46" s="264">
        <f>+'NET P&amp;L'!A44</f>
        <v>37347</v>
      </c>
      <c r="L46" s="257">
        <f>+('NET P&amp;L'!D44+'NET P&amp;L'!I44)/16/'NYISO J'!DR49</f>
        <v>0</v>
      </c>
      <c r="M46" s="258">
        <f>+'NET P&amp;L'!N44</f>
        <v>0</v>
      </c>
      <c r="N46" s="259">
        <f>+'NET P&amp;L'!S44</f>
        <v>0</v>
      </c>
      <c r="P46" s="264">
        <f>+'NET P&amp;L'!A44</f>
        <v>37347</v>
      </c>
      <c r="Q46" s="257">
        <f>+('NET P&amp;L'!J44+'NET P&amp;L'!E44)/16/NEPOOL!DR49</f>
        <v>0</v>
      </c>
      <c r="R46" s="258">
        <f>+'NET P&amp;L'!O44</f>
        <v>0</v>
      </c>
      <c r="S46" s="259">
        <f>+'NET P&amp;L'!T44</f>
        <v>0</v>
      </c>
      <c r="U46" s="264">
        <f>+'NET P&amp;L'!A44</f>
        <v>37347</v>
      </c>
      <c r="V46" s="257">
        <f>+('NET P&amp;L'!F44+'NET P&amp;L'!K44)/16/PJM!DR49</f>
        <v>0</v>
      </c>
      <c r="W46" s="258">
        <f>+'NET P&amp;L'!P44</f>
        <v>0</v>
      </c>
      <c r="X46" s="259">
        <f>+'NET P&amp;L'!U44</f>
        <v>0</v>
      </c>
    </row>
    <row r="47" spans="1:24" x14ac:dyDescent="0.2">
      <c r="A47" s="264">
        <f>+'NET P&amp;L'!A45</f>
        <v>37377</v>
      </c>
      <c r="B47" s="257">
        <f>+('NET P&amp;L'!B45+'NET P&amp;L'!G45)/16/'NYISO A'!DR50</f>
        <v>-5.6818182576785903E-13</v>
      </c>
      <c r="C47" s="258">
        <f>+'NET P&amp;L'!L45</f>
        <v>-1.5000000200271479E-10</v>
      </c>
      <c r="D47" s="259">
        <f>+'NET P&amp;L'!Q45</f>
        <v>0</v>
      </c>
      <c r="F47" s="264">
        <f>+'NET P&amp;L'!A45</f>
        <v>37377</v>
      </c>
      <c r="G47" s="257">
        <f>+('NET P&amp;L'!C45+'NET P&amp;L'!H45)/16/'NYISO G'!DR50</f>
        <v>48.67932683771307</v>
      </c>
      <c r="H47" s="258">
        <f>+'NET P&amp;L'!M45</f>
        <v>0</v>
      </c>
      <c r="I47" s="259">
        <f>+'NET P&amp;L'!R45</f>
        <v>0</v>
      </c>
      <c r="K47" s="264">
        <f>+'NET P&amp;L'!A45</f>
        <v>37377</v>
      </c>
      <c r="L47" s="257">
        <f>+('NET P&amp;L'!D45+'NET P&amp;L'!I45)/16/'NYISO J'!DR50</f>
        <v>0</v>
      </c>
      <c r="M47" s="258">
        <f>+'NET P&amp;L'!N45</f>
        <v>0</v>
      </c>
      <c r="N47" s="259">
        <f>+'NET P&amp;L'!S45</f>
        <v>0</v>
      </c>
      <c r="P47" s="264">
        <f>+'NET P&amp;L'!A45</f>
        <v>37377</v>
      </c>
      <c r="Q47" s="257">
        <f>+('NET P&amp;L'!J45+'NET P&amp;L'!E45)/16/NEPOOL!DR50</f>
        <v>0</v>
      </c>
      <c r="R47" s="258">
        <f>+'NET P&amp;L'!O45</f>
        <v>0</v>
      </c>
      <c r="S47" s="259">
        <f>+'NET P&amp;L'!T45</f>
        <v>0</v>
      </c>
      <c r="U47" s="264">
        <f>+'NET P&amp;L'!A45</f>
        <v>37377</v>
      </c>
      <c r="V47" s="257">
        <f>+('NET P&amp;L'!F45+'NET P&amp;L'!K45)/16/PJM!DR50</f>
        <v>-97.233675870028407</v>
      </c>
      <c r="W47" s="258">
        <f>+'NET P&amp;L'!P45</f>
        <v>-17113.126953125</v>
      </c>
      <c r="X47" s="259">
        <f>+'NET P&amp;L'!U45</f>
        <v>0</v>
      </c>
    </row>
    <row r="48" spans="1:24" x14ac:dyDescent="0.2">
      <c r="A48" s="264">
        <f>+'NET P&amp;L'!A46</f>
        <v>37408</v>
      </c>
      <c r="B48" s="257">
        <f>+('NET P&amp;L'!B46+'NET P&amp;L'!G46)/16/'NYISO A'!DR51</f>
        <v>-145.58712158203124</v>
      </c>
      <c r="C48" s="258">
        <f>+'NET P&amp;L'!L46</f>
        <v>-34940.9091796875</v>
      </c>
      <c r="D48" s="259">
        <f>+'NET P&amp;L'!Q46</f>
        <v>0</v>
      </c>
      <c r="F48" s="264">
        <f>+'NET P&amp;L'!A46</f>
        <v>37408</v>
      </c>
      <c r="G48" s="257">
        <f>+('NET P&amp;L'!C46+'NET P&amp;L'!H46)/16/'NYISO G'!DR51</f>
        <v>97.058081054687506</v>
      </c>
      <c r="H48" s="258">
        <f>+'NET P&amp;L'!M46</f>
        <v>-15529.29296875</v>
      </c>
      <c r="I48" s="259">
        <f>+'NET P&amp;L'!R46</f>
        <v>0</v>
      </c>
      <c r="K48" s="264">
        <f>+'NET P&amp;L'!A46</f>
        <v>37408</v>
      </c>
      <c r="L48" s="257">
        <f>+('NET P&amp;L'!D46+'NET P&amp;L'!I46)/16/'NYISO J'!DR51</f>
        <v>0</v>
      </c>
      <c r="M48" s="258">
        <f>+'NET P&amp;L'!N46</f>
        <v>0</v>
      </c>
      <c r="N48" s="259">
        <f>+'NET P&amp;L'!S46</f>
        <v>0</v>
      </c>
      <c r="P48" s="264">
        <f>+'NET P&amp;L'!A46</f>
        <v>37408</v>
      </c>
      <c r="Q48" s="257">
        <f>+('NET P&amp;L'!J46+'NET P&amp;L'!E46)/16/NEPOOL!DR51</f>
        <v>0</v>
      </c>
      <c r="R48" s="258">
        <f>+'NET P&amp;L'!O46</f>
        <v>0</v>
      </c>
      <c r="S48" s="259">
        <f>+'NET P&amp;L'!T46</f>
        <v>0</v>
      </c>
      <c r="U48" s="264">
        <f>+'NET P&amp;L'!A46</f>
        <v>37408</v>
      </c>
      <c r="V48" s="257">
        <f>+('NET P&amp;L'!F46+'NET P&amp;L'!K46)/16/PJM!DR51</f>
        <v>-48.46914367675781</v>
      </c>
      <c r="W48" s="258">
        <f>+'NET P&amp;L'!P46</f>
        <v>0</v>
      </c>
      <c r="X48" s="259">
        <f>+'NET P&amp;L'!U46</f>
        <v>0</v>
      </c>
    </row>
    <row r="49" spans="1:24" x14ac:dyDescent="0.2">
      <c r="A49" s="264">
        <f>+'NET P&amp;L'!A47</f>
        <v>37438</v>
      </c>
      <c r="B49" s="257">
        <f>+('NET P&amp;L'!B47+'NET P&amp;L'!G47)/16/'NYISO A'!DR52</f>
        <v>250</v>
      </c>
      <c r="C49" s="258">
        <f>+'NET P&amp;L'!L47</f>
        <v>66000</v>
      </c>
      <c r="D49" s="259">
        <f>+'NET P&amp;L'!Q47</f>
        <v>0</v>
      </c>
      <c r="F49" s="264">
        <f>+'NET P&amp;L'!A47</f>
        <v>37438</v>
      </c>
      <c r="G49" s="257">
        <f>+('NET P&amp;L'!C47+'NET P&amp;L'!H47)/16/'NYISO G'!DR52</f>
        <v>-48.378856312144883</v>
      </c>
      <c r="H49" s="258">
        <f>+'NET P&amp;L'!M47</f>
        <v>0</v>
      </c>
      <c r="I49" s="259">
        <f>+'NET P&amp;L'!R47</f>
        <v>0</v>
      </c>
      <c r="K49" s="264">
        <f>+'NET P&amp;L'!A47</f>
        <v>37438</v>
      </c>
      <c r="L49" s="257">
        <f>+('NET P&amp;L'!D47+'NET P&amp;L'!I47)/16/'NYISO J'!DR52</f>
        <v>0</v>
      </c>
      <c r="M49" s="258">
        <f>+'NET P&amp;L'!N47</f>
        <v>0</v>
      </c>
      <c r="N49" s="259">
        <f>+'NET P&amp;L'!S47</f>
        <v>0</v>
      </c>
      <c r="P49" s="264">
        <f>+'NET P&amp;L'!A47</f>
        <v>37438</v>
      </c>
      <c r="Q49" s="257">
        <f>+('NET P&amp;L'!J47+'NET P&amp;L'!E47)/16/NEPOOL!DR52</f>
        <v>0</v>
      </c>
      <c r="R49" s="258">
        <f>+'NET P&amp;L'!O47</f>
        <v>0</v>
      </c>
      <c r="S49" s="259">
        <f>+'NET P&amp;L'!T47</f>
        <v>0</v>
      </c>
      <c r="U49" s="264">
        <f>+'NET P&amp;L'!A47</f>
        <v>37438</v>
      </c>
      <c r="V49" s="257">
        <f>+('NET P&amp;L'!F47+'NET P&amp;L'!K47)/16/PJM!DR52</f>
        <v>-241.56660600142047</v>
      </c>
      <c r="W49" s="258">
        <f>+'NET P&amp;L'!P47</f>
        <v>-63773.583984375</v>
      </c>
      <c r="X49" s="259">
        <f>+'NET P&amp;L'!U47</f>
        <v>0</v>
      </c>
    </row>
    <row r="50" spans="1:24" x14ac:dyDescent="0.2">
      <c r="A50" s="264">
        <f>+'NET P&amp;L'!A48</f>
        <v>37469</v>
      </c>
      <c r="B50" s="257">
        <f>+('NET P&amp;L'!B48+'NET P&amp;L'!G48)/16/'NYISO A'!DR53</f>
        <v>250</v>
      </c>
      <c r="C50" s="258">
        <f>+'NET P&amp;L'!L48</f>
        <v>66000</v>
      </c>
      <c r="D50" s="259">
        <f>+'NET P&amp;L'!Q48</f>
        <v>0</v>
      </c>
      <c r="F50" s="264">
        <f>+'NET P&amp;L'!A48</f>
        <v>37469</v>
      </c>
      <c r="G50" s="257">
        <f>+('NET P&amp;L'!C48+'NET P&amp;L'!H48)/16/'NYISO G'!DR53</f>
        <v>-48.211231578480117</v>
      </c>
      <c r="H50" s="258">
        <f>+'NET P&amp;L'!M48</f>
        <v>0</v>
      </c>
      <c r="I50" s="259">
        <f>+'NET P&amp;L'!R48</f>
        <v>0</v>
      </c>
      <c r="K50" s="264">
        <f>+'NET P&amp;L'!A48</f>
        <v>37469</v>
      </c>
      <c r="L50" s="257">
        <f>+('NET P&amp;L'!D48+'NET P&amp;L'!I48)/16/'NYISO J'!DR53</f>
        <v>0</v>
      </c>
      <c r="M50" s="258">
        <f>+'NET P&amp;L'!N48</f>
        <v>0</v>
      </c>
      <c r="N50" s="259">
        <f>+'NET P&amp;L'!S48</f>
        <v>0</v>
      </c>
      <c r="P50" s="264">
        <f>+'NET P&amp;L'!A48</f>
        <v>37469</v>
      </c>
      <c r="Q50" s="257">
        <f>+('NET P&amp;L'!J48+'NET P&amp;L'!E48)/16/NEPOOL!DR53</f>
        <v>0</v>
      </c>
      <c r="R50" s="258">
        <f>+'NET P&amp;L'!O48</f>
        <v>0</v>
      </c>
      <c r="S50" s="259">
        <f>+'NET P&amp;L'!T48</f>
        <v>0</v>
      </c>
      <c r="U50" s="264">
        <f>+'NET P&amp;L'!A48</f>
        <v>37469</v>
      </c>
      <c r="V50" s="257">
        <f>+('NET P&amp;L'!F48+'NET P&amp;L'!K48)/16/PJM!DR53</f>
        <v>-240.770751953125</v>
      </c>
      <c r="W50" s="258">
        <f>+'NET P&amp;L'!P48</f>
        <v>-63563.478515625</v>
      </c>
      <c r="X50" s="259">
        <f>+'NET P&amp;L'!U48</f>
        <v>0</v>
      </c>
    </row>
    <row r="51" spans="1:24" x14ac:dyDescent="0.2">
      <c r="A51" s="264">
        <f>+'NET P&amp;L'!A49</f>
        <v>37500</v>
      </c>
      <c r="B51" s="257">
        <f>+('NET P&amp;L'!B49+'NET P&amp;L'!G49)/16/'NYISO A'!DR54</f>
        <v>48.064633178710935</v>
      </c>
      <c r="C51" s="258">
        <f>+'NET P&amp;L'!L49</f>
        <v>11535.511962890623</v>
      </c>
      <c r="D51" s="259">
        <f>+'NET P&amp;L'!Q49</f>
        <v>0</v>
      </c>
      <c r="F51" s="264">
        <f>+'NET P&amp;L'!A49</f>
        <v>37500</v>
      </c>
      <c r="G51" s="257">
        <f>+('NET P&amp;L'!C49+'NET P&amp;L'!H49)/16/'NYISO G'!DR54</f>
        <v>6.2499999750262325E-14</v>
      </c>
      <c r="H51" s="258">
        <f>+'NET P&amp;L'!M49</f>
        <v>6.0499999758253931E-10</v>
      </c>
      <c r="I51" s="259">
        <f>+'NET P&amp;L'!R49</f>
        <v>0</v>
      </c>
      <c r="K51" s="264">
        <f>+'NET P&amp;L'!A49</f>
        <v>37500</v>
      </c>
      <c r="L51" s="257">
        <f>+('NET P&amp;L'!D49+'NET P&amp;L'!I49)/16/'NYISO J'!DR54</f>
        <v>0</v>
      </c>
      <c r="M51" s="258">
        <f>+'NET P&amp;L'!N49</f>
        <v>0</v>
      </c>
      <c r="N51" s="259">
        <f>+'NET P&amp;L'!S49</f>
        <v>0</v>
      </c>
      <c r="P51" s="264">
        <f>+'NET P&amp;L'!A49</f>
        <v>37500</v>
      </c>
      <c r="Q51" s="257">
        <f>+('NET P&amp;L'!J49+'NET P&amp;L'!E49)/16/NEPOOL!DR54</f>
        <v>0</v>
      </c>
      <c r="R51" s="258">
        <f>+'NET P&amp;L'!O49</f>
        <v>0</v>
      </c>
      <c r="S51" s="259">
        <f>+'NET P&amp;L'!T49</f>
        <v>0</v>
      </c>
      <c r="U51" s="264">
        <f>+'NET P&amp;L'!A49</f>
        <v>37500</v>
      </c>
      <c r="V51" s="257">
        <f>+('NET P&amp;L'!F49+'NET P&amp;L'!K49)/16/PJM!DR54</f>
        <v>0</v>
      </c>
      <c r="W51" s="258">
        <f>+'NET P&amp;L'!P49</f>
        <v>0</v>
      </c>
      <c r="X51" s="259">
        <f>+'NET P&amp;L'!U49</f>
        <v>0</v>
      </c>
    </row>
    <row r="52" spans="1:24" x14ac:dyDescent="0.2">
      <c r="A52" s="264">
        <f>+'NET P&amp;L'!A50</f>
        <v>37530</v>
      </c>
      <c r="B52" s="257">
        <f>+('NET P&amp;L'!B50+'NET P&amp;L'!G50)/16/'NYISO A'!DR55</f>
        <v>-56.309634001358695</v>
      </c>
      <c r="C52" s="258">
        <f>+'NET P&amp;L'!L50</f>
        <v>58165.981184512384</v>
      </c>
      <c r="D52" s="259">
        <f>+'NET P&amp;L'!Q50</f>
        <v>-22080.000000000051</v>
      </c>
      <c r="F52" s="264">
        <f>+'NET P&amp;L'!A50</f>
        <v>37530</v>
      </c>
      <c r="G52" s="257">
        <f>+('NET P&amp;L'!C50+'NET P&amp;L'!H50)/16/'NYISO G'!DR55</f>
        <v>-47.896786897078805</v>
      </c>
      <c r="H52" s="258">
        <f>+'NET P&amp;L'!M50</f>
        <v>-26439.0263671875</v>
      </c>
      <c r="I52" s="259">
        <f>+'NET P&amp;L'!R50</f>
        <v>0</v>
      </c>
      <c r="K52" s="264">
        <f>+'NET P&amp;L'!A50</f>
        <v>37530</v>
      </c>
      <c r="L52" s="257">
        <f>+('NET P&amp;L'!D50+'NET P&amp;L'!I50)/16/'NYISO J'!DR55</f>
        <v>0</v>
      </c>
      <c r="M52" s="258">
        <f>+'NET P&amp;L'!N50</f>
        <v>0</v>
      </c>
      <c r="N52" s="259">
        <f>+'NET P&amp;L'!S50</f>
        <v>0</v>
      </c>
      <c r="P52" s="264">
        <f>+'NET P&amp;L'!A50</f>
        <v>37530</v>
      </c>
      <c r="Q52" s="257">
        <f>+('NET P&amp;L'!J50+'NET P&amp;L'!E50)/16/NEPOOL!DR55</f>
        <v>0</v>
      </c>
      <c r="R52" s="258">
        <f>+'NET P&amp;L'!O50</f>
        <v>0</v>
      </c>
      <c r="S52" s="259">
        <f>+'NET P&amp;L'!T50</f>
        <v>0</v>
      </c>
      <c r="U52" s="264">
        <f>+'NET P&amp;L'!A50</f>
        <v>37530</v>
      </c>
      <c r="V52" s="257">
        <f>+('NET P&amp;L'!F50+'NET P&amp;L'!K50)/16/PJM!DR55</f>
        <v>0</v>
      </c>
      <c r="W52" s="258">
        <f>+'NET P&amp;L'!P50</f>
        <v>0</v>
      </c>
      <c r="X52" s="259">
        <f>+'NET P&amp;L'!U50</f>
        <v>0</v>
      </c>
    </row>
    <row r="53" spans="1:24" x14ac:dyDescent="0.2">
      <c r="A53" s="264">
        <f>+'NET P&amp;L'!A51</f>
        <v>37561</v>
      </c>
      <c r="B53" s="257">
        <f>+('NET P&amp;L'!B51+'NET P&amp;L'!G51)/16/'NYISO A'!DR56</f>
        <v>-56.788903808593751</v>
      </c>
      <c r="C53" s="258">
        <f>+'NET P&amp;L'!L51</f>
        <v>50410.410750314593</v>
      </c>
      <c r="D53" s="259">
        <f>+'NET P&amp;L'!Q51</f>
        <v>-19200.000000000044</v>
      </c>
      <c r="F53" s="264">
        <f>+'NET P&amp;L'!A51</f>
        <v>37561</v>
      </c>
      <c r="G53" s="257">
        <f>+('NET P&amp;L'!C51+'NET P&amp;L'!H51)/16/'NYISO G'!DR56</f>
        <v>-47.73703308105469</v>
      </c>
      <c r="H53" s="258">
        <f>+'NET P&amp;L'!M51</f>
        <v>-22913.775878906254</v>
      </c>
      <c r="I53" s="259">
        <f>+'NET P&amp;L'!R51</f>
        <v>0</v>
      </c>
      <c r="K53" s="264">
        <f>+'NET P&amp;L'!A51</f>
        <v>37561</v>
      </c>
      <c r="L53" s="257">
        <f>+('NET P&amp;L'!D51+'NET P&amp;L'!I51)/16/'NYISO J'!DR56</f>
        <v>0</v>
      </c>
      <c r="M53" s="258">
        <f>+'NET P&amp;L'!N51</f>
        <v>0</v>
      </c>
      <c r="N53" s="259">
        <f>+'NET P&amp;L'!S51</f>
        <v>0</v>
      </c>
      <c r="P53" s="264">
        <f>+'NET P&amp;L'!A51</f>
        <v>37561</v>
      </c>
      <c r="Q53" s="257">
        <f>+('NET P&amp;L'!J51+'NET P&amp;L'!E51)/16/NEPOOL!DR56</f>
        <v>0</v>
      </c>
      <c r="R53" s="258">
        <f>+'NET P&amp;L'!O51</f>
        <v>0</v>
      </c>
      <c r="S53" s="259">
        <f>+'NET P&amp;L'!T51</f>
        <v>0</v>
      </c>
      <c r="U53" s="264">
        <f>+'NET P&amp;L'!A51</f>
        <v>37561</v>
      </c>
      <c r="V53" s="257">
        <f>+('NET P&amp;L'!F51+'NET P&amp;L'!K51)/16/PJM!DR56</f>
        <v>0</v>
      </c>
      <c r="W53" s="258">
        <f>+'NET P&amp;L'!P51</f>
        <v>0</v>
      </c>
      <c r="X53" s="259">
        <f>+'NET P&amp;L'!U51</f>
        <v>0</v>
      </c>
    </row>
    <row r="54" spans="1:24" x14ac:dyDescent="0.2">
      <c r="A54" s="264">
        <f>+'NET P&amp;L'!A52</f>
        <v>37591</v>
      </c>
      <c r="B54" s="257">
        <f>+('NET P&amp;L'!B52+'NET P&amp;L'!G52)/16/'NYISO A'!DR57</f>
        <v>-58</v>
      </c>
      <c r="C54" s="258">
        <f>+'NET P&amp;L'!L52</f>
        <v>52483.309204101563</v>
      </c>
      <c r="D54" s="259">
        <f>+'NET P&amp;L'!Q52</f>
        <v>-20160.000000000047</v>
      </c>
      <c r="F54" s="264">
        <f>+'NET P&amp;L'!A52</f>
        <v>37591</v>
      </c>
      <c r="G54" s="257">
        <f>+('NET P&amp;L'!C52+'NET P&amp;L'!H52)/16/'NYISO G'!DR57</f>
        <v>-48</v>
      </c>
      <c r="H54" s="258">
        <f>+'NET P&amp;L'!M52</f>
        <v>-24192</v>
      </c>
      <c r="I54" s="259">
        <f>+'NET P&amp;L'!R52</f>
        <v>0</v>
      </c>
      <c r="K54" s="264">
        <f>+'NET P&amp;L'!A52</f>
        <v>37591</v>
      </c>
      <c r="L54" s="257">
        <f>+('NET P&amp;L'!D52+'NET P&amp;L'!I52)/16/'NYISO J'!DR57</f>
        <v>0</v>
      </c>
      <c r="M54" s="258">
        <f>+'NET P&amp;L'!N52</f>
        <v>0</v>
      </c>
      <c r="N54" s="259">
        <f>+'NET P&amp;L'!S52</f>
        <v>0</v>
      </c>
      <c r="P54" s="264">
        <f>+'NET P&amp;L'!A52</f>
        <v>37591</v>
      </c>
      <c r="Q54" s="257">
        <f>+('NET P&amp;L'!J52+'NET P&amp;L'!E52)/16/NEPOOL!DR57</f>
        <v>0</v>
      </c>
      <c r="R54" s="258">
        <f>+'NET P&amp;L'!O52</f>
        <v>0</v>
      </c>
      <c r="S54" s="259">
        <f>+'NET P&amp;L'!T52</f>
        <v>0</v>
      </c>
      <c r="U54" s="264">
        <f>+'NET P&amp;L'!A52</f>
        <v>37591</v>
      </c>
      <c r="V54" s="257">
        <f>+('NET P&amp;L'!F52+'NET P&amp;L'!K52)/16/PJM!DR57</f>
        <v>0</v>
      </c>
      <c r="W54" s="258">
        <f>+'NET P&amp;L'!P52</f>
        <v>0</v>
      </c>
      <c r="X54" s="259">
        <f>+'NET P&amp;L'!U52</f>
        <v>0</v>
      </c>
    </row>
    <row r="55" spans="1:24" ht="13.5" thickBot="1" x14ac:dyDescent="0.25">
      <c r="A55" s="265">
        <f>+'NET P&amp;L'!A53</f>
        <v>37622</v>
      </c>
      <c r="B55" s="261">
        <f>+('NET P&amp;L'!B53+'NET P&amp;L'!G53)/16/'NYISO A'!DR58</f>
        <v>142</v>
      </c>
      <c r="C55" s="262">
        <f>+'NET P&amp;L'!L53</f>
        <v>-23856</v>
      </c>
      <c r="D55" s="263">
        <f>+'NET P&amp;L'!Q53</f>
        <v>0</v>
      </c>
      <c r="F55" s="265">
        <f>+'NET P&amp;L'!A53</f>
        <v>37622</v>
      </c>
      <c r="G55" s="261">
        <f>+('NET P&amp;L'!C53+'NET P&amp;L'!H53)/16/'NYISO G'!DR58</f>
        <v>0</v>
      </c>
      <c r="H55" s="262">
        <f>+'NET P&amp;L'!M53</f>
        <v>0</v>
      </c>
      <c r="I55" s="263">
        <f>+'NET P&amp;L'!R53</f>
        <v>0</v>
      </c>
      <c r="K55" s="265">
        <f>+'NET P&amp;L'!A53</f>
        <v>37622</v>
      </c>
      <c r="L55" s="261">
        <f>+('NET P&amp;L'!D53+'NET P&amp;L'!I53)/16/'NYISO J'!DR58</f>
        <v>0</v>
      </c>
      <c r="M55" s="262">
        <f>+'NET P&amp;L'!N53</f>
        <v>0</v>
      </c>
      <c r="N55" s="263">
        <f>+'NET P&amp;L'!S53</f>
        <v>0</v>
      </c>
      <c r="P55" s="265">
        <f>+'NET P&amp;L'!A53</f>
        <v>37622</v>
      </c>
      <c r="Q55" s="261">
        <f>+('NET P&amp;L'!J53+'NET P&amp;L'!E53)/16/NEPOOL!DR58</f>
        <v>0</v>
      </c>
      <c r="R55" s="262">
        <f>+'NET P&amp;L'!O53</f>
        <v>0</v>
      </c>
      <c r="S55" s="263">
        <f>+'NET P&amp;L'!T53</f>
        <v>0</v>
      </c>
      <c r="U55" s="265">
        <f>+'NET P&amp;L'!A53</f>
        <v>37622</v>
      </c>
      <c r="V55" s="261">
        <f>+('NET P&amp;L'!F53+'NET P&amp;L'!K53)/16/PJM!DR58</f>
        <v>0</v>
      </c>
      <c r="W55" s="262">
        <f>+'NET P&amp;L'!P53</f>
        <v>0</v>
      </c>
      <c r="X55" s="263">
        <f>+'NET P&amp;L'!U53</f>
        <v>0</v>
      </c>
    </row>
    <row r="56" spans="1:24" x14ac:dyDescent="0.2">
      <c r="A56"/>
      <c r="B56"/>
      <c r="C56"/>
      <c r="D56"/>
    </row>
  </sheetData>
  <phoneticPr fontId="0" type="noConversion"/>
  <pageMargins left="1.84" right="0.74" top="1" bottom="1" header="0.5" footer="0.5"/>
  <pageSetup scale="4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42"/>
  <sheetViews>
    <sheetView zoomScale="85" workbookViewId="0">
      <selection activeCell="C13" sqref="C13"/>
    </sheetView>
  </sheetViews>
  <sheetFormatPr defaultRowHeight="12.75" x14ac:dyDescent="0.2"/>
  <cols>
    <col min="2" max="2" width="10.140625" customWidth="1"/>
    <col min="3" max="3" width="8" customWidth="1"/>
    <col min="4" max="4" width="12.28515625" bestFit="1" customWidth="1"/>
    <col min="5" max="5" width="8.7109375" customWidth="1"/>
    <col min="6" max="6" width="12.42578125" bestFit="1" customWidth="1"/>
    <col min="7" max="7" width="11.28515625" customWidth="1"/>
    <col min="8" max="8" width="11.85546875" bestFit="1" customWidth="1"/>
    <col min="9" max="9" width="11.28515625" customWidth="1"/>
    <col min="10" max="23" width="8.7109375" customWidth="1"/>
    <col min="24" max="24" width="8.140625" customWidth="1"/>
  </cols>
  <sheetData>
    <row r="1" spans="1:34" ht="18.75" thickBot="1" x14ac:dyDescent="0.3">
      <c r="E1" s="431" t="s">
        <v>118</v>
      </c>
    </row>
    <row r="2" spans="1:34" ht="21" thickBot="1" x14ac:dyDescent="0.35">
      <c r="D2" s="507" t="s">
        <v>93</v>
      </c>
      <c r="E2" s="508"/>
      <c r="F2" s="509" t="s">
        <v>94</v>
      </c>
      <c r="G2" s="510"/>
      <c r="H2" s="511" t="s">
        <v>95</v>
      </c>
      <c r="I2" s="512"/>
      <c r="J2" s="457" t="s">
        <v>96</v>
      </c>
      <c r="K2" s="458" t="s">
        <v>97</v>
      </c>
      <c r="L2" s="458" t="s">
        <v>98</v>
      </c>
      <c r="M2" s="459" t="s">
        <v>119</v>
      </c>
      <c r="N2" s="432" t="s">
        <v>99</v>
      </c>
    </row>
    <row r="3" spans="1:34" ht="13.5" thickBot="1" x14ac:dyDescent="0.25">
      <c r="A3">
        <v>1</v>
      </c>
      <c r="B3" s="460" t="s">
        <v>100</v>
      </c>
      <c r="C3" s="461">
        <v>22</v>
      </c>
      <c r="D3" s="462">
        <f>+'EOL LINKS'!$B$3</f>
        <v>38.25</v>
      </c>
      <c r="E3" s="462">
        <f>+'EOL LINKS'!$C$3</f>
        <v>39.25</v>
      </c>
      <c r="F3" s="462">
        <v>46.25</v>
      </c>
      <c r="G3" s="462">
        <f>+'EOL LINKS'!$C$19</f>
        <v>51.5</v>
      </c>
      <c r="H3" s="462">
        <v>57</v>
      </c>
      <c r="I3" s="464">
        <v>57</v>
      </c>
      <c r="J3" s="438">
        <f t="shared" ref="J3:J21" si="0">+(AVERAGE(D3,E3)-AVERAGE(F3,G3))*-1</f>
        <v>10.125</v>
      </c>
      <c r="K3" s="438">
        <f t="shared" ref="K3:K21" si="1">+AVERAGE(I3,H3)-AVERAGE(E3,D3)</f>
        <v>18.25</v>
      </c>
      <c r="L3" s="438">
        <f t="shared" ref="L3:L21" si="2">+K3-J3</f>
        <v>8.125</v>
      </c>
      <c r="M3" s="465" t="e">
        <f>+AVERAGE(D3:E3)-AVERAGE(#REF!)</f>
        <v>#REF!</v>
      </c>
      <c r="N3" s="466">
        <v>22</v>
      </c>
    </row>
    <row r="4" spans="1:34" ht="13.5" thickBot="1" x14ac:dyDescent="0.25">
      <c r="A4">
        <v>2</v>
      </c>
      <c r="B4" s="439" t="s">
        <v>101</v>
      </c>
      <c r="C4" s="440">
        <v>20</v>
      </c>
      <c r="D4" s="462">
        <f>+'EOL LINKS'!$B$3</f>
        <v>38.25</v>
      </c>
      <c r="E4" s="462">
        <f>+'EOL LINKS'!$C$3</f>
        <v>39.25</v>
      </c>
      <c r="F4" s="462">
        <v>46.25</v>
      </c>
      <c r="G4" s="462">
        <f>+'EOL LINKS'!$C$19</f>
        <v>51.5</v>
      </c>
      <c r="H4" s="453">
        <v>57</v>
      </c>
      <c r="I4" s="467">
        <v>57</v>
      </c>
      <c r="J4" s="468">
        <f t="shared" si="0"/>
        <v>10.125</v>
      </c>
      <c r="K4" s="468">
        <f t="shared" si="1"/>
        <v>18.25</v>
      </c>
      <c r="L4" s="468">
        <f t="shared" si="2"/>
        <v>8.125</v>
      </c>
      <c r="M4" s="465" t="e">
        <f>+AVERAGE(D4:E4)-AVERAGE(#REF!)</f>
        <v>#REF!</v>
      </c>
      <c r="N4" s="469">
        <v>20</v>
      </c>
    </row>
    <row r="5" spans="1:34" ht="13.5" thickBot="1" x14ac:dyDescent="0.25">
      <c r="B5" s="441" t="s">
        <v>102</v>
      </c>
      <c r="C5" s="456">
        <f>SUM(C3,C4)</f>
        <v>42</v>
      </c>
      <c r="D5" s="442">
        <f t="shared" ref="D5:I5" si="3">SUM(D3*$C3,D4*$C4)/$C5</f>
        <v>38.25</v>
      </c>
      <c r="E5" s="443">
        <f t="shared" si="3"/>
        <v>39.25</v>
      </c>
      <c r="F5" s="442">
        <f t="shared" si="3"/>
        <v>46.25</v>
      </c>
      <c r="G5" s="443">
        <f t="shared" si="3"/>
        <v>51.5</v>
      </c>
      <c r="H5" s="442">
        <f t="shared" si="3"/>
        <v>57</v>
      </c>
      <c r="I5" s="470">
        <f t="shared" si="3"/>
        <v>57</v>
      </c>
      <c r="J5" s="444">
        <f t="shared" si="0"/>
        <v>10.125</v>
      </c>
      <c r="K5" s="444">
        <f t="shared" si="1"/>
        <v>18.25</v>
      </c>
      <c r="L5" s="444">
        <f t="shared" si="2"/>
        <v>8.125</v>
      </c>
      <c r="M5" s="471" t="e">
        <f>+AVERAGE(D5:E5)-AVERAGE(#REF!)</f>
        <v>#REF!</v>
      </c>
      <c r="N5" s="472">
        <f>SUM(N3,N4)</f>
        <v>42</v>
      </c>
    </row>
    <row r="6" spans="1:34" ht="13.5" thickBot="1" x14ac:dyDescent="0.25">
      <c r="A6">
        <v>3</v>
      </c>
      <c r="B6" s="445" t="s">
        <v>103</v>
      </c>
      <c r="C6" s="446">
        <v>21</v>
      </c>
      <c r="D6" s="447">
        <f>+'EOL LINKS'!B4</f>
        <v>33.65</v>
      </c>
      <c r="E6" s="447">
        <f>+'EOL LINKS'!C4</f>
        <v>34.65</v>
      </c>
      <c r="F6" s="447">
        <v>39.75</v>
      </c>
      <c r="G6" s="448">
        <v>43</v>
      </c>
      <c r="H6" s="447">
        <v>49</v>
      </c>
      <c r="I6" s="473">
        <v>49</v>
      </c>
      <c r="J6" s="438">
        <f t="shared" si="0"/>
        <v>7.2250000000000014</v>
      </c>
      <c r="K6" s="438">
        <f t="shared" si="1"/>
        <v>14.850000000000001</v>
      </c>
      <c r="L6" s="438">
        <f t="shared" si="2"/>
        <v>7.625</v>
      </c>
      <c r="M6" s="465" t="e">
        <f>+AVERAGE(D6:E6)-AVERAGE(#REF!)</f>
        <v>#REF!</v>
      </c>
      <c r="N6" s="474">
        <v>21</v>
      </c>
    </row>
    <row r="7" spans="1:34" ht="13.5" thickBot="1" x14ac:dyDescent="0.25">
      <c r="B7" s="441" t="s">
        <v>104</v>
      </c>
      <c r="C7" s="456">
        <f>SUM(C3,C4,C6)</f>
        <v>63</v>
      </c>
      <c r="D7" s="443">
        <f t="shared" ref="D7:I7" si="4">SUM(D5*$C$5,D6*$C$6)/$C$7</f>
        <v>36.716666666666669</v>
      </c>
      <c r="E7" s="443">
        <f t="shared" si="4"/>
        <v>37.716666666666669</v>
      </c>
      <c r="F7" s="443">
        <f t="shared" si="4"/>
        <v>44.083333333333336</v>
      </c>
      <c r="G7" s="443">
        <f t="shared" si="4"/>
        <v>48.666666666666664</v>
      </c>
      <c r="H7" s="443">
        <f t="shared" si="4"/>
        <v>54.333333333333336</v>
      </c>
      <c r="I7" s="470">
        <f t="shared" si="4"/>
        <v>54.333333333333336</v>
      </c>
      <c r="J7" s="444">
        <f t="shared" si="0"/>
        <v>9.1583333333333314</v>
      </c>
      <c r="K7" s="444">
        <f t="shared" si="1"/>
        <v>17.116666666666667</v>
      </c>
      <c r="L7" s="444">
        <f t="shared" si="2"/>
        <v>7.9583333333333357</v>
      </c>
      <c r="M7" s="471" t="e">
        <f>+AVERAGE(D7:E7)-AVERAGE(#REF!)</f>
        <v>#REF!</v>
      </c>
      <c r="N7" s="472">
        <f>SUM(N3,N4,N6)</f>
        <v>63</v>
      </c>
    </row>
    <row r="8" spans="1:34" x14ac:dyDescent="0.2">
      <c r="A8">
        <v>4</v>
      </c>
      <c r="B8" s="434" t="s">
        <v>105</v>
      </c>
      <c r="C8" s="435">
        <v>22</v>
      </c>
      <c r="D8" s="447">
        <f>+'EOL LINKS'!B4</f>
        <v>33.65</v>
      </c>
      <c r="E8" s="447">
        <f>+'EOL LINKS'!C4</f>
        <v>34.65</v>
      </c>
      <c r="F8" s="436">
        <v>39.75</v>
      </c>
      <c r="G8" s="437">
        <v>44</v>
      </c>
      <c r="H8" s="436">
        <v>49</v>
      </c>
      <c r="I8" s="475">
        <v>49</v>
      </c>
      <c r="J8" s="438">
        <f t="shared" si="0"/>
        <v>7.7250000000000014</v>
      </c>
      <c r="K8" s="438">
        <f t="shared" si="1"/>
        <v>14.850000000000001</v>
      </c>
      <c r="L8" s="438">
        <f t="shared" si="2"/>
        <v>7.125</v>
      </c>
      <c r="M8" s="465" t="e">
        <f>+AVERAGE(D8:E8)-AVERAGE(#REF!)</f>
        <v>#REF!</v>
      </c>
      <c r="N8" s="466">
        <v>22</v>
      </c>
    </row>
    <row r="9" spans="1:34" x14ac:dyDescent="0.2">
      <c r="A9">
        <v>5</v>
      </c>
      <c r="B9" s="449" t="s">
        <v>106</v>
      </c>
      <c r="C9" s="450">
        <v>22</v>
      </c>
      <c r="D9" s="451">
        <f>+'EOL LINKS'!B5</f>
        <v>35.4</v>
      </c>
      <c r="E9" s="451">
        <f>+'EOL LINKS'!C5</f>
        <v>36.4</v>
      </c>
      <c r="F9" s="451">
        <v>41.75</v>
      </c>
      <c r="G9" s="452">
        <v>45</v>
      </c>
      <c r="H9" s="451">
        <v>50</v>
      </c>
      <c r="I9" s="476">
        <v>50</v>
      </c>
      <c r="J9" s="438">
        <f t="shared" si="0"/>
        <v>7.4750000000000014</v>
      </c>
      <c r="K9" s="438">
        <f t="shared" si="1"/>
        <v>14.100000000000001</v>
      </c>
      <c r="L9" s="438">
        <f t="shared" si="2"/>
        <v>6.625</v>
      </c>
      <c r="M9" s="465" t="e">
        <f>+AVERAGE(D9:E9)-AVERAGE(#REF!)</f>
        <v>#REF!</v>
      </c>
      <c r="N9" s="477">
        <v>22</v>
      </c>
    </row>
    <row r="10" spans="1:34" ht="13.5" thickBot="1" x14ac:dyDescent="0.25">
      <c r="A10">
        <v>6</v>
      </c>
      <c r="B10" s="439" t="s">
        <v>107</v>
      </c>
      <c r="C10" s="440">
        <v>20</v>
      </c>
      <c r="D10" s="453">
        <f>+'EOL LINKS'!B6</f>
        <v>43.2</v>
      </c>
      <c r="E10" s="453">
        <f>+'EOL LINKS'!C6</f>
        <v>44.2</v>
      </c>
      <c r="F10" s="453">
        <v>52.25</v>
      </c>
      <c r="G10" s="454">
        <v>53</v>
      </c>
      <c r="H10" s="453">
        <v>59</v>
      </c>
      <c r="I10" s="467">
        <v>59</v>
      </c>
      <c r="J10" s="438">
        <f t="shared" si="0"/>
        <v>8.9249999999999972</v>
      </c>
      <c r="K10" s="438">
        <f t="shared" si="1"/>
        <v>15.299999999999997</v>
      </c>
      <c r="L10" s="438">
        <f t="shared" si="2"/>
        <v>6.375</v>
      </c>
      <c r="M10" s="465" t="e">
        <f>+AVERAGE(D10:E10)-AVERAGE(#REF!)</f>
        <v>#REF!</v>
      </c>
      <c r="N10" s="469">
        <v>20</v>
      </c>
    </row>
    <row r="11" spans="1:34" ht="13.5" thickBot="1" x14ac:dyDescent="0.25">
      <c r="B11" s="441" t="s">
        <v>108</v>
      </c>
      <c r="C11" s="456">
        <f>SUM(C8,C9,C10)</f>
        <v>64</v>
      </c>
      <c r="D11" s="442">
        <f t="shared" ref="D11:I11" si="5">SUM(D8*$C8,D9*$C9,D10*$C10)/$C11</f>
        <v>37.235937499999999</v>
      </c>
      <c r="E11" s="443">
        <f t="shared" si="5"/>
        <v>38.235937499999999</v>
      </c>
      <c r="F11" s="442">
        <f t="shared" si="5"/>
        <v>44.34375</v>
      </c>
      <c r="G11" s="443">
        <f t="shared" si="5"/>
        <v>47.15625</v>
      </c>
      <c r="H11" s="442">
        <f t="shared" si="5"/>
        <v>52.46875</v>
      </c>
      <c r="I11" s="470">
        <f t="shared" si="5"/>
        <v>52.46875</v>
      </c>
      <c r="J11" s="444">
        <f t="shared" si="0"/>
        <v>8.0140625000000014</v>
      </c>
      <c r="K11" s="444">
        <f t="shared" si="1"/>
        <v>14.732812500000001</v>
      </c>
      <c r="L11" s="444">
        <f t="shared" si="2"/>
        <v>6.71875</v>
      </c>
      <c r="M11" s="471" t="e">
        <f>+AVERAGE(D11:E11)-AVERAGE(#REF!)</f>
        <v>#REF!</v>
      </c>
      <c r="N11" s="472">
        <f>SUM(N8,N9,N10)</f>
        <v>64</v>
      </c>
    </row>
    <row r="12" spans="1:34" x14ac:dyDescent="0.2">
      <c r="A12">
        <v>7</v>
      </c>
      <c r="B12" s="434" t="s">
        <v>109</v>
      </c>
      <c r="C12" s="435">
        <v>22</v>
      </c>
      <c r="D12" s="436">
        <f>+'EOL LINKS'!$B$7</f>
        <v>56.75</v>
      </c>
      <c r="E12" s="436">
        <f>+'EOL LINKS'!$C$7</f>
        <v>58.25</v>
      </c>
      <c r="F12" s="436">
        <v>73.5</v>
      </c>
      <c r="G12" s="436">
        <f>+'EOL LINKS'!$C$20</f>
        <v>54</v>
      </c>
      <c r="H12" s="436">
        <v>92</v>
      </c>
      <c r="I12" s="475">
        <v>92</v>
      </c>
      <c r="J12" s="438">
        <f t="shared" si="0"/>
        <v>6.25</v>
      </c>
      <c r="K12" s="438">
        <f t="shared" si="1"/>
        <v>34.5</v>
      </c>
      <c r="L12" s="438">
        <f t="shared" si="2"/>
        <v>28.25</v>
      </c>
      <c r="M12" s="465" t="e">
        <f>+AVERAGE(D12:E12)-AVERAGE(#REF!)</f>
        <v>#REF!</v>
      </c>
      <c r="N12" s="466">
        <v>22</v>
      </c>
    </row>
    <row r="13" spans="1:34" ht="13.5" thickBot="1" x14ac:dyDescent="0.25">
      <c r="A13">
        <v>8</v>
      </c>
      <c r="B13" s="439" t="s">
        <v>110</v>
      </c>
      <c r="C13" s="440">
        <v>22</v>
      </c>
      <c r="D13" s="436">
        <f>+'EOL LINKS'!$B$7</f>
        <v>56.75</v>
      </c>
      <c r="E13" s="436">
        <f>+'EOL LINKS'!$C$7</f>
        <v>58.25</v>
      </c>
      <c r="F13" s="436">
        <v>73.5</v>
      </c>
      <c r="G13" s="436">
        <f>+'EOL LINKS'!$C$20</f>
        <v>54</v>
      </c>
      <c r="H13" s="453">
        <v>92</v>
      </c>
      <c r="I13" s="467">
        <v>92</v>
      </c>
      <c r="J13" s="438">
        <f t="shared" si="0"/>
        <v>6.25</v>
      </c>
      <c r="K13" s="438">
        <f t="shared" si="1"/>
        <v>34.5</v>
      </c>
      <c r="L13" s="438">
        <f t="shared" si="2"/>
        <v>28.25</v>
      </c>
      <c r="M13" s="465" t="e">
        <f>+AVERAGE(D13:E13)-AVERAGE(#REF!)</f>
        <v>#REF!</v>
      </c>
      <c r="N13" s="469">
        <v>22</v>
      </c>
    </row>
    <row r="14" spans="1:34" ht="13.5" thickBot="1" x14ac:dyDescent="0.25">
      <c r="B14" s="441" t="s">
        <v>111</v>
      </c>
      <c r="C14" s="456">
        <f>SUM(C12,C13)</f>
        <v>44</v>
      </c>
      <c r="D14" s="442">
        <f t="shared" ref="D14:I14" si="6">SUM(D12*$C12,D13*$C13)/$C14</f>
        <v>56.75</v>
      </c>
      <c r="E14" s="443">
        <f t="shared" si="6"/>
        <v>58.25</v>
      </c>
      <c r="F14" s="442">
        <f t="shared" si="6"/>
        <v>73.5</v>
      </c>
      <c r="G14" s="443">
        <f t="shared" si="6"/>
        <v>54</v>
      </c>
      <c r="H14" s="442">
        <f t="shared" si="6"/>
        <v>92</v>
      </c>
      <c r="I14" s="470">
        <f t="shared" si="6"/>
        <v>92</v>
      </c>
      <c r="J14" s="444">
        <f t="shared" si="0"/>
        <v>6.25</v>
      </c>
      <c r="K14" s="444">
        <f t="shared" si="1"/>
        <v>34.5</v>
      </c>
      <c r="L14" s="444">
        <f t="shared" si="2"/>
        <v>28.25</v>
      </c>
      <c r="M14" s="471" t="e">
        <f>+AVERAGE(D14:E14)-AVERAGE(#REF!)</f>
        <v>#REF!</v>
      </c>
      <c r="N14" s="472">
        <f>SUM(N12,N13)</f>
        <v>44</v>
      </c>
    </row>
    <row r="15" spans="1:34" ht="13.5" thickBot="1" x14ac:dyDescent="0.25">
      <c r="A15">
        <v>9</v>
      </c>
      <c r="B15" s="445" t="s">
        <v>112</v>
      </c>
      <c r="C15" s="446">
        <v>20</v>
      </c>
      <c r="D15" s="447">
        <f>+'EOL LINKS'!B8</f>
        <v>34.35</v>
      </c>
      <c r="E15" s="447">
        <f>+'EOL LINKS'!C8</f>
        <v>35.35</v>
      </c>
      <c r="F15" s="447">
        <v>40</v>
      </c>
      <c r="G15" s="448">
        <v>43</v>
      </c>
      <c r="H15" s="447">
        <v>48</v>
      </c>
      <c r="I15" s="473">
        <v>48</v>
      </c>
      <c r="J15" s="438">
        <f t="shared" si="0"/>
        <v>6.6499999999999986</v>
      </c>
      <c r="K15" s="438">
        <f t="shared" si="1"/>
        <v>13.149999999999999</v>
      </c>
      <c r="L15" s="438">
        <f t="shared" si="2"/>
        <v>6.5</v>
      </c>
      <c r="M15" s="465" t="e">
        <f>+AVERAGE(D15:E15)-AVERAGE(#REF!)</f>
        <v>#REF!</v>
      </c>
      <c r="N15" s="474">
        <v>20</v>
      </c>
    </row>
    <row r="16" spans="1:34" ht="13.5" thickBot="1" x14ac:dyDescent="0.25">
      <c r="B16" s="441" t="s">
        <v>113</v>
      </c>
      <c r="C16" s="456">
        <f>SUM(C14,C15)</f>
        <v>64</v>
      </c>
      <c r="D16" s="442">
        <f t="shared" ref="D16:I16" si="7">SUM(D14*$C14,D15*$C15)/$C16</f>
        <v>49.75</v>
      </c>
      <c r="E16" s="443">
        <f t="shared" si="7"/>
        <v>51.09375</v>
      </c>
      <c r="F16" s="442">
        <f t="shared" si="7"/>
        <v>63.03125</v>
      </c>
      <c r="G16" s="443">
        <f t="shared" si="7"/>
        <v>50.5625</v>
      </c>
      <c r="H16" s="442">
        <f t="shared" si="7"/>
        <v>78.25</v>
      </c>
      <c r="I16" s="470">
        <f t="shared" si="7"/>
        <v>78.25</v>
      </c>
      <c r="J16" s="444">
        <f t="shared" si="0"/>
        <v>6.375</v>
      </c>
      <c r="K16" s="444">
        <f t="shared" si="1"/>
        <v>27.828125</v>
      </c>
      <c r="L16" s="444">
        <f t="shared" si="2"/>
        <v>21.453125</v>
      </c>
      <c r="M16" s="471" t="e">
        <f>+AVERAGE(D16:E16)-AVERAGE(#REF!)</f>
        <v>#REF!</v>
      </c>
      <c r="N16" s="472">
        <f>SUM(N14,N15)</f>
        <v>64</v>
      </c>
      <c r="AH16" s="433"/>
    </row>
    <row r="17" spans="1:34" x14ac:dyDescent="0.2">
      <c r="A17">
        <v>10</v>
      </c>
      <c r="B17" s="434" t="s">
        <v>114</v>
      </c>
      <c r="C17" s="435">
        <v>23</v>
      </c>
      <c r="D17" s="436">
        <f>+'EOL LINKS'!$B$9</f>
        <v>34.15</v>
      </c>
      <c r="E17" s="436">
        <f>+'EOL LINKS'!$C$9</f>
        <v>35.15</v>
      </c>
      <c r="F17" s="436">
        <v>40.75</v>
      </c>
      <c r="G17" s="436">
        <f>+'EOL LINKS'!$C$21</f>
        <v>32.75</v>
      </c>
      <c r="H17" s="436">
        <v>28.5</v>
      </c>
      <c r="I17" s="475">
        <v>48</v>
      </c>
      <c r="J17" s="438">
        <f t="shared" si="0"/>
        <v>2.1000000000000014</v>
      </c>
      <c r="K17" s="438">
        <f t="shared" si="1"/>
        <v>3.6000000000000014</v>
      </c>
      <c r="L17" s="438">
        <f t="shared" si="2"/>
        <v>1.5</v>
      </c>
      <c r="M17" s="465" t="e">
        <f>+AVERAGE(D17:E17)-AVERAGE(#REF!)</f>
        <v>#REF!</v>
      </c>
      <c r="N17" s="466">
        <v>23</v>
      </c>
      <c r="AH17" s="433"/>
    </row>
    <row r="18" spans="1:34" x14ac:dyDescent="0.2">
      <c r="A18">
        <v>11</v>
      </c>
      <c r="B18" s="449" t="s">
        <v>115</v>
      </c>
      <c r="C18" s="450">
        <v>20</v>
      </c>
      <c r="D18" s="436">
        <f>+'EOL LINKS'!$B$9</f>
        <v>34.15</v>
      </c>
      <c r="E18" s="436">
        <f>+'EOL LINKS'!$C$9</f>
        <v>35.15</v>
      </c>
      <c r="F18" s="436">
        <v>40.75</v>
      </c>
      <c r="G18" s="436">
        <f>+'EOL LINKS'!$C$21</f>
        <v>32.75</v>
      </c>
      <c r="H18" s="451">
        <v>28.5</v>
      </c>
      <c r="I18" s="476">
        <v>48</v>
      </c>
      <c r="J18" s="438">
        <f t="shared" si="0"/>
        <v>2.1000000000000014</v>
      </c>
      <c r="K18" s="438">
        <f t="shared" si="1"/>
        <v>3.6000000000000014</v>
      </c>
      <c r="L18" s="438">
        <f t="shared" si="2"/>
        <v>1.5</v>
      </c>
      <c r="M18" s="465" t="e">
        <f>+AVERAGE(D18:E18)-AVERAGE(#REF!)</f>
        <v>#REF!</v>
      </c>
      <c r="N18" s="477">
        <v>20</v>
      </c>
      <c r="AH18" s="433"/>
    </row>
    <row r="19" spans="1:34" ht="13.5" thickBot="1" x14ac:dyDescent="0.25">
      <c r="A19">
        <v>12</v>
      </c>
      <c r="B19" s="439" t="s">
        <v>116</v>
      </c>
      <c r="C19" s="440">
        <v>21</v>
      </c>
      <c r="D19" s="436">
        <f>+'EOL LINKS'!$B$9</f>
        <v>34.15</v>
      </c>
      <c r="E19" s="436">
        <f>+'EOL LINKS'!$C$9</f>
        <v>35.15</v>
      </c>
      <c r="F19" s="436">
        <v>40.75</v>
      </c>
      <c r="G19" s="436">
        <f>+'EOL LINKS'!$C$21</f>
        <v>32.75</v>
      </c>
      <c r="H19" s="453">
        <v>31.5</v>
      </c>
      <c r="I19" s="467">
        <v>48</v>
      </c>
      <c r="J19" s="438">
        <f t="shared" si="0"/>
        <v>2.1000000000000014</v>
      </c>
      <c r="K19" s="438">
        <f t="shared" si="1"/>
        <v>5.1000000000000014</v>
      </c>
      <c r="L19" s="438">
        <f t="shared" si="2"/>
        <v>3</v>
      </c>
      <c r="M19" s="465" t="e">
        <f>+AVERAGE(D19:E19)-AVERAGE(#REF!)</f>
        <v>#REF!</v>
      </c>
      <c r="N19" s="469">
        <v>21</v>
      </c>
      <c r="AH19" s="433"/>
    </row>
    <row r="20" spans="1:34" ht="13.5" thickBot="1" x14ac:dyDescent="0.25">
      <c r="B20" s="441" t="s">
        <v>117</v>
      </c>
      <c r="C20" s="456">
        <f>SUM(C17,C18,C19)</f>
        <v>64</v>
      </c>
      <c r="D20" s="442">
        <f t="shared" ref="D20:I20" si="8">SUM(D17*$C17,D18*$C18,D19*$C19)/$C20</f>
        <v>34.15</v>
      </c>
      <c r="E20" s="455">
        <f t="shared" si="8"/>
        <v>35.15</v>
      </c>
      <c r="F20" s="442">
        <f t="shared" si="8"/>
        <v>40.75</v>
      </c>
      <c r="G20" s="455">
        <f t="shared" si="8"/>
        <v>32.75</v>
      </c>
      <c r="H20" s="442">
        <f t="shared" si="8"/>
        <v>29.484375</v>
      </c>
      <c r="I20" s="478">
        <f t="shared" si="8"/>
        <v>48</v>
      </c>
      <c r="J20" s="444">
        <f t="shared" si="0"/>
        <v>2.1000000000000014</v>
      </c>
      <c r="K20" s="444">
        <f t="shared" si="1"/>
        <v>4.0921875000000014</v>
      </c>
      <c r="L20" s="444">
        <f t="shared" si="2"/>
        <v>1.9921875</v>
      </c>
      <c r="M20" s="471" t="e">
        <f>+AVERAGE(D20:E20)-AVERAGE(#REF!)</f>
        <v>#REF!</v>
      </c>
      <c r="N20" s="472">
        <f>SUM(N17,N18,N19)</f>
        <v>64</v>
      </c>
      <c r="AH20" s="433"/>
    </row>
    <row r="21" spans="1:34" ht="13.5" thickBot="1" x14ac:dyDescent="0.25">
      <c r="B21" s="441" t="s">
        <v>120</v>
      </c>
      <c r="C21" s="456">
        <f>SUM(C7,C11,C16,C20)</f>
        <v>255</v>
      </c>
      <c r="D21" s="442">
        <f t="shared" ref="D21:I21" si="9">SUM(D7*$C7,D11*$C11,D16*$C16,D20*$C20)/$C21</f>
        <v>39.473921568627453</v>
      </c>
      <c r="E21" s="443">
        <f t="shared" si="9"/>
        <v>40.560196078431375</v>
      </c>
      <c r="F21" s="442">
        <f t="shared" si="9"/>
        <v>48.067647058823532</v>
      </c>
      <c r="G21" s="443">
        <f t="shared" si="9"/>
        <v>44.768627450980389</v>
      </c>
      <c r="H21" s="442">
        <f t="shared" si="9"/>
        <v>53.631372549019609</v>
      </c>
      <c r="I21" s="470">
        <f t="shared" si="9"/>
        <v>58.278431372549022</v>
      </c>
      <c r="J21" s="444">
        <f t="shared" si="0"/>
        <v>6.4010784313725537</v>
      </c>
      <c r="K21" s="444">
        <f t="shared" si="1"/>
        <v>15.937843137254902</v>
      </c>
      <c r="L21" s="444">
        <f t="shared" si="2"/>
        <v>9.5367647058823479</v>
      </c>
      <c r="M21" s="471" t="e">
        <f>+AVERAGE(D21:E21)-AVERAGE(#REF!)</f>
        <v>#REF!</v>
      </c>
      <c r="N21" s="472">
        <f>SUM(N7,N11,N16,N20)</f>
        <v>255</v>
      </c>
      <c r="AH21" s="433"/>
    </row>
    <row r="22" spans="1:34" ht="18.75" thickBot="1" x14ac:dyDescent="0.3">
      <c r="E22" s="431" t="s">
        <v>121</v>
      </c>
      <c r="H22" s="447"/>
      <c r="AH22" s="433"/>
    </row>
    <row r="23" spans="1:34" ht="21" thickBot="1" x14ac:dyDescent="0.35">
      <c r="D23" s="507" t="s">
        <v>93</v>
      </c>
      <c r="E23" s="508"/>
      <c r="F23" s="509" t="s">
        <v>94</v>
      </c>
      <c r="G23" s="510"/>
      <c r="H23" s="511" t="s">
        <v>95</v>
      </c>
      <c r="I23" s="512"/>
      <c r="J23" s="457" t="s">
        <v>96</v>
      </c>
      <c r="K23" s="458" t="s">
        <v>97</v>
      </c>
      <c r="L23" s="458" t="s">
        <v>98</v>
      </c>
      <c r="M23" s="459" t="s">
        <v>122</v>
      </c>
    </row>
    <row r="24" spans="1:34" x14ac:dyDescent="0.2">
      <c r="A24">
        <v>1</v>
      </c>
      <c r="B24" s="460" t="s">
        <v>100</v>
      </c>
      <c r="C24" s="461">
        <v>22</v>
      </c>
      <c r="D24" s="462">
        <v>39</v>
      </c>
      <c r="E24" s="463">
        <v>39</v>
      </c>
      <c r="F24" s="462">
        <v>47.25</v>
      </c>
      <c r="G24" s="463">
        <v>47.25</v>
      </c>
      <c r="H24" s="462">
        <v>56</v>
      </c>
      <c r="I24" s="464">
        <v>56</v>
      </c>
      <c r="J24" s="438">
        <f t="shared" ref="J24:J42" si="10">+(AVERAGE(D24,E24)-AVERAGE(F24,G24))*-1</f>
        <v>8.25</v>
      </c>
      <c r="K24" s="438">
        <f t="shared" ref="K24:K42" si="11">+AVERAGE(I24,H24)-AVERAGE(E24,D24)</f>
        <v>17</v>
      </c>
      <c r="L24" s="438">
        <f t="shared" ref="L24:L42" si="12">+K24-J24</f>
        <v>8.75</v>
      </c>
      <c r="M24" s="465">
        <f t="shared" ref="M24:M42" si="13">+AVERAGE(D24:E24)-AVERAGE(D3:E3)</f>
        <v>0.25</v>
      </c>
    </row>
    <row r="25" spans="1:34" ht="13.5" thickBot="1" x14ac:dyDescent="0.25">
      <c r="A25">
        <v>2</v>
      </c>
      <c r="B25" s="439" t="s">
        <v>101</v>
      </c>
      <c r="C25" s="440">
        <v>20</v>
      </c>
      <c r="D25" s="453">
        <v>39</v>
      </c>
      <c r="E25" s="454">
        <v>39</v>
      </c>
      <c r="F25" s="453">
        <v>47.25</v>
      </c>
      <c r="G25" s="454">
        <v>47.25</v>
      </c>
      <c r="H25" s="453">
        <v>56</v>
      </c>
      <c r="I25" s="467">
        <v>56</v>
      </c>
      <c r="J25" s="468">
        <f t="shared" si="10"/>
        <v>8.25</v>
      </c>
      <c r="K25" s="468">
        <f t="shared" si="11"/>
        <v>17</v>
      </c>
      <c r="L25" s="468">
        <f t="shared" si="12"/>
        <v>8.75</v>
      </c>
      <c r="M25" s="465">
        <f t="shared" si="13"/>
        <v>0.25</v>
      </c>
    </row>
    <row r="26" spans="1:34" ht="13.5" thickBot="1" x14ac:dyDescent="0.25">
      <c r="B26" s="441" t="s">
        <v>102</v>
      </c>
      <c r="C26" s="456">
        <f>SUM(C24,C25)</f>
        <v>42</v>
      </c>
      <c r="D26" s="442">
        <f t="shared" ref="D26:I26" si="14">SUM(D24*$C24,D25*$C25)/$C26</f>
        <v>39</v>
      </c>
      <c r="E26" s="443">
        <f t="shared" si="14"/>
        <v>39</v>
      </c>
      <c r="F26" s="442">
        <f t="shared" si="14"/>
        <v>47.25</v>
      </c>
      <c r="G26" s="443">
        <f t="shared" si="14"/>
        <v>47.25</v>
      </c>
      <c r="H26" s="442">
        <f t="shared" si="14"/>
        <v>56</v>
      </c>
      <c r="I26" s="470">
        <f t="shared" si="14"/>
        <v>56</v>
      </c>
      <c r="J26" s="444">
        <f t="shared" si="10"/>
        <v>8.25</v>
      </c>
      <c r="K26" s="444">
        <f t="shared" si="11"/>
        <v>17</v>
      </c>
      <c r="L26" s="444">
        <f t="shared" si="12"/>
        <v>8.75</v>
      </c>
      <c r="M26" s="471">
        <f t="shared" si="13"/>
        <v>0.25</v>
      </c>
    </row>
    <row r="27" spans="1:34" ht="13.5" thickBot="1" x14ac:dyDescent="0.25">
      <c r="A27">
        <v>3</v>
      </c>
      <c r="B27" s="445" t="s">
        <v>103</v>
      </c>
      <c r="C27" s="446">
        <v>21</v>
      </c>
      <c r="D27" s="447">
        <v>33.25</v>
      </c>
      <c r="E27" s="448">
        <v>33.25</v>
      </c>
      <c r="F27" s="447">
        <v>42.25</v>
      </c>
      <c r="G27" s="448">
        <v>42.25</v>
      </c>
      <c r="H27" s="447">
        <v>48</v>
      </c>
      <c r="I27" s="473">
        <v>48</v>
      </c>
      <c r="J27" s="438">
        <f t="shared" si="10"/>
        <v>9</v>
      </c>
      <c r="K27" s="438">
        <f t="shared" si="11"/>
        <v>14.75</v>
      </c>
      <c r="L27" s="438">
        <f t="shared" si="12"/>
        <v>5.75</v>
      </c>
      <c r="M27" s="465">
        <f t="shared" si="13"/>
        <v>-0.89999999999999858</v>
      </c>
    </row>
    <row r="28" spans="1:34" ht="13.5" thickBot="1" x14ac:dyDescent="0.25">
      <c r="B28" s="441" t="s">
        <v>104</v>
      </c>
      <c r="C28" s="456">
        <f>SUM(C24,C25,C27)</f>
        <v>63</v>
      </c>
      <c r="D28" s="443">
        <f>SUM(D26*$C$5,D27*$C$6)/$C$7</f>
        <v>37.083333333333336</v>
      </c>
      <c r="E28" s="443">
        <f>SUM(E26*$C$5,E27*$C$6)/$C7</f>
        <v>37.083333333333336</v>
      </c>
      <c r="F28" s="443">
        <f>SUM(F26*$C$5,F27*$C$6)/$C$7</f>
        <v>45.583333333333336</v>
      </c>
      <c r="G28" s="443">
        <f>SUM(G26*$C$5,G27*$C$6)/$C7</f>
        <v>45.583333333333336</v>
      </c>
      <c r="H28" s="443">
        <f>SUM(H26*$C$5,H27*$C$6)/$C$7</f>
        <v>53.333333333333336</v>
      </c>
      <c r="I28" s="470">
        <f>SUM(I26*$C$5,I27*$C$6)/$C7</f>
        <v>53.333333333333336</v>
      </c>
      <c r="J28" s="444">
        <f t="shared" si="10"/>
        <v>8.5</v>
      </c>
      <c r="K28" s="444">
        <f t="shared" si="11"/>
        <v>16.25</v>
      </c>
      <c r="L28" s="444">
        <f t="shared" si="12"/>
        <v>7.75</v>
      </c>
      <c r="M28" s="471">
        <f t="shared" si="13"/>
        <v>-0.13333333333333286</v>
      </c>
    </row>
    <row r="29" spans="1:34" x14ac:dyDescent="0.2">
      <c r="A29">
        <v>4</v>
      </c>
      <c r="B29" s="434" t="s">
        <v>105</v>
      </c>
      <c r="C29" s="435">
        <v>22</v>
      </c>
      <c r="D29" s="436">
        <v>33.25</v>
      </c>
      <c r="E29" s="437">
        <v>33.25</v>
      </c>
      <c r="F29" s="436">
        <v>43.25</v>
      </c>
      <c r="G29" s="437">
        <v>43.25</v>
      </c>
      <c r="H29" s="436">
        <v>48</v>
      </c>
      <c r="I29" s="475">
        <v>48</v>
      </c>
      <c r="J29" s="438">
        <f t="shared" si="10"/>
        <v>10</v>
      </c>
      <c r="K29" s="438">
        <f t="shared" si="11"/>
        <v>14.75</v>
      </c>
      <c r="L29" s="438">
        <f t="shared" si="12"/>
        <v>4.75</v>
      </c>
      <c r="M29" s="465">
        <f t="shared" si="13"/>
        <v>-0.89999999999999858</v>
      </c>
    </row>
    <row r="30" spans="1:34" x14ac:dyDescent="0.2">
      <c r="A30">
        <v>5</v>
      </c>
      <c r="B30" s="449" t="s">
        <v>106</v>
      </c>
      <c r="C30" s="450">
        <v>22</v>
      </c>
      <c r="D30" s="451">
        <v>35</v>
      </c>
      <c r="E30" s="452">
        <v>35</v>
      </c>
      <c r="F30" s="451">
        <v>44.25</v>
      </c>
      <c r="G30" s="452">
        <v>44.25</v>
      </c>
      <c r="H30" s="451">
        <v>49</v>
      </c>
      <c r="I30" s="476">
        <v>49</v>
      </c>
      <c r="J30" s="438">
        <f t="shared" si="10"/>
        <v>9.25</v>
      </c>
      <c r="K30" s="438">
        <f t="shared" si="11"/>
        <v>14</v>
      </c>
      <c r="L30" s="438">
        <f t="shared" si="12"/>
        <v>4.75</v>
      </c>
      <c r="M30" s="465">
        <f t="shared" si="13"/>
        <v>-0.89999999999999858</v>
      </c>
    </row>
    <row r="31" spans="1:34" ht="13.5" thickBot="1" x14ac:dyDescent="0.25">
      <c r="A31">
        <v>6</v>
      </c>
      <c r="B31" s="439" t="s">
        <v>107</v>
      </c>
      <c r="C31" s="440">
        <v>20</v>
      </c>
      <c r="D31" s="453">
        <v>42</v>
      </c>
      <c r="E31" s="454">
        <v>42</v>
      </c>
      <c r="F31" s="453">
        <v>50.25</v>
      </c>
      <c r="G31" s="454">
        <v>50.25</v>
      </c>
      <c r="H31" s="453">
        <v>57</v>
      </c>
      <c r="I31" s="467">
        <v>57</v>
      </c>
      <c r="J31" s="438">
        <f t="shared" si="10"/>
        <v>8.25</v>
      </c>
      <c r="K31" s="438">
        <f t="shared" si="11"/>
        <v>15</v>
      </c>
      <c r="L31" s="438">
        <f t="shared" si="12"/>
        <v>6.75</v>
      </c>
      <c r="M31" s="465">
        <f t="shared" si="13"/>
        <v>-1.7000000000000028</v>
      </c>
    </row>
    <row r="32" spans="1:34" ht="13.5" thickBot="1" x14ac:dyDescent="0.25">
      <c r="B32" s="441" t="s">
        <v>108</v>
      </c>
      <c r="C32" s="456">
        <f>SUM(C29,C30,C31)</f>
        <v>64</v>
      </c>
      <c r="D32" s="442">
        <f t="shared" ref="D32:I32" si="15">SUM(D29*$C29,D30*$C30,D31*$C31)/$C32</f>
        <v>36.5859375</v>
      </c>
      <c r="E32" s="443">
        <f t="shared" si="15"/>
        <v>36.5859375</v>
      </c>
      <c r="F32" s="442">
        <f t="shared" si="15"/>
        <v>45.78125</v>
      </c>
      <c r="G32" s="443">
        <f t="shared" si="15"/>
        <v>45.78125</v>
      </c>
      <c r="H32" s="442">
        <f t="shared" si="15"/>
        <v>51.15625</v>
      </c>
      <c r="I32" s="470">
        <f t="shared" si="15"/>
        <v>51.15625</v>
      </c>
      <c r="J32" s="444">
        <f t="shared" si="10"/>
        <v>9.1953125</v>
      </c>
      <c r="K32" s="444">
        <f t="shared" si="11"/>
        <v>14.5703125</v>
      </c>
      <c r="L32" s="444">
        <f t="shared" si="12"/>
        <v>5.375</v>
      </c>
      <c r="M32" s="471">
        <f t="shared" si="13"/>
        <v>-1.1499999999999986</v>
      </c>
    </row>
    <row r="33" spans="1:13" x14ac:dyDescent="0.2">
      <c r="A33">
        <v>7</v>
      </c>
      <c r="B33" s="434" t="s">
        <v>109</v>
      </c>
      <c r="C33" s="435">
        <v>22</v>
      </c>
      <c r="D33" s="436">
        <v>58</v>
      </c>
      <c r="E33" s="437">
        <v>58</v>
      </c>
      <c r="F33" s="436">
        <v>70</v>
      </c>
      <c r="G33" s="437">
        <v>70</v>
      </c>
      <c r="H33" s="436">
        <v>87</v>
      </c>
      <c r="I33" s="475">
        <v>87</v>
      </c>
      <c r="J33" s="438">
        <f t="shared" si="10"/>
        <v>12</v>
      </c>
      <c r="K33" s="438">
        <f t="shared" si="11"/>
        <v>29</v>
      </c>
      <c r="L33" s="438">
        <f t="shared" si="12"/>
        <v>17</v>
      </c>
      <c r="M33" s="465">
        <f t="shared" si="13"/>
        <v>0.5</v>
      </c>
    </row>
    <row r="34" spans="1:13" ht="13.5" thickBot="1" x14ac:dyDescent="0.25">
      <c r="A34">
        <v>8</v>
      </c>
      <c r="B34" s="439" t="s">
        <v>110</v>
      </c>
      <c r="C34" s="440">
        <v>23</v>
      </c>
      <c r="D34" s="453">
        <v>58</v>
      </c>
      <c r="E34" s="454">
        <v>58</v>
      </c>
      <c r="F34" s="453">
        <v>70</v>
      </c>
      <c r="G34" s="454">
        <v>70</v>
      </c>
      <c r="H34" s="453">
        <v>87</v>
      </c>
      <c r="I34" s="467">
        <v>87</v>
      </c>
      <c r="J34" s="438">
        <f t="shared" si="10"/>
        <v>12</v>
      </c>
      <c r="K34" s="438">
        <f t="shared" si="11"/>
        <v>29</v>
      </c>
      <c r="L34" s="438">
        <f t="shared" si="12"/>
        <v>17</v>
      </c>
      <c r="M34" s="465">
        <f t="shared" si="13"/>
        <v>0.5</v>
      </c>
    </row>
    <row r="35" spans="1:13" ht="13.5" thickBot="1" x14ac:dyDescent="0.25">
      <c r="B35" s="441" t="s">
        <v>111</v>
      </c>
      <c r="C35" s="456">
        <f>SUM(C33,C34)</f>
        <v>45</v>
      </c>
      <c r="D35" s="442">
        <f t="shared" ref="D35:I35" si="16">SUM(D33*$C33,D34*$C34)/$C35</f>
        <v>58</v>
      </c>
      <c r="E35" s="443">
        <f t="shared" si="16"/>
        <v>58</v>
      </c>
      <c r="F35" s="442">
        <f t="shared" si="16"/>
        <v>70</v>
      </c>
      <c r="G35" s="443">
        <f t="shared" si="16"/>
        <v>70</v>
      </c>
      <c r="H35" s="442">
        <f t="shared" si="16"/>
        <v>87</v>
      </c>
      <c r="I35" s="470">
        <f t="shared" si="16"/>
        <v>87</v>
      </c>
      <c r="J35" s="444">
        <f t="shared" si="10"/>
        <v>12</v>
      </c>
      <c r="K35" s="444">
        <f t="shared" si="11"/>
        <v>29</v>
      </c>
      <c r="L35" s="444">
        <f t="shared" si="12"/>
        <v>17</v>
      </c>
      <c r="M35" s="471">
        <f t="shared" si="13"/>
        <v>0.5</v>
      </c>
    </row>
    <row r="36" spans="1:13" ht="13.5" thickBot="1" x14ac:dyDescent="0.25">
      <c r="A36">
        <v>9</v>
      </c>
      <c r="B36" s="445" t="s">
        <v>112</v>
      </c>
      <c r="C36" s="446">
        <v>20</v>
      </c>
      <c r="D36" s="447">
        <v>34</v>
      </c>
      <c r="E36" s="448">
        <v>34</v>
      </c>
      <c r="F36" s="447">
        <v>47</v>
      </c>
      <c r="G36" s="448">
        <v>47</v>
      </c>
      <c r="H36" s="447">
        <v>52</v>
      </c>
      <c r="I36" s="473">
        <v>52</v>
      </c>
      <c r="J36" s="438">
        <f t="shared" si="10"/>
        <v>13</v>
      </c>
      <c r="K36" s="438">
        <f t="shared" si="11"/>
        <v>18</v>
      </c>
      <c r="L36" s="438">
        <f t="shared" si="12"/>
        <v>5</v>
      </c>
      <c r="M36" s="465">
        <f t="shared" si="13"/>
        <v>-0.85000000000000142</v>
      </c>
    </row>
    <row r="37" spans="1:13" ht="13.5" thickBot="1" x14ac:dyDescent="0.25">
      <c r="B37" s="441" t="s">
        <v>113</v>
      </c>
      <c r="C37" s="456">
        <f>SUM(C35,C36)</f>
        <v>65</v>
      </c>
      <c r="D37" s="442">
        <f t="shared" ref="D37:I37" si="17">SUM(D35*$C35,D36*$C36)/$C37</f>
        <v>50.615384615384613</v>
      </c>
      <c r="E37" s="443">
        <f t="shared" si="17"/>
        <v>50.615384615384613</v>
      </c>
      <c r="F37" s="442">
        <f t="shared" si="17"/>
        <v>62.92307692307692</v>
      </c>
      <c r="G37" s="443">
        <f t="shared" si="17"/>
        <v>62.92307692307692</v>
      </c>
      <c r="H37" s="442">
        <f t="shared" si="17"/>
        <v>76.230769230769226</v>
      </c>
      <c r="I37" s="470">
        <f t="shared" si="17"/>
        <v>76.230769230769226</v>
      </c>
      <c r="J37" s="444">
        <f t="shared" si="10"/>
        <v>12.307692307692307</v>
      </c>
      <c r="K37" s="444">
        <f t="shared" si="11"/>
        <v>25.615384615384613</v>
      </c>
      <c r="L37" s="444">
        <f t="shared" si="12"/>
        <v>13.307692307692307</v>
      </c>
      <c r="M37" s="471">
        <f t="shared" si="13"/>
        <v>0.1935096153846132</v>
      </c>
    </row>
    <row r="38" spans="1:13" x14ac:dyDescent="0.2">
      <c r="A38">
        <v>10</v>
      </c>
      <c r="B38" s="434" t="s">
        <v>114</v>
      </c>
      <c r="C38" s="435">
        <v>23</v>
      </c>
      <c r="D38" s="436">
        <v>33.5</v>
      </c>
      <c r="E38" s="437">
        <v>33.5</v>
      </c>
      <c r="F38" s="436">
        <v>42</v>
      </c>
      <c r="G38" s="437">
        <v>42</v>
      </c>
      <c r="H38" s="436">
        <v>50</v>
      </c>
      <c r="I38" s="475">
        <v>50</v>
      </c>
      <c r="J38" s="438">
        <f t="shared" si="10"/>
        <v>8.5</v>
      </c>
      <c r="K38" s="438">
        <f t="shared" si="11"/>
        <v>16.5</v>
      </c>
      <c r="L38" s="438">
        <f t="shared" si="12"/>
        <v>8</v>
      </c>
      <c r="M38" s="465">
        <f t="shared" si="13"/>
        <v>-1.1499999999999986</v>
      </c>
    </row>
    <row r="39" spans="1:13" x14ac:dyDescent="0.2">
      <c r="A39">
        <v>11</v>
      </c>
      <c r="B39" s="449" t="s">
        <v>115</v>
      </c>
      <c r="C39" s="450">
        <v>20</v>
      </c>
      <c r="D39" s="451">
        <v>33.5</v>
      </c>
      <c r="E39" s="452">
        <v>33.5</v>
      </c>
      <c r="F39" s="451">
        <v>42</v>
      </c>
      <c r="G39" s="452">
        <v>42</v>
      </c>
      <c r="H39" s="451">
        <v>50</v>
      </c>
      <c r="I39" s="476">
        <v>50</v>
      </c>
      <c r="J39" s="438">
        <f t="shared" si="10"/>
        <v>8.5</v>
      </c>
      <c r="K39" s="438">
        <f t="shared" si="11"/>
        <v>16.5</v>
      </c>
      <c r="L39" s="438">
        <f t="shared" si="12"/>
        <v>8</v>
      </c>
      <c r="M39" s="465">
        <f t="shared" si="13"/>
        <v>-1.1499999999999986</v>
      </c>
    </row>
    <row r="40" spans="1:13" ht="13.5" thickBot="1" x14ac:dyDescent="0.25">
      <c r="A40">
        <v>12</v>
      </c>
      <c r="B40" s="439" t="s">
        <v>116</v>
      </c>
      <c r="C40" s="440">
        <v>21</v>
      </c>
      <c r="D40" s="453">
        <v>33.5</v>
      </c>
      <c r="E40" s="454">
        <v>33.5</v>
      </c>
      <c r="F40" s="453">
        <v>42</v>
      </c>
      <c r="G40" s="454">
        <v>42</v>
      </c>
      <c r="H40" s="453">
        <v>50</v>
      </c>
      <c r="I40" s="467">
        <v>50</v>
      </c>
      <c r="J40" s="438">
        <f t="shared" si="10"/>
        <v>8.5</v>
      </c>
      <c r="K40" s="438">
        <f t="shared" si="11"/>
        <v>16.5</v>
      </c>
      <c r="L40" s="438">
        <f t="shared" si="12"/>
        <v>8</v>
      </c>
      <c r="M40" s="465">
        <f t="shared" si="13"/>
        <v>-1.1499999999999986</v>
      </c>
    </row>
    <row r="41" spans="1:13" ht="13.5" thickBot="1" x14ac:dyDescent="0.25">
      <c r="B41" s="441" t="s">
        <v>117</v>
      </c>
      <c r="C41" s="456">
        <f>SUM(C38,C39,C40)</f>
        <v>64</v>
      </c>
      <c r="D41" s="442">
        <f t="shared" ref="D41:I41" si="18">SUM(D38*$C38,D39*$C39,D40*$C40)/$C41</f>
        <v>33.5</v>
      </c>
      <c r="E41" s="455">
        <f t="shared" si="18"/>
        <v>33.5</v>
      </c>
      <c r="F41" s="442">
        <f t="shared" si="18"/>
        <v>42</v>
      </c>
      <c r="G41" s="455">
        <f t="shared" si="18"/>
        <v>42</v>
      </c>
      <c r="H41" s="442">
        <f t="shared" si="18"/>
        <v>50</v>
      </c>
      <c r="I41" s="478">
        <f t="shared" si="18"/>
        <v>50</v>
      </c>
      <c r="J41" s="444">
        <f t="shared" si="10"/>
        <v>8.5</v>
      </c>
      <c r="K41" s="444">
        <f t="shared" si="11"/>
        <v>16.5</v>
      </c>
      <c r="L41" s="444">
        <f t="shared" si="12"/>
        <v>8</v>
      </c>
      <c r="M41" s="471">
        <f t="shared" si="13"/>
        <v>-1.1499999999999986</v>
      </c>
    </row>
    <row r="42" spans="1:13" ht="13.5" thickBot="1" x14ac:dyDescent="0.25">
      <c r="B42" s="441" t="s">
        <v>123</v>
      </c>
      <c r="C42" s="456">
        <f>SUM(C28,C32,C37,C41)</f>
        <v>256</v>
      </c>
      <c r="D42" s="442">
        <f t="shared" ref="D42:I42" si="19">SUM(D28*$C28,D32*$C32,D37*$C37,D41*$C41)/$C42</f>
        <v>39.4990234375</v>
      </c>
      <c r="E42" s="443">
        <f t="shared" si="19"/>
        <v>39.4990234375</v>
      </c>
      <c r="F42" s="442">
        <f t="shared" si="19"/>
        <v>49.1396484375</v>
      </c>
      <c r="G42" s="443">
        <f t="shared" si="19"/>
        <v>49.1396484375</v>
      </c>
      <c r="H42" s="442">
        <f t="shared" si="19"/>
        <v>57.76953125</v>
      </c>
      <c r="I42" s="470">
        <f t="shared" si="19"/>
        <v>57.76953125</v>
      </c>
      <c r="J42" s="444">
        <f t="shared" si="10"/>
        <v>9.640625</v>
      </c>
      <c r="K42" s="444">
        <f t="shared" si="11"/>
        <v>18.2705078125</v>
      </c>
      <c r="L42" s="444">
        <f t="shared" si="12"/>
        <v>8.6298828125</v>
      </c>
      <c r="M42" s="471">
        <f t="shared" si="13"/>
        <v>-0.51803538602941046</v>
      </c>
    </row>
  </sheetData>
  <mergeCells count="6">
    <mergeCell ref="D23:E23"/>
    <mergeCell ref="F23:G23"/>
    <mergeCell ref="H23:I23"/>
    <mergeCell ref="F2:G2"/>
    <mergeCell ref="H2:I2"/>
    <mergeCell ref="D2:E2"/>
  </mergeCells>
  <phoneticPr fontId="2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EOL LINKS</vt:lpstr>
      <vt:lpstr>NYISO A</vt:lpstr>
      <vt:lpstr>NYISO G</vt:lpstr>
      <vt:lpstr>NYISO J</vt:lpstr>
      <vt:lpstr>NEPOOL</vt:lpstr>
      <vt:lpstr>PJM</vt:lpstr>
      <vt:lpstr>Positions</vt:lpstr>
      <vt:lpstr>Summary</vt:lpstr>
      <vt:lpstr>Prices</vt:lpstr>
      <vt:lpstr>NET P&amp;L</vt:lpstr>
      <vt:lpstr>DldName</vt:lpstr>
      <vt:lpstr>NumProducts</vt:lpstr>
      <vt:lpstr>OrigName</vt:lpstr>
      <vt:lpstr>'NYISO A'!Print_Area</vt:lpstr>
      <vt:lpstr>TradeDate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 New England - Markets Hourly Clearing Prices</dc:title>
  <dc:creator>Stacey W. White</dc:creator>
  <cp:lastModifiedBy>Felienne</cp:lastModifiedBy>
  <cp:lastPrinted>2001-08-15T19:10:20Z</cp:lastPrinted>
  <dcterms:created xsi:type="dcterms:W3CDTF">1999-12-21T22:07:16Z</dcterms:created>
  <dcterms:modified xsi:type="dcterms:W3CDTF">2014-09-03T15:03:10Z</dcterms:modified>
</cp:coreProperties>
</file>