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8535"/>
  </bookViews>
  <sheets>
    <sheet name="June  Setup" sheetId="1" r:id="rId1"/>
  </sheets>
  <definedNames>
    <definedName name="_xlnm.Print_Area" localSheetId="0">'June  Setup'!$V$8:$BD$112</definedName>
    <definedName name="_xlnm.Print_Titles" localSheetId="0">'June  Setup'!$A:$F,'June  Setup'!$1:$7</definedName>
  </definedNames>
  <calcPr calcId="152511" fullCalcOnLoad="1"/>
</workbook>
</file>

<file path=xl/calcChain.xml><?xml version="1.0" encoding="utf-8"?>
<calcChain xmlns="http://schemas.openxmlformats.org/spreadsheetml/2006/main">
  <c r="HP3" i="1" l="1"/>
  <c r="N8" i="1"/>
  <c r="O8" i="1"/>
  <c r="W8" i="1"/>
  <c r="X8" i="1"/>
  <c r="Y8" i="1"/>
  <c r="Z8" i="1" s="1"/>
  <c r="AA8" i="1" s="1"/>
  <c r="HP8" i="1"/>
  <c r="N9" i="1"/>
  <c r="O9" i="1"/>
  <c r="W9" i="1"/>
  <c r="X9" i="1"/>
  <c r="Y9" i="1" s="1"/>
  <c r="Z9" i="1" s="1"/>
  <c r="AA9" i="1"/>
  <c r="AB9" i="1"/>
  <c r="AC9" i="1" s="1"/>
  <c r="AD9" i="1" s="1"/>
  <c r="AE9" i="1" s="1"/>
  <c r="AF9" i="1" s="1"/>
  <c r="AG9" i="1" s="1"/>
  <c r="AH9" i="1" s="1"/>
  <c r="AI9" i="1" s="1"/>
  <c r="AJ9" i="1" s="1"/>
  <c r="AK9" i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HP9" i="1"/>
  <c r="N10" i="1"/>
  <c r="O10" i="1"/>
  <c r="W10" i="1"/>
  <c r="X10" i="1"/>
  <c r="Y10" i="1" s="1"/>
  <c r="Z10" i="1" s="1"/>
  <c r="AA10" i="1" s="1"/>
  <c r="AB10" i="1" s="1"/>
  <c r="AC10" i="1" s="1"/>
  <c r="AD10" i="1" s="1"/>
  <c r="AE10" i="1"/>
  <c r="AF10" i="1" s="1"/>
  <c r="AG10" i="1" s="1"/>
  <c r="AH10" i="1" s="1"/>
  <c r="AI10" i="1" s="1"/>
  <c r="AJ10" i="1" s="1"/>
  <c r="AK10" i="1" s="1"/>
  <c r="AL10" i="1" s="1"/>
  <c r="AM10" i="1"/>
  <c r="HP10" i="1"/>
  <c r="N11" i="1"/>
  <c r="O11" i="1"/>
  <c r="W11" i="1"/>
  <c r="HP11" i="1"/>
  <c r="N12" i="1"/>
  <c r="O12" i="1"/>
  <c r="W12" i="1"/>
  <c r="X12" i="1" s="1"/>
  <c r="Y12" i="1" s="1"/>
  <c r="Z12" i="1"/>
  <c r="HP12" i="1"/>
  <c r="N13" i="1"/>
  <c r="O13" i="1"/>
  <c r="W13" i="1"/>
  <c r="X13" i="1"/>
  <c r="Y13" i="1" s="1"/>
  <c r="Z13" i="1"/>
  <c r="HP13" i="1"/>
  <c r="N14" i="1"/>
  <c r="O14" i="1"/>
  <c r="W14" i="1"/>
  <c r="HP14" i="1"/>
  <c r="N15" i="1"/>
  <c r="O15" i="1"/>
  <c r="W15" i="1"/>
  <c r="X15" i="1"/>
  <c r="Y15" i="1" s="1"/>
  <c r="Z15" i="1" s="1"/>
  <c r="AA15" i="1" s="1"/>
  <c r="AB15" i="1" s="1"/>
  <c r="AC15" i="1" s="1"/>
  <c r="AD15" i="1" s="1"/>
  <c r="AE15" i="1" s="1"/>
  <c r="AF15" i="1" s="1"/>
  <c r="AG15" i="1" s="1"/>
  <c r="AH15" i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/>
  <c r="AV15" i="1" s="1"/>
  <c r="AW15" i="1" s="1"/>
  <c r="AX15" i="1" s="1"/>
  <c r="AY15" i="1" s="1"/>
  <c r="HP15" i="1"/>
  <c r="N16" i="1"/>
  <c r="O16" i="1"/>
  <c r="W16" i="1"/>
  <c r="X16" i="1"/>
  <c r="Y16" i="1" s="1"/>
  <c r="Z16" i="1"/>
  <c r="AA16" i="1" s="1"/>
  <c r="AB16" i="1" s="1"/>
  <c r="AC16" i="1" s="1"/>
  <c r="AD16" i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/>
  <c r="AW16" i="1" s="1"/>
  <c r="AX16" i="1" s="1"/>
  <c r="AY16" i="1" s="1"/>
  <c r="BD16" i="1"/>
  <c r="HP16" i="1"/>
  <c r="N17" i="1"/>
  <c r="O17" i="1"/>
  <c r="W17" i="1"/>
  <c r="X17" i="1"/>
  <c r="Y17" i="1"/>
  <c r="HP17" i="1"/>
  <c r="N18" i="1"/>
  <c r="O18" i="1"/>
  <c r="W18" i="1"/>
  <c r="X18" i="1"/>
  <c r="Y18" i="1" s="1"/>
  <c r="Z18" i="1" s="1"/>
  <c r="AA18" i="1"/>
  <c r="AB18" i="1" s="1"/>
  <c r="AC18" i="1" s="1"/>
  <c r="AD18" i="1"/>
  <c r="HP18" i="1"/>
  <c r="N19" i="1"/>
  <c r="O19" i="1"/>
  <c r="W19" i="1"/>
  <c r="X19" i="1" s="1"/>
  <c r="Y19" i="1"/>
  <c r="HP19" i="1"/>
  <c r="N20" i="1"/>
  <c r="O20" i="1"/>
  <c r="W20" i="1"/>
  <c r="X20" i="1" s="1"/>
  <c r="Y20" i="1"/>
  <c r="HP20" i="1"/>
  <c r="N21" i="1"/>
  <c r="O21" i="1"/>
  <c r="W21" i="1"/>
  <c r="X21" i="1"/>
  <c r="HP21" i="1"/>
  <c r="N22" i="1"/>
  <c r="O22" i="1"/>
  <c r="X22" i="1"/>
  <c r="Y22" i="1"/>
  <c r="HP22" i="1"/>
  <c r="N23" i="1"/>
  <c r="O23" i="1"/>
  <c r="W23" i="1"/>
  <c r="X23" i="1"/>
  <c r="HP23" i="1"/>
  <c r="N24" i="1"/>
  <c r="O24" i="1"/>
  <c r="W24" i="1"/>
  <c r="HP24" i="1"/>
  <c r="N25" i="1"/>
  <c r="O25" i="1"/>
  <c r="W25" i="1"/>
  <c r="HP25" i="1"/>
  <c r="N26" i="1"/>
  <c r="O26" i="1"/>
  <c r="W26" i="1"/>
  <c r="X26" i="1"/>
  <c r="Y26" i="1"/>
  <c r="Z26" i="1" s="1"/>
  <c r="AA26" i="1" s="1"/>
  <c r="AB26" i="1" s="1"/>
  <c r="AC26" i="1" s="1"/>
  <c r="AD26" i="1" s="1"/>
  <c r="AE26" i="1"/>
  <c r="AF26" i="1" s="1"/>
  <c r="AG26" i="1" s="1"/>
  <c r="AH26" i="1" s="1"/>
  <c r="AI26" i="1" s="1"/>
  <c r="AJ26" i="1" s="1"/>
  <c r="AK26" i="1" s="1"/>
  <c r="AL26" i="1" s="1"/>
  <c r="AM26" i="1" s="1"/>
  <c r="AN26" i="1" s="1"/>
  <c r="AO26" i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HP26" i="1"/>
  <c r="N27" i="1"/>
  <c r="O27" i="1"/>
  <c r="W27" i="1"/>
  <c r="X27" i="1"/>
  <c r="Y27" i="1"/>
  <c r="HP27" i="1"/>
  <c r="N28" i="1"/>
  <c r="O28" i="1"/>
  <c r="W28" i="1"/>
  <c r="X28" i="1"/>
  <c r="HP28" i="1"/>
  <c r="N29" i="1"/>
  <c r="O29" i="1"/>
  <c r="W29" i="1"/>
  <c r="X29" i="1"/>
  <c r="Y29" i="1"/>
  <c r="Z29" i="1" s="1"/>
  <c r="AA29" i="1"/>
  <c r="HP29" i="1"/>
  <c r="N30" i="1"/>
  <c r="O30" i="1"/>
  <c r="W30" i="1"/>
  <c r="HP30" i="1"/>
  <c r="N31" i="1"/>
  <c r="O31" i="1"/>
  <c r="W31" i="1"/>
  <c r="HP31" i="1"/>
  <c r="N32" i="1"/>
  <c r="O32" i="1"/>
  <c r="W32" i="1"/>
  <c r="X32" i="1" s="1"/>
  <c r="Y32" i="1"/>
  <c r="HP32" i="1"/>
  <c r="N33" i="1"/>
  <c r="O33" i="1"/>
  <c r="W33" i="1"/>
  <c r="HP33" i="1"/>
  <c r="N34" i="1"/>
  <c r="O34" i="1"/>
  <c r="W34" i="1"/>
  <c r="HP34" i="1"/>
  <c r="N35" i="1"/>
  <c r="O35" i="1"/>
  <c r="W35" i="1"/>
  <c r="X35" i="1"/>
  <c r="Y35" i="1" s="1"/>
  <c r="Z35" i="1" s="1"/>
  <c r="AA35" i="1" s="1"/>
  <c r="AB35" i="1" s="1"/>
  <c r="AC35" i="1" s="1"/>
  <c r="AD35" i="1" s="1"/>
  <c r="AE35" i="1" s="1"/>
  <c r="AF35" i="1" s="1"/>
  <c r="AG35" i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HP35" i="1"/>
  <c r="N36" i="1"/>
  <c r="O36" i="1"/>
  <c r="W36" i="1"/>
  <c r="X36" i="1"/>
  <c r="HP36" i="1"/>
  <c r="N37" i="1"/>
  <c r="O37" i="1"/>
  <c r="W37" i="1"/>
  <c r="HP37" i="1"/>
  <c r="N38" i="1"/>
  <c r="O38" i="1"/>
  <c r="W38" i="1"/>
  <c r="X38" i="1"/>
  <c r="Y38" i="1"/>
  <c r="HP38" i="1"/>
  <c r="N39" i="1"/>
  <c r="O39" i="1"/>
  <c r="W39" i="1"/>
  <c r="HP39" i="1"/>
  <c r="N40" i="1"/>
  <c r="O40" i="1"/>
  <c r="W40" i="1"/>
  <c r="X40" i="1" s="1"/>
  <c r="Y40" i="1"/>
  <c r="Z40" i="1"/>
  <c r="AA40" i="1" s="1"/>
  <c r="AB40" i="1" s="1"/>
  <c r="AC40" i="1" s="1"/>
  <c r="AD40" i="1"/>
  <c r="AE40" i="1" s="1"/>
  <c r="AF40" i="1" s="1"/>
  <c r="AG40" i="1" s="1"/>
  <c r="AH40" i="1"/>
  <c r="HP40" i="1"/>
  <c r="N41" i="1"/>
  <c r="O41" i="1"/>
  <c r="W41" i="1"/>
  <c r="X41" i="1" s="1"/>
  <c r="Y41" i="1"/>
  <c r="HP41" i="1"/>
  <c r="N42" i="1"/>
  <c r="O42" i="1"/>
  <c r="W42" i="1"/>
  <c r="HP42" i="1"/>
  <c r="N43" i="1"/>
  <c r="O43" i="1"/>
  <c r="W43" i="1"/>
  <c r="X43" i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HP43" i="1"/>
  <c r="N44" i="1"/>
  <c r="O44" i="1"/>
  <c r="W44" i="1"/>
  <c r="HP44" i="1"/>
  <c r="N45" i="1"/>
  <c r="O45" i="1"/>
  <c r="W45" i="1"/>
  <c r="HP45" i="1"/>
  <c r="N46" i="1"/>
  <c r="O46" i="1"/>
  <c r="W46" i="1"/>
  <c r="HP46" i="1"/>
  <c r="N47" i="1"/>
  <c r="O47" i="1"/>
  <c r="W47" i="1"/>
  <c r="HP47" i="1"/>
  <c r="N48" i="1"/>
  <c r="O48" i="1"/>
  <c r="W48" i="1"/>
  <c r="X48" i="1"/>
  <c r="HP48" i="1"/>
  <c r="N49" i="1"/>
  <c r="O49" i="1"/>
  <c r="W49" i="1"/>
  <c r="X49" i="1"/>
  <c r="HP49" i="1"/>
  <c r="N50" i="1"/>
  <c r="O50" i="1"/>
  <c r="W50" i="1"/>
  <c r="X50" i="1"/>
  <c r="HP50" i="1"/>
  <c r="N51" i="1"/>
  <c r="O51" i="1"/>
  <c r="W51" i="1"/>
  <c r="X51" i="1" s="1"/>
  <c r="Y51" i="1" s="1"/>
  <c r="Z51" i="1" s="1"/>
  <c r="AA51" i="1"/>
  <c r="HP51" i="1"/>
  <c r="N52" i="1"/>
  <c r="O52" i="1"/>
  <c r="W52" i="1"/>
  <c r="X52" i="1" s="1"/>
  <c r="Y52" i="1" s="1"/>
  <c r="Z52" i="1" s="1"/>
  <c r="AA52" i="1" s="1"/>
  <c r="AB52" i="1"/>
  <c r="AC52" i="1" s="1"/>
  <c r="AD52" i="1" s="1"/>
  <c r="AE52" i="1"/>
  <c r="HP52" i="1"/>
  <c r="N53" i="1"/>
  <c r="O53" i="1"/>
  <c r="W53" i="1"/>
  <c r="HP53" i="1"/>
  <c r="N54" i="1"/>
  <c r="O54" i="1"/>
  <c r="W54" i="1"/>
  <c r="HP54" i="1"/>
  <c r="N55" i="1"/>
  <c r="O55" i="1"/>
  <c r="W55" i="1"/>
  <c r="X55" i="1"/>
  <c r="Y55" i="1" s="1"/>
  <c r="Z55" i="1" s="1"/>
  <c r="AA55" i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HP55" i="1"/>
  <c r="N56" i="1"/>
  <c r="O56" i="1"/>
  <c r="W56" i="1"/>
  <c r="X56" i="1"/>
  <c r="HP56" i="1"/>
  <c r="N57" i="1"/>
  <c r="O57" i="1"/>
  <c r="W57" i="1"/>
  <c r="X57" i="1"/>
  <c r="HP57" i="1"/>
  <c r="N58" i="1"/>
  <c r="O58" i="1"/>
  <c r="W58" i="1"/>
  <c r="X58" i="1"/>
  <c r="Y58" i="1" s="1"/>
  <c r="Z58" i="1" s="1"/>
  <c r="AA58" i="1" s="1"/>
  <c r="AB58" i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HP58" i="1"/>
  <c r="N59" i="1"/>
  <c r="O59" i="1"/>
  <c r="W59" i="1"/>
  <c r="HP59" i="1"/>
  <c r="N60" i="1"/>
  <c r="O60" i="1"/>
  <c r="W60" i="1"/>
  <c r="X60" i="1" s="1"/>
  <c r="Y60" i="1" s="1"/>
  <c r="Z60" i="1"/>
  <c r="HP60" i="1"/>
  <c r="N61" i="1"/>
  <c r="O61" i="1"/>
  <c r="W61" i="1"/>
  <c r="X61" i="1"/>
  <c r="HP61" i="1"/>
  <c r="N62" i="1"/>
  <c r="O62" i="1"/>
  <c r="W62" i="1"/>
  <c r="HP62" i="1"/>
  <c r="N63" i="1"/>
  <c r="O63" i="1"/>
  <c r="W63" i="1"/>
  <c r="HP63" i="1"/>
  <c r="N64" i="1"/>
  <c r="O64" i="1"/>
  <c r="W64" i="1"/>
  <c r="X64" i="1"/>
  <c r="HP64" i="1"/>
  <c r="N65" i="1"/>
  <c r="O65" i="1"/>
  <c r="W65" i="1"/>
  <c r="X65" i="1"/>
  <c r="Y65" i="1"/>
  <c r="HP65" i="1"/>
  <c r="N66" i="1"/>
  <c r="O66" i="1"/>
  <c r="O67" i="1" s="1"/>
  <c r="W66" i="1"/>
  <c r="X66" i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HP66" i="1"/>
  <c r="H67" i="1"/>
  <c r="H68" i="1" s="1"/>
  <c r="H69" i="1" s="1"/>
  <c r="N67" i="1"/>
  <c r="N68" i="1" s="1"/>
  <c r="N69" i="1" s="1"/>
  <c r="N70" i="1" s="1"/>
  <c r="N71" i="1" s="1"/>
  <c r="N72" i="1" s="1"/>
  <c r="N73" i="1" s="1"/>
  <c r="N74" i="1" s="1"/>
  <c r="W67" i="1"/>
  <c r="X67" i="1" s="1"/>
  <c r="Y67" i="1"/>
  <c r="Z67" i="1"/>
  <c r="HP67" i="1"/>
  <c r="O68" i="1"/>
  <c r="O69" i="1" s="1"/>
  <c r="O70" i="1" s="1"/>
  <c r="O71" i="1" s="1"/>
  <c r="O72" i="1" s="1"/>
  <c r="O73" i="1" s="1"/>
  <c r="O74" i="1" s="1"/>
  <c r="O75" i="1" s="1"/>
  <c r="W68" i="1"/>
  <c r="X68" i="1"/>
  <c r="Y68" i="1"/>
  <c r="HP68" i="1"/>
  <c r="W69" i="1"/>
  <c r="X69" i="1"/>
  <c r="Y69" i="1" s="1"/>
  <c r="Z69" i="1" s="1"/>
  <c r="AA69" i="1" s="1"/>
  <c r="AB69" i="1" s="1"/>
  <c r="AC69" i="1" s="1"/>
  <c r="AD69" i="1" s="1"/>
  <c r="AE69" i="1"/>
  <c r="AF69" i="1" s="1"/>
  <c r="AG69" i="1" s="1"/>
  <c r="AH69" i="1" s="1"/>
  <c r="AI69" i="1"/>
  <c r="AJ69" i="1" s="1"/>
  <c r="AK69" i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HP69" i="1"/>
  <c r="H70" i="1"/>
  <c r="H71" i="1" s="1"/>
  <c r="H72" i="1" s="1"/>
  <c r="H73" i="1" s="1"/>
  <c r="H74" i="1" s="1"/>
  <c r="H75" i="1" s="1"/>
  <c r="W70" i="1"/>
  <c r="HP70" i="1"/>
  <c r="W71" i="1"/>
  <c r="HP71" i="1"/>
  <c r="W72" i="1"/>
  <c r="X72" i="1"/>
  <c r="Y72" i="1" s="1"/>
  <c r="Z72" i="1" s="1"/>
  <c r="AA72" i="1"/>
  <c r="HP72" i="1"/>
  <c r="W73" i="1"/>
  <c r="HP73" i="1"/>
  <c r="W74" i="1"/>
  <c r="X74" i="1"/>
  <c r="Y74" i="1"/>
  <c r="Z74" i="1" s="1"/>
  <c r="AA74" i="1" s="1"/>
  <c r="AB74" i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HP74" i="1"/>
  <c r="N75" i="1"/>
  <c r="W75" i="1"/>
  <c r="X75" i="1" s="1"/>
  <c r="Y75" i="1"/>
  <c r="HP75" i="1"/>
  <c r="N76" i="1"/>
  <c r="O76" i="1"/>
  <c r="W76" i="1"/>
  <c r="HP76" i="1"/>
  <c r="N77" i="1"/>
  <c r="O77" i="1"/>
  <c r="W77" i="1"/>
  <c r="HP77" i="1"/>
  <c r="N78" i="1"/>
  <c r="O78" i="1"/>
  <c r="W78" i="1"/>
  <c r="HP78" i="1"/>
  <c r="N79" i="1"/>
  <c r="O79" i="1"/>
  <c r="W79" i="1"/>
  <c r="HP79" i="1"/>
  <c r="N80" i="1"/>
  <c r="O80" i="1"/>
  <c r="W80" i="1"/>
  <c r="X80" i="1"/>
  <c r="HP80" i="1"/>
  <c r="N81" i="1"/>
  <c r="O81" i="1"/>
  <c r="W81" i="1"/>
  <c r="X81" i="1" s="1"/>
  <c r="Y81" i="1" s="1"/>
  <c r="Z81" i="1" s="1"/>
  <c r="AA81" i="1" s="1"/>
  <c r="AB81" i="1" s="1"/>
  <c r="HP81" i="1"/>
  <c r="N82" i="1"/>
  <c r="O82" i="1"/>
  <c r="J150" i="1" s="1"/>
  <c r="W82" i="1"/>
  <c r="X82" i="1" s="1"/>
  <c r="Y82" i="1" s="1"/>
  <c r="Z82" i="1" s="1"/>
  <c r="HP82" i="1"/>
  <c r="N83" i="1"/>
  <c r="O83" i="1"/>
  <c r="W83" i="1"/>
  <c r="HP83" i="1"/>
  <c r="N84" i="1"/>
  <c r="O84" i="1"/>
  <c r="W84" i="1"/>
  <c r="X84" i="1"/>
  <c r="Y84" i="1" s="1"/>
  <c r="Z84" i="1"/>
  <c r="HP84" i="1"/>
  <c r="N85" i="1"/>
  <c r="O85" i="1"/>
  <c r="W85" i="1"/>
  <c r="X85" i="1" s="1"/>
  <c r="Y85" i="1" s="1"/>
  <c r="Z85" i="1" s="1"/>
  <c r="AA85" i="1" s="1"/>
  <c r="AB85" i="1" s="1"/>
  <c r="AC85" i="1" s="1"/>
  <c r="AD85" i="1" s="1"/>
  <c r="AE85" i="1" s="1"/>
  <c r="AF85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HP85" i="1"/>
  <c r="N86" i="1"/>
  <c r="O86" i="1"/>
  <c r="W86" i="1"/>
  <c r="HP86" i="1"/>
  <c r="N87" i="1"/>
  <c r="O87" i="1"/>
  <c r="W87" i="1"/>
  <c r="X87" i="1"/>
  <c r="Y87" i="1" s="1"/>
  <c r="Z87" i="1"/>
  <c r="AA87" i="1" s="1"/>
  <c r="HP87" i="1"/>
  <c r="N88" i="1"/>
  <c r="O88" i="1"/>
  <c r="W88" i="1"/>
  <c r="X88" i="1"/>
  <c r="Y88" i="1"/>
  <c r="Z88" i="1"/>
  <c r="AA88" i="1" s="1"/>
  <c r="AB88" i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HP88" i="1"/>
  <c r="N89" i="1"/>
  <c r="O89" i="1"/>
  <c r="W89" i="1"/>
  <c r="X89" i="1"/>
  <c r="Y89" i="1" s="1"/>
  <c r="Z89" i="1" s="1"/>
  <c r="AA89" i="1" s="1"/>
  <c r="HP89" i="1"/>
  <c r="N90" i="1"/>
  <c r="O90" i="1"/>
  <c r="W90" i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HP90" i="1"/>
  <c r="N91" i="1"/>
  <c r="O91" i="1"/>
  <c r="W91" i="1"/>
  <c r="HP91" i="1"/>
  <c r="N92" i="1"/>
  <c r="O92" i="1"/>
  <c r="W92" i="1"/>
  <c r="X92" i="1"/>
  <c r="HP92" i="1"/>
  <c r="N93" i="1"/>
  <c r="O93" i="1"/>
  <c r="W93" i="1"/>
  <c r="X93" i="1"/>
  <c r="HP93" i="1"/>
  <c r="N94" i="1"/>
  <c r="O94" i="1"/>
  <c r="W94" i="1"/>
  <c r="X94" i="1"/>
  <c r="Y94" i="1" s="1"/>
  <c r="HP94" i="1"/>
  <c r="N95" i="1"/>
  <c r="O95" i="1"/>
  <c r="W95" i="1"/>
  <c r="X95" i="1" s="1"/>
  <c r="Y95" i="1" s="1"/>
  <c r="HP95" i="1"/>
  <c r="N96" i="1"/>
  <c r="O96" i="1"/>
  <c r="W96" i="1"/>
  <c r="X96" i="1" s="1"/>
  <c r="Y96" i="1" s="1"/>
  <c r="HP96" i="1"/>
  <c r="N97" i="1"/>
  <c r="O97" i="1"/>
  <c r="W97" i="1"/>
  <c r="HP97" i="1"/>
  <c r="N98" i="1"/>
  <c r="O98" i="1"/>
  <c r="W98" i="1"/>
  <c r="X98" i="1" s="1"/>
  <c r="HP98" i="1"/>
  <c r="N99" i="1"/>
  <c r="O99" i="1"/>
  <c r="W99" i="1"/>
  <c r="X99" i="1" s="1"/>
  <c r="Y99" i="1" s="1"/>
  <c r="Z99" i="1" s="1"/>
  <c r="AA99" i="1" s="1"/>
  <c r="AB99" i="1" s="1"/>
  <c r="AC99" i="1" s="1"/>
  <c r="AD99" i="1" s="1"/>
  <c r="AE99" i="1"/>
  <c r="AF99" i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HP99" i="1"/>
  <c r="N100" i="1"/>
  <c r="O100" i="1"/>
  <c r="W100" i="1"/>
  <c r="X100" i="1"/>
  <c r="HP100" i="1"/>
  <c r="N101" i="1"/>
  <c r="O101" i="1"/>
  <c r="W101" i="1"/>
  <c r="X101" i="1"/>
  <c r="Y101" i="1"/>
  <c r="Z101" i="1" s="1"/>
  <c r="AA101" i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HP101" i="1"/>
  <c r="N102" i="1"/>
  <c r="O102" i="1"/>
  <c r="W102" i="1"/>
  <c r="X102" i="1"/>
  <c r="Y102" i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HP102" i="1"/>
  <c r="N103" i="1"/>
  <c r="O103" i="1"/>
  <c r="W103" i="1"/>
  <c r="HP103" i="1"/>
  <c r="N104" i="1"/>
  <c r="O104" i="1"/>
  <c r="W104" i="1"/>
  <c r="HP104" i="1"/>
  <c r="N105" i="1"/>
  <c r="O105" i="1"/>
  <c r="W105" i="1"/>
  <c r="HP105" i="1"/>
  <c r="N106" i="1"/>
  <c r="O106" i="1"/>
  <c r="W106" i="1"/>
  <c r="X106" i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HP106" i="1"/>
  <c r="N108" i="1"/>
  <c r="O108" i="1"/>
  <c r="BB108" i="1"/>
  <c r="BC108" i="1" s="1"/>
  <c r="Q108" i="1" s="1"/>
  <c r="BD108" i="1"/>
  <c r="HP108" i="1"/>
  <c r="N109" i="1"/>
  <c r="O109" i="1"/>
  <c r="W109" i="1"/>
  <c r="X109" i="1"/>
  <c r="Y109" i="1" s="1"/>
  <c r="Z109" i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HP109" i="1"/>
  <c r="HQ109" i="1"/>
  <c r="S111" i="1"/>
  <c r="V111" i="1"/>
  <c r="BG111" i="1"/>
  <c r="BG112" i="1" s="1"/>
  <c r="BH111" i="1"/>
  <c r="BI111" i="1"/>
  <c r="BK111" i="1"/>
  <c r="BK112" i="1" s="1"/>
  <c r="BM111" i="1"/>
  <c r="BN111" i="1"/>
  <c r="BN112" i="1" s="1"/>
  <c r="BP111" i="1"/>
  <c r="BP112" i="1" s="1"/>
  <c r="BR111" i="1"/>
  <c r="BT111" i="1"/>
  <c r="BT112" i="1" s="1"/>
  <c r="BV111" i="1"/>
  <c r="BX111" i="1"/>
  <c r="BZ111" i="1"/>
  <c r="BZ112" i="1" s="1"/>
  <c r="CB111" i="1"/>
  <c r="CD111" i="1"/>
  <c r="CD112" i="1" s="1"/>
  <c r="CF111" i="1"/>
  <c r="CH111" i="1"/>
  <c r="CJ111" i="1"/>
  <c r="CJ112" i="1" s="1"/>
  <c r="CL111" i="1"/>
  <c r="CN111" i="1"/>
  <c r="CP111" i="1"/>
  <c r="CP112" i="1" s="1"/>
  <c r="CR111" i="1"/>
  <c r="CT111" i="1"/>
  <c r="CT112" i="1" s="1"/>
  <c r="CV111" i="1"/>
  <c r="CV112" i="1" s="1"/>
  <c r="CX111" i="1"/>
  <c r="CZ111" i="1"/>
  <c r="CZ112" i="1" s="1"/>
  <c r="DB111" i="1"/>
  <c r="DD111" i="1"/>
  <c r="DF111" i="1"/>
  <c r="DF112" i="1" s="1"/>
  <c r="DH111" i="1"/>
  <c r="DJ111" i="1"/>
  <c r="DJ112" i="1" s="1"/>
  <c r="DL111" i="1"/>
  <c r="DL112" i="1" s="1"/>
  <c r="DN111" i="1"/>
  <c r="DP111" i="1"/>
  <c r="DP112" i="1" s="1"/>
  <c r="DR111" i="1"/>
  <c r="DT111" i="1"/>
  <c r="DV111" i="1"/>
  <c r="DV112" i="1" s="1"/>
  <c r="DX111" i="1"/>
  <c r="DZ111" i="1"/>
  <c r="DZ112" i="1" s="1"/>
  <c r="EB111" i="1"/>
  <c r="EB112" i="1" s="1"/>
  <c r="ED111" i="1"/>
  <c r="EF111" i="1"/>
  <c r="EF112" i="1" s="1"/>
  <c r="EH111" i="1"/>
  <c r="EJ111" i="1"/>
  <c r="EL111" i="1"/>
  <c r="EL112" i="1" s="1"/>
  <c r="EN111" i="1"/>
  <c r="EP111" i="1"/>
  <c r="EP112" i="1" s="1"/>
  <c r="ER111" i="1"/>
  <c r="ER112" i="1" s="1"/>
  <c r="ET111" i="1"/>
  <c r="EV111" i="1"/>
  <c r="EV112" i="1" s="1"/>
  <c r="EX111" i="1"/>
  <c r="EZ111" i="1"/>
  <c r="FB111" i="1"/>
  <c r="FB112" i="1" s="1"/>
  <c r="FD111" i="1"/>
  <c r="FF111" i="1"/>
  <c r="FF112" i="1" s="1"/>
  <c r="FH111" i="1"/>
  <c r="FH112" i="1" s="1"/>
  <c r="FJ111" i="1"/>
  <c r="FL111" i="1"/>
  <c r="FL112" i="1" s="1"/>
  <c r="FN111" i="1"/>
  <c r="FP111" i="1"/>
  <c r="FP112" i="1" s="1"/>
  <c r="FR111" i="1"/>
  <c r="FR112" i="1" s="1"/>
  <c r="FT111" i="1"/>
  <c r="FV111" i="1"/>
  <c r="FV112" i="1" s="1"/>
  <c r="FX111" i="1"/>
  <c r="FX112" i="1" s="1"/>
  <c r="FZ111" i="1"/>
  <c r="GB111" i="1"/>
  <c r="GB112" i="1" s="1"/>
  <c r="GD111" i="1"/>
  <c r="GF111" i="1"/>
  <c r="GH111" i="1"/>
  <c r="GH112" i="1" s="1"/>
  <c r="GJ111" i="1"/>
  <c r="GL111" i="1"/>
  <c r="GL112" i="1" s="1"/>
  <c r="GN111" i="1"/>
  <c r="GN112" i="1" s="1"/>
  <c r="GP111" i="1"/>
  <c r="GR111" i="1"/>
  <c r="GR112" i="1" s="1"/>
  <c r="GT111" i="1"/>
  <c r="GV111" i="1"/>
  <c r="GX111" i="1"/>
  <c r="GX112" i="1" s="1"/>
  <c r="GZ111" i="1"/>
  <c r="HB111" i="1"/>
  <c r="HB112" i="1" s="1"/>
  <c r="HD111" i="1"/>
  <c r="HF111" i="1"/>
  <c r="HH111" i="1"/>
  <c r="HH112" i="1" s="1"/>
  <c r="HJ111" i="1"/>
  <c r="HL111" i="1"/>
  <c r="HN111" i="1"/>
  <c r="HN112" i="1" s="1"/>
  <c r="BH112" i="1"/>
  <c r="BI112" i="1"/>
  <c r="BM112" i="1"/>
  <c r="BR112" i="1"/>
  <c r="BV112" i="1"/>
  <c r="BX112" i="1"/>
  <c r="CB112" i="1"/>
  <c r="CF112" i="1"/>
  <c r="CH112" i="1"/>
  <c r="CL112" i="1"/>
  <c r="CN112" i="1"/>
  <c r="CR112" i="1"/>
  <c r="CX112" i="1"/>
  <c r="DB112" i="1"/>
  <c r="DD112" i="1"/>
  <c r="DH112" i="1"/>
  <c r="DN112" i="1"/>
  <c r="DR112" i="1"/>
  <c r="DT112" i="1"/>
  <c r="DX112" i="1"/>
  <c r="ED112" i="1"/>
  <c r="EH112" i="1"/>
  <c r="EJ112" i="1"/>
  <c r="EN112" i="1"/>
  <c r="ET112" i="1"/>
  <c r="EX112" i="1"/>
  <c r="EZ112" i="1"/>
  <c r="FD112" i="1"/>
  <c r="FJ112" i="1"/>
  <c r="FN112" i="1"/>
  <c r="FT112" i="1"/>
  <c r="FZ112" i="1"/>
  <c r="GD112" i="1"/>
  <c r="GF112" i="1"/>
  <c r="GJ112" i="1"/>
  <c r="GP112" i="1"/>
  <c r="GT112" i="1"/>
  <c r="GV112" i="1"/>
  <c r="GZ112" i="1"/>
  <c r="HD112" i="1"/>
  <c r="HF112" i="1"/>
  <c r="HJ112" i="1"/>
  <c r="HL112" i="1"/>
  <c r="N117" i="1"/>
  <c r="S117" i="1"/>
  <c r="W117" i="1"/>
  <c r="X117" i="1"/>
  <c r="Y117" i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HP117" i="1"/>
  <c r="N118" i="1"/>
  <c r="W118" i="1"/>
  <c r="HP118" i="1"/>
  <c r="W119" i="1"/>
  <c r="X119" i="1"/>
  <c r="Y119" i="1" s="1"/>
  <c r="W120" i="1"/>
  <c r="X120" i="1"/>
  <c r="N121" i="1"/>
  <c r="S121" i="1"/>
  <c r="W121" i="1"/>
  <c r="HP121" i="1"/>
  <c r="W122" i="1"/>
  <c r="X122" i="1"/>
  <c r="Y122" i="1"/>
  <c r="Z122" i="1" s="1"/>
  <c r="AA122" i="1"/>
  <c r="AB122" i="1" s="1"/>
  <c r="AC122" i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S124" i="1"/>
  <c r="BD124" i="1"/>
  <c r="S125" i="1"/>
  <c r="BD125" i="1"/>
  <c r="S126" i="1"/>
  <c r="BD126" i="1"/>
  <c r="S127" i="1"/>
  <c r="BD127" i="1"/>
  <c r="S128" i="1"/>
  <c r="BD128" i="1"/>
  <c r="S130" i="1"/>
  <c r="W130" i="1"/>
  <c r="X130" i="1"/>
  <c r="HP130" i="1"/>
  <c r="S131" i="1"/>
  <c r="W131" i="1"/>
  <c r="X131" i="1"/>
  <c r="Y131" i="1" s="1"/>
  <c r="HP131" i="1"/>
  <c r="S132" i="1"/>
  <c r="W132" i="1"/>
  <c r="X132" i="1" s="1"/>
  <c r="Y132" i="1" s="1"/>
  <c r="HP132" i="1"/>
  <c r="S133" i="1"/>
  <c r="W133" i="1"/>
  <c r="HP133" i="1"/>
  <c r="W134" i="1"/>
  <c r="X134" i="1" s="1"/>
  <c r="Y134" i="1"/>
  <c r="Z134" i="1" s="1"/>
  <c r="AA134" i="1"/>
  <c r="G139" i="1"/>
  <c r="I141" i="1"/>
  <c r="J145" i="1"/>
  <c r="Q146" i="1"/>
  <c r="R146" i="1"/>
  <c r="G150" i="1"/>
  <c r="I150" i="1"/>
  <c r="K156" i="1"/>
  <c r="R156" i="1"/>
  <c r="S156" i="1" s="1"/>
  <c r="G160" i="1"/>
  <c r="G161" i="1"/>
  <c r="H161" i="1"/>
  <c r="G162" i="1"/>
  <c r="I171" i="1"/>
  <c r="J173" i="1"/>
  <c r="H176" i="1"/>
  <c r="I176" i="1"/>
  <c r="AB87" i="1" l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V66" i="1"/>
  <c r="AW66" i="1" s="1"/>
  <c r="AX66" i="1" s="1"/>
  <c r="AY66" i="1" s="1"/>
  <c r="R108" i="1"/>
  <c r="R161" i="1"/>
  <c r="S161" i="1" s="1"/>
  <c r="J181" i="1"/>
  <c r="BD133" i="1"/>
  <c r="K155" i="1"/>
  <c r="AB29" i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BB29" i="1"/>
  <c r="BC29" i="1" s="1"/>
  <c r="Q29" i="1" s="1"/>
  <c r="J163" i="1"/>
  <c r="J155" i="1"/>
  <c r="K148" i="1"/>
  <c r="K143" i="1"/>
  <c r="J139" i="1"/>
  <c r="Z131" i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BB131" i="1"/>
  <c r="BC131" i="1" s="1"/>
  <c r="EH113" i="1"/>
  <c r="BD101" i="1"/>
  <c r="Z94" i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B72" i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BB72" i="1"/>
  <c r="BC72" i="1" s="1"/>
  <c r="Q72" i="1" s="1"/>
  <c r="R72" i="1" s="1"/>
  <c r="BD72" i="1"/>
  <c r="K140" i="1"/>
  <c r="I144" i="1"/>
  <c r="I151" i="1"/>
  <c r="H156" i="1"/>
  <c r="I157" i="1"/>
  <c r="J158" i="1"/>
  <c r="H160" i="1"/>
  <c r="K161" i="1"/>
  <c r="K167" i="1"/>
  <c r="I169" i="1"/>
  <c r="I174" i="1"/>
  <c r="H139" i="1"/>
  <c r="K146" i="1"/>
  <c r="H150" i="1"/>
  <c r="K142" i="1"/>
  <c r="Z22" i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BD22" i="1"/>
  <c r="J172" i="1"/>
  <c r="K169" i="1"/>
  <c r="J166" i="1"/>
  <c r="I163" i="1"/>
  <c r="J160" i="1"/>
  <c r="I155" i="1"/>
  <c r="I148" i="1"/>
  <c r="I143" i="1"/>
  <c r="AB134" i="1"/>
  <c r="BD122" i="1"/>
  <c r="X78" i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BB78" i="1"/>
  <c r="BC78" i="1" s="1"/>
  <c r="Q78" i="1" s="1"/>
  <c r="X121" i="1"/>
  <c r="Z95" i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BB95" i="1"/>
  <c r="BC95" i="1" s="1"/>
  <c r="Q95" i="1" s="1"/>
  <c r="I173" i="1"/>
  <c r="I170" i="1"/>
  <c r="K175" i="1"/>
  <c r="K163" i="1"/>
  <c r="J152" i="1"/>
  <c r="Z119" i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BB119" i="1"/>
  <c r="BC119" i="1" s="1"/>
  <c r="X105" i="1"/>
  <c r="X103" i="1"/>
  <c r="AA67" i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BD67" i="1"/>
  <c r="H175" i="1"/>
  <c r="K166" i="1"/>
  <c r="K160" i="1"/>
  <c r="I152" i="1"/>
  <c r="K174" i="1"/>
  <c r="K168" i="1"/>
  <c r="J165" i="1"/>
  <c r="I162" i="1"/>
  <c r="K157" i="1"/>
  <c r="K151" i="1"/>
  <c r="Z96" i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BB96" i="1"/>
  <c r="BC96" i="1" s="1"/>
  <c r="Q96" i="1" s="1"/>
  <c r="R96" i="1" s="1"/>
  <c r="Y92" i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BB92" i="1"/>
  <c r="BC92" i="1" s="1"/>
  <c r="Q92" i="1" s="1"/>
  <c r="R92" i="1" s="1"/>
  <c r="BD92" i="1"/>
  <c r="BB90" i="1"/>
  <c r="BC90" i="1" s="1"/>
  <c r="Q90" i="1" s="1"/>
  <c r="R90" i="1" s="1"/>
  <c r="AA84" i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BD84" i="1"/>
  <c r="Y23" i="1"/>
  <c r="K176" i="1"/>
  <c r="J174" i="1"/>
  <c r="K171" i="1"/>
  <c r="J168" i="1"/>
  <c r="I165" i="1"/>
  <c r="H162" i="1"/>
  <c r="J159" i="1"/>
  <c r="I154" i="1"/>
  <c r="W111" i="1"/>
  <c r="BB106" i="1"/>
  <c r="BC106" i="1" s="1"/>
  <c r="Q106" i="1" s="1"/>
  <c r="R106" i="1" s="1"/>
  <c r="BD106" i="1"/>
  <c r="X104" i="1"/>
  <c r="BB102" i="1"/>
  <c r="BC102" i="1" s="1"/>
  <c r="Q102" i="1" s="1"/>
  <c r="BD102" i="1"/>
  <c r="BD90" i="1"/>
  <c r="AC81" i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BD81" i="1"/>
  <c r="Y80" i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BD40" i="1"/>
  <c r="J171" i="1"/>
  <c r="I168" i="1"/>
  <c r="I159" i="1"/>
  <c r="X133" i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Y98" i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BB98" i="1"/>
  <c r="BC98" i="1" s="1"/>
  <c r="Q98" i="1" s="1"/>
  <c r="Y93" i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BD93" i="1"/>
  <c r="BD89" i="1"/>
  <c r="AB89" i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A82" i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K153" i="1"/>
  <c r="Z132" i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BB132" i="1"/>
  <c r="BC132" i="1" s="1"/>
  <c r="Y120" i="1"/>
  <c r="Z120" i="1" s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BD117" i="1"/>
  <c r="X86" i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BB86" i="1"/>
  <c r="BC86" i="1" s="1"/>
  <c r="Q86" i="1" s="1"/>
  <c r="BD86" i="1"/>
  <c r="X76" i="1"/>
  <c r="Z41" i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X118" i="1"/>
  <c r="BB117" i="1"/>
  <c r="BC117" i="1" s="1"/>
  <c r="DX114" i="1"/>
  <c r="BB109" i="1"/>
  <c r="BC109" i="1" s="1"/>
  <c r="Q109" i="1" s="1"/>
  <c r="R109" i="1" s="1"/>
  <c r="BD109" i="1"/>
  <c r="X91" i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BD88" i="1"/>
  <c r="Z75" i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Y57" i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Y28" i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BD28" i="1"/>
  <c r="AE18" i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BB18" i="1"/>
  <c r="BC18" i="1" s="1"/>
  <c r="Q18" i="1" s="1"/>
  <c r="AN10" i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BD10" i="1"/>
  <c r="AB8" i="1"/>
  <c r="K172" i="1"/>
  <c r="I166" i="1"/>
  <c r="K164" i="1"/>
  <c r="I160" i="1"/>
  <c r="K158" i="1"/>
  <c r="J157" i="1"/>
  <c r="I156" i="1"/>
  <c r="I153" i="1"/>
  <c r="J151" i="1"/>
  <c r="I146" i="1"/>
  <c r="J144" i="1"/>
  <c r="Y130" i="1"/>
  <c r="BB101" i="1"/>
  <c r="BC101" i="1" s="1"/>
  <c r="Q101" i="1" s="1"/>
  <c r="R101" i="1" s="1"/>
  <c r="BD95" i="1"/>
  <c r="BD94" i="1"/>
  <c r="BB88" i="1"/>
  <c r="BC88" i="1" s="1"/>
  <c r="Q88" i="1" s="1"/>
  <c r="BB82" i="1"/>
  <c r="BC82" i="1" s="1"/>
  <c r="Q82" i="1" s="1"/>
  <c r="R82" i="1" s="1"/>
  <c r="BB81" i="1"/>
  <c r="BC81" i="1" s="1"/>
  <c r="Q81" i="1" s="1"/>
  <c r="R81" i="1" s="1"/>
  <c r="X77" i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BD69" i="1"/>
  <c r="AF52" i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BD52" i="1"/>
  <c r="X39" i="1"/>
  <c r="BD9" i="1"/>
  <c r="I147" i="1"/>
  <c r="J148" i="1"/>
  <c r="K149" i="1"/>
  <c r="H149" i="1"/>
  <c r="K150" i="1"/>
  <c r="I172" i="1"/>
  <c r="H169" i="1"/>
  <c r="J167" i="1"/>
  <c r="I158" i="1"/>
  <c r="K154" i="1"/>
  <c r="I149" i="1"/>
  <c r="H142" i="1"/>
  <c r="I140" i="1"/>
  <c r="K138" i="1"/>
  <c r="BB89" i="1"/>
  <c r="BC89" i="1" s="1"/>
  <c r="Q89" i="1" s="1"/>
  <c r="Y64" i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B51" i="1"/>
  <c r="X34" i="1"/>
  <c r="Z20" i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BB122" i="1"/>
  <c r="BC122" i="1" s="1"/>
  <c r="Y100" i="1"/>
  <c r="BD77" i="1"/>
  <c r="I139" i="1"/>
  <c r="K170" i="1"/>
  <c r="I164" i="1"/>
  <c r="K162" i="1"/>
  <c r="J161" i="1"/>
  <c r="I175" i="1"/>
  <c r="K173" i="1"/>
  <c r="J170" i="1"/>
  <c r="I167" i="1"/>
  <c r="K165" i="1"/>
  <c r="J162" i="1"/>
  <c r="I161" i="1"/>
  <c r="K159" i="1"/>
  <c r="J154" i="1"/>
  <c r="K152" i="1"/>
  <c r="K145" i="1"/>
  <c r="H140" i="1"/>
  <c r="I138" i="1"/>
  <c r="BB99" i="1"/>
  <c r="BC99" i="1" s="1"/>
  <c r="Q99" i="1" s="1"/>
  <c r="R99" i="1" s="1"/>
  <c r="BD99" i="1"/>
  <c r="BD98" i="1"/>
  <c r="X97" i="1"/>
  <c r="BD85" i="1"/>
  <c r="BB85" i="1"/>
  <c r="BC85" i="1" s="1"/>
  <c r="Q85" i="1" s="1"/>
  <c r="R85" i="1" s="1"/>
  <c r="X83" i="1"/>
  <c r="X79" i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BD79" i="1"/>
  <c r="BB74" i="1"/>
  <c r="BC74" i="1" s="1"/>
  <c r="Q74" i="1" s="1"/>
  <c r="R74" i="1" s="1"/>
  <c r="X45" i="1"/>
  <c r="X44" i="1"/>
  <c r="K144" i="1"/>
  <c r="J143" i="1"/>
  <c r="I142" i="1"/>
  <c r="H141" i="1"/>
  <c r="X71" i="1"/>
  <c r="Z68" i="1"/>
  <c r="BB58" i="1"/>
  <c r="BC58" i="1" s="1"/>
  <c r="Q58" i="1" s="1"/>
  <c r="J156" i="1" s="1"/>
  <c r="X54" i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BB54" i="1"/>
  <c r="BC54" i="1" s="1"/>
  <c r="Q54" i="1" s="1"/>
  <c r="R54" i="1" s="1"/>
  <c r="BB33" i="1"/>
  <c r="BC33" i="1" s="1"/>
  <c r="Q33" i="1" s="1"/>
  <c r="X33" i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Z32" i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BB26" i="1"/>
  <c r="BC26" i="1" s="1"/>
  <c r="Q26" i="1" s="1"/>
  <c r="X70" i="1"/>
  <c r="X31" i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K147" i="1"/>
  <c r="J146" i="1"/>
  <c r="I145" i="1"/>
  <c r="K139" i="1"/>
  <c r="J138" i="1"/>
  <c r="BB73" i="1"/>
  <c r="BC73" i="1" s="1"/>
  <c r="Q73" i="1" s="1"/>
  <c r="R73" i="1" s="1"/>
  <c r="X73" i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Z65" i="1"/>
  <c r="Y61" i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BB61" i="1"/>
  <c r="BC61" i="1" s="1"/>
  <c r="Q61" i="1" s="1"/>
  <c r="AA60" i="1"/>
  <c r="X59" i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BB59" i="1"/>
  <c r="BC59" i="1" s="1"/>
  <c r="Q59" i="1" s="1"/>
  <c r="BD59" i="1"/>
  <c r="BD58" i="1"/>
  <c r="BB52" i="1"/>
  <c r="BC52" i="1" s="1"/>
  <c r="Q52" i="1" s="1"/>
  <c r="R52" i="1" s="1"/>
  <c r="Y49" i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X37" i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BB13" i="1"/>
  <c r="BC13" i="1" s="1"/>
  <c r="Q13" i="1" s="1"/>
  <c r="K141" i="1"/>
  <c r="BB67" i="1"/>
  <c r="BC67" i="1" s="1"/>
  <c r="Q67" i="1" s="1"/>
  <c r="R67" i="1" s="1"/>
  <c r="X62" i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X53" i="1"/>
  <c r="Y50" i="1"/>
  <c r="Y36" i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BD74" i="1"/>
  <c r="BB69" i="1"/>
  <c r="BC69" i="1" s="1"/>
  <c r="Q69" i="1" s="1"/>
  <c r="R69" i="1" s="1"/>
  <c r="BD66" i="1"/>
  <c r="X63" i="1"/>
  <c r="BB47" i="1"/>
  <c r="BC47" i="1" s="1"/>
  <c r="Q47" i="1" s="1"/>
  <c r="R47" i="1" s="1"/>
  <c r="X47" i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Z38" i="1"/>
  <c r="BD26" i="1"/>
  <c r="Y21" i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BB21" i="1"/>
  <c r="BC21" i="1" s="1"/>
  <c r="Q21" i="1" s="1"/>
  <c r="R21" i="1" s="1"/>
  <c r="Y56" i="1"/>
  <c r="BB55" i="1"/>
  <c r="BC55" i="1" s="1"/>
  <c r="Q55" i="1" s="1"/>
  <c r="R55" i="1" s="1"/>
  <c r="BD55" i="1"/>
  <c r="Y48" i="1"/>
  <c r="X46" i="1"/>
  <c r="BD43" i="1"/>
  <c r="BB43" i="1"/>
  <c r="BC43" i="1" s="1"/>
  <c r="Q43" i="1" s="1"/>
  <c r="X42" i="1"/>
  <c r="BB35" i="1"/>
  <c r="BC35" i="1" s="1"/>
  <c r="Q35" i="1" s="1"/>
  <c r="BD35" i="1"/>
  <c r="X24" i="1"/>
  <c r="Z19" i="1"/>
  <c r="AA12" i="1"/>
  <c r="Z27" i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BB27" i="1"/>
  <c r="BC27" i="1" s="1"/>
  <c r="Q27" i="1" s="1"/>
  <c r="R27" i="1" s="1"/>
  <c r="BB15" i="1"/>
  <c r="BC15" i="1" s="1"/>
  <c r="Q15" i="1" s="1"/>
  <c r="BD15" i="1"/>
  <c r="Z17" i="1"/>
  <c r="X11" i="1"/>
  <c r="Y11" i="1" s="1"/>
  <c r="X30" i="1"/>
  <c r="BB22" i="1"/>
  <c r="BC22" i="1" s="1"/>
  <c r="Q22" i="1" s="1"/>
  <c r="R22" i="1" s="1"/>
  <c r="BB16" i="1"/>
  <c r="BC16" i="1" s="1"/>
  <c r="Q16" i="1" s="1"/>
  <c r="R16" i="1" s="1"/>
  <c r="X25" i="1"/>
  <c r="BB9" i="1"/>
  <c r="BC9" i="1" s="1"/>
  <c r="Q9" i="1" s="1"/>
  <c r="R9" i="1" s="1"/>
  <c r="X14" i="1"/>
  <c r="BB28" i="1"/>
  <c r="BC28" i="1" s="1"/>
  <c r="Q28" i="1" s="1"/>
  <c r="R28" i="1" s="1"/>
  <c r="BD13" i="1"/>
  <c r="BB130" i="1" l="1"/>
  <c r="BC130" i="1" s="1"/>
  <c r="BD53" i="1"/>
  <c r="R61" i="1"/>
  <c r="G159" i="1"/>
  <c r="H159" i="1"/>
  <c r="R29" i="1"/>
  <c r="J147" i="1"/>
  <c r="Z23" i="1"/>
  <c r="Z50" i="1"/>
  <c r="G171" i="1"/>
  <c r="R102" i="1"/>
  <c r="BD29" i="1"/>
  <c r="R13" i="1"/>
  <c r="G142" i="1"/>
  <c r="J142" i="1"/>
  <c r="AA65" i="1"/>
  <c r="K178" i="1"/>
  <c r="K183" i="1" s="1"/>
  <c r="BB118" i="1"/>
  <c r="BC118" i="1" s="1"/>
  <c r="Q118" i="1" s="1"/>
  <c r="S118" i="1" s="1"/>
  <c r="Y118" i="1"/>
  <c r="Z118" i="1" s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R86" i="1"/>
  <c r="R98" i="1"/>
  <c r="Y25" i="1"/>
  <c r="G157" i="1"/>
  <c r="R59" i="1"/>
  <c r="G169" i="1"/>
  <c r="R95" i="1"/>
  <c r="BD131" i="1"/>
  <c r="BB77" i="1"/>
  <c r="BC77" i="1" s="1"/>
  <c r="Q77" i="1" s="1"/>
  <c r="R77" i="1" s="1"/>
  <c r="R148" i="1"/>
  <c r="Y30" i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BD30" i="1"/>
  <c r="AA19" i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BB19" i="1"/>
  <c r="BC19" i="1" s="1"/>
  <c r="Q19" i="1" s="1"/>
  <c r="R19" i="1" s="1"/>
  <c r="BB97" i="1"/>
  <c r="BC97" i="1" s="1"/>
  <c r="Q97" i="1" s="1"/>
  <c r="R97" i="1" s="1"/>
  <c r="Y97" i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R88" i="1"/>
  <c r="G173" i="1"/>
  <c r="R78" i="1"/>
  <c r="Y24" i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Y46" i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BB46" i="1"/>
  <c r="BC46" i="1" s="1"/>
  <c r="Q46" i="1" s="1"/>
  <c r="R46" i="1" s="1"/>
  <c r="Y63" i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BD63" i="1"/>
  <c r="BB87" i="1"/>
  <c r="BC87" i="1" s="1"/>
  <c r="Q87" i="1" s="1"/>
  <c r="BB20" i="1"/>
  <c r="BC20" i="1" s="1"/>
  <c r="Q20" i="1" s="1"/>
  <c r="R20" i="1" s="1"/>
  <c r="BB64" i="1"/>
  <c r="BC64" i="1" s="1"/>
  <c r="Q64" i="1" s="1"/>
  <c r="R64" i="1" s="1"/>
  <c r="Y76" i="1"/>
  <c r="R89" i="1"/>
  <c r="G168" i="1"/>
  <c r="BB75" i="1"/>
  <c r="BC75" i="1" s="1"/>
  <c r="Q75" i="1" s="1"/>
  <c r="R75" i="1" s="1"/>
  <c r="BD78" i="1"/>
  <c r="BB32" i="1"/>
  <c r="BC32" i="1" s="1"/>
  <c r="Q32" i="1" s="1"/>
  <c r="R58" i="1"/>
  <c r="G156" i="1"/>
  <c r="BD75" i="1"/>
  <c r="BD96" i="1"/>
  <c r="BB93" i="1"/>
  <c r="BC93" i="1" s="1"/>
  <c r="Q93" i="1" s="1"/>
  <c r="R93" i="1" s="1"/>
  <c r="Q148" i="1"/>
  <c r="BD18" i="1"/>
  <c r="AB12" i="1"/>
  <c r="R35" i="1"/>
  <c r="G174" i="1"/>
  <c r="H174" i="1"/>
  <c r="Z48" i="1"/>
  <c r="BB31" i="1"/>
  <c r="BC31" i="1" s="1"/>
  <c r="Q31" i="1" s="1"/>
  <c r="R31" i="1" s="1"/>
  <c r="BD32" i="1"/>
  <c r="Y83" i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BB83" i="1"/>
  <c r="BC83" i="1" s="1"/>
  <c r="Q83" i="1" s="1"/>
  <c r="H171" i="1"/>
  <c r="BD91" i="1"/>
  <c r="BD118" i="1"/>
  <c r="Y104" i="1"/>
  <c r="AA17" i="1"/>
  <c r="BB40" i="1"/>
  <c r="BC40" i="1" s="1"/>
  <c r="Q40" i="1" s="1"/>
  <c r="AA38" i="1"/>
  <c r="BB62" i="1"/>
  <c r="BC62" i="1" s="1"/>
  <c r="Q62" i="1" s="1"/>
  <c r="Y37" i="1"/>
  <c r="BD73" i="1"/>
  <c r="BD31" i="1"/>
  <c r="AA68" i="1"/>
  <c r="Y44" i="1"/>
  <c r="I178" i="1"/>
  <c r="I183" i="1" s="1"/>
  <c r="H157" i="1"/>
  <c r="Z100" i="1"/>
  <c r="AC51" i="1"/>
  <c r="BB91" i="1"/>
  <c r="BC91" i="1" s="1"/>
  <c r="Q91" i="1" s="1"/>
  <c r="R91" i="1" s="1"/>
  <c r="BB41" i="1"/>
  <c r="BC41" i="1" s="1"/>
  <c r="Q41" i="1" s="1"/>
  <c r="R41" i="1" s="1"/>
  <c r="BD82" i="1"/>
  <c r="Z80" i="1"/>
  <c r="AC134" i="1"/>
  <c r="BB94" i="1"/>
  <c r="BC94" i="1" s="1"/>
  <c r="Q94" i="1" s="1"/>
  <c r="R94" i="1" s="1"/>
  <c r="BB133" i="1"/>
  <c r="BC133" i="1" s="1"/>
  <c r="BB66" i="1"/>
  <c r="BC66" i="1" s="1"/>
  <c r="Q66" i="1" s="1"/>
  <c r="Y14" i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BB14" i="1"/>
  <c r="BC14" i="1" s="1"/>
  <c r="Q14" i="1" s="1"/>
  <c r="Y105" i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BB105" i="1"/>
  <c r="BC105" i="1" s="1"/>
  <c r="Q105" i="1" s="1"/>
  <c r="R105" i="1" s="1"/>
  <c r="R26" i="1"/>
  <c r="H147" i="1"/>
  <c r="G147" i="1"/>
  <c r="J176" i="1"/>
  <c r="G176" i="1"/>
  <c r="BB10" i="1"/>
  <c r="BC10" i="1" s="1"/>
  <c r="Q10" i="1" s="1"/>
  <c r="R10" i="1" s="1"/>
  <c r="BB24" i="1"/>
  <c r="BC24" i="1" s="1"/>
  <c r="Q24" i="1" s="1"/>
  <c r="R24" i="1" s="1"/>
  <c r="BD46" i="1"/>
  <c r="BD54" i="1"/>
  <c r="X111" i="1"/>
  <c r="R18" i="1"/>
  <c r="Z11" i="1"/>
  <c r="Y53" i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BB53" i="1"/>
  <c r="BC53" i="1" s="1"/>
  <c r="Q53" i="1" s="1"/>
  <c r="R53" i="1" s="1"/>
  <c r="BB79" i="1"/>
  <c r="BC79" i="1" s="1"/>
  <c r="Q79" i="1" s="1"/>
  <c r="R79" i="1" s="1"/>
  <c r="Y34" i="1"/>
  <c r="BD21" i="1"/>
  <c r="BD61" i="1"/>
  <c r="Y42" i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BB36" i="1"/>
  <c r="BC36" i="1" s="1"/>
  <c r="Q36" i="1" s="1"/>
  <c r="R33" i="1"/>
  <c r="G149" i="1"/>
  <c r="J149" i="1"/>
  <c r="Y45" i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BB45" i="1"/>
  <c r="BC45" i="1" s="1"/>
  <c r="Q45" i="1" s="1"/>
  <c r="R45" i="1" s="1"/>
  <c r="BB57" i="1"/>
  <c r="BC57" i="1" s="1"/>
  <c r="Q57" i="1" s="1"/>
  <c r="R57" i="1" s="1"/>
  <c r="Z130" i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BD130" i="1"/>
  <c r="BB49" i="1"/>
  <c r="BC49" i="1" s="1"/>
  <c r="Q49" i="1" s="1"/>
  <c r="R49" i="1" s="1"/>
  <c r="BB120" i="1"/>
  <c r="BC120" i="1" s="1"/>
  <c r="BD27" i="1"/>
  <c r="BB30" i="1"/>
  <c r="BC30" i="1" s="1"/>
  <c r="Q30" i="1" s="1"/>
  <c r="R15" i="1"/>
  <c r="H144" i="1"/>
  <c r="G144" i="1"/>
  <c r="BD19" i="1"/>
  <c r="R43" i="1"/>
  <c r="H154" i="1"/>
  <c r="G154" i="1"/>
  <c r="Z56" i="1"/>
  <c r="BD47" i="1"/>
  <c r="BD36" i="1"/>
  <c r="BD62" i="1"/>
  <c r="BD49" i="1"/>
  <c r="AB60" i="1"/>
  <c r="Y70" i="1"/>
  <c r="BD33" i="1"/>
  <c r="Y71" i="1"/>
  <c r="BD45" i="1"/>
  <c r="BD20" i="1"/>
  <c r="BD64" i="1"/>
  <c r="Y39" i="1"/>
  <c r="BB84" i="1"/>
  <c r="BC84" i="1" s="1"/>
  <c r="Q84" i="1" s="1"/>
  <c r="R84" i="1" s="1"/>
  <c r="BD132" i="1"/>
  <c r="AC8" i="1"/>
  <c r="BD57" i="1"/>
  <c r="BD41" i="1"/>
  <c r="BD120" i="1"/>
  <c r="Y103" i="1"/>
  <c r="H173" i="1"/>
  <c r="Y121" i="1"/>
  <c r="BD119" i="1"/>
  <c r="BD87" i="1"/>
  <c r="BB23" i="1" l="1"/>
  <c r="BC23" i="1" s="1"/>
  <c r="Q23" i="1" s="1"/>
  <c r="BD37" i="1"/>
  <c r="R87" i="1"/>
  <c r="H167" i="1"/>
  <c r="AD134" i="1"/>
  <c r="AD8" i="1"/>
  <c r="Z71" i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BD71" i="1"/>
  <c r="R14" i="1"/>
  <c r="R139" i="1" s="1"/>
  <c r="G143" i="1"/>
  <c r="H143" i="1"/>
  <c r="Q139" i="1"/>
  <c r="AA80" i="1"/>
  <c r="Z34" i="1"/>
  <c r="Z104" i="1"/>
  <c r="R32" i="1"/>
  <c r="J175" i="1"/>
  <c r="G175" i="1"/>
  <c r="Z76" i="1"/>
  <c r="BD42" i="1"/>
  <c r="Z121" i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BD121" i="1"/>
  <c r="R30" i="1"/>
  <c r="G148" i="1"/>
  <c r="H148" i="1"/>
  <c r="AB68" i="1"/>
  <c r="AA100" i="1"/>
  <c r="AB17" i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BB17" i="1"/>
  <c r="BC17" i="1" s="1"/>
  <c r="Q17" i="1" s="1"/>
  <c r="AC12" i="1"/>
  <c r="BB71" i="1"/>
  <c r="BC71" i="1" s="1"/>
  <c r="Q71" i="1" s="1"/>
  <c r="R71" i="1" s="1"/>
  <c r="Z103" i="1"/>
  <c r="R66" i="1"/>
  <c r="BD83" i="1"/>
  <c r="Z37" i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BB37" i="1"/>
  <c r="BC37" i="1" s="1"/>
  <c r="Q37" i="1" s="1"/>
  <c r="R37" i="1" s="1"/>
  <c r="AA48" i="1"/>
  <c r="BD24" i="1"/>
  <c r="G167" i="1"/>
  <c r="AA23" i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BD14" i="1"/>
  <c r="AA56" i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BB56" i="1"/>
  <c r="BC56" i="1" s="1"/>
  <c r="Q56" i="1" s="1"/>
  <c r="R56" i="1" s="1"/>
  <c r="Y111" i="1"/>
  <c r="AD51" i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BB51" i="1"/>
  <c r="BC51" i="1" s="1"/>
  <c r="Q51" i="1" s="1"/>
  <c r="R51" i="1" s="1"/>
  <c r="AA11" i="1"/>
  <c r="R40" i="1"/>
  <c r="Q143" i="1"/>
  <c r="H153" i="1"/>
  <c r="R83" i="1"/>
  <c r="G166" i="1"/>
  <c r="H166" i="1"/>
  <c r="BB121" i="1"/>
  <c r="BC121" i="1" s="1"/>
  <c r="AC60" i="1"/>
  <c r="Z25" i="1"/>
  <c r="Z111" i="1" s="1"/>
  <c r="AB65" i="1"/>
  <c r="AA50" i="1"/>
  <c r="R36" i="1"/>
  <c r="R62" i="1"/>
  <c r="BD105" i="1"/>
  <c r="Z39" i="1"/>
  <c r="Z70" i="1"/>
  <c r="BB42" i="1"/>
  <c r="BC42" i="1" s="1"/>
  <c r="Q42" i="1" s="1"/>
  <c r="BD51" i="1"/>
  <c r="Z44" i="1"/>
  <c r="AB38" i="1"/>
  <c r="J169" i="1"/>
  <c r="H168" i="1"/>
  <c r="BD97" i="1"/>
  <c r="BB63" i="1"/>
  <c r="BC63" i="1" s="1"/>
  <c r="Q63" i="1" s="1"/>
  <c r="BD12" i="1" l="1"/>
  <c r="AB50" i="1"/>
  <c r="AE8" i="1"/>
  <c r="BD56" i="1"/>
  <c r="AB100" i="1"/>
  <c r="AA104" i="1"/>
  <c r="AA39" i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BD39" i="1"/>
  <c r="R63" i="1"/>
  <c r="AA44" i="1"/>
  <c r="R42" i="1"/>
  <c r="R143" i="1" s="1"/>
  <c r="J153" i="1"/>
  <c r="AC65" i="1"/>
  <c r="AB11" i="1"/>
  <c r="BD23" i="1"/>
  <c r="AE134" i="1"/>
  <c r="AD60" i="1"/>
  <c r="R17" i="1"/>
  <c r="G145" i="1"/>
  <c r="H145" i="1"/>
  <c r="AB80" i="1"/>
  <c r="R23" i="1"/>
  <c r="AB48" i="1"/>
  <c r="AA103" i="1"/>
  <c r="AA70" i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BB70" i="1"/>
  <c r="BC70" i="1" s="1"/>
  <c r="Q70" i="1" s="1"/>
  <c r="R70" i="1" s="1"/>
  <c r="G153" i="1"/>
  <c r="AD12" i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C68" i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BD68" i="1"/>
  <c r="AC38" i="1"/>
  <c r="BB39" i="1"/>
  <c r="BC39" i="1" s="1"/>
  <c r="Q39" i="1" s="1"/>
  <c r="R39" i="1" s="1"/>
  <c r="AA25" i="1"/>
  <c r="BD17" i="1"/>
  <c r="AA76" i="1"/>
  <c r="AA34" i="1"/>
  <c r="AB34" i="1" l="1"/>
  <c r="AC50" i="1"/>
  <c r="AB76" i="1"/>
  <c r="AB103" i="1"/>
  <c r="AC80" i="1"/>
  <c r="AB104" i="1"/>
  <c r="AF134" i="1"/>
  <c r="BB12" i="1"/>
  <c r="BC12" i="1" s="1"/>
  <c r="Q12" i="1" s="1"/>
  <c r="AC48" i="1"/>
  <c r="AB44" i="1"/>
  <c r="AC100" i="1"/>
  <c r="BD70" i="1"/>
  <c r="AD65" i="1"/>
  <c r="AD38" i="1"/>
  <c r="AE60" i="1"/>
  <c r="AB25" i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BB25" i="1"/>
  <c r="BC25" i="1" s="1"/>
  <c r="Q25" i="1" s="1"/>
  <c r="AA111" i="1"/>
  <c r="AC11" i="1"/>
  <c r="BB68" i="1"/>
  <c r="BC68" i="1" s="1"/>
  <c r="Q68" i="1" s="1"/>
  <c r="AF8" i="1"/>
  <c r="BB60" i="1" l="1"/>
  <c r="BC60" i="1" s="1"/>
  <c r="Q60" i="1" s="1"/>
  <c r="AD11" i="1"/>
  <c r="AE38" i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BD38" i="1"/>
  <c r="AD80" i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C34" i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G141" i="1"/>
  <c r="J141" i="1"/>
  <c r="R12" i="1"/>
  <c r="AC103" i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BB103" i="1"/>
  <c r="BC103" i="1" s="1"/>
  <c r="Q103" i="1" s="1"/>
  <c r="AG8" i="1"/>
  <c r="R25" i="1"/>
  <c r="R140" i="1" s="1"/>
  <c r="G146" i="1"/>
  <c r="H146" i="1"/>
  <c r="Q140" i="1"/>
  <c r="R155" i="1"/>
  <c r="S155" i="1" s="1"/>
  <c r="R68" i="1"/>
  <c r="H164" i="1"/>
  <c r="AG134" i="1"/>
  <c r="AC76" i="1"/>
  <c r="AD100" i="1"/>
  <c r="AE65" i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BB65" i="1"/>
  <c r="BC65" i="1" s="1"/>
  <c r="Q65" i="1" s="1"/>
  <c r="AF60" i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BD60" i="1"/>
  <c r="AC104" i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BD104" i="1" s="1"/>
  <c r="BB104" i="1"/>
  <c r="BC104" i="1" s="1"/>
  <c r="Q104" i="1" s="1"/>
  <c r="R104" i="1" s="1"/>
  <c r="AD50" i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BB50" i="1" s="1"/>
  <c r="BC50" i="1" s="1"/>
  <c r="Q50" i="1" s="1"/>
  <c r="R50" i="1" s="1"/>
  <c r="AB111" i="1"/>
  <c r="AC44" i="1"/>
  <c r="BB80" i="1"/>
  <c r="BC80" i="1" s="1"/>
  <c r="Q80" i="1" s="1"/>
  <c r="BD65" i="1"/>
  <c r="AD48" i="1"/>
  <c r="BD25" i="1"/>
  <c r="R60" i="1" l="1"/>
  <c r="G158" i="1"/>
  <c r="H158" i="1"/>
  <c r="BB34" i="1"/>
  <c r="BC34" i="1" s="1"/>
  <c r="Q34" i="1" s="1"/>
  <c r="R80" i="1"/>
  <c r="H165" i="1"/>
  <c r="G165" i="1"/>
  <c r="AE100" i="1"/>
  <c r="R103" i="1"/>
  <c r="G172" i="1"/>
  <c r="H172" i="1"/>
  <c r="AD44" i="1"/>
  <c r="BD103" i="1"/>
  <c r="BB38" i="1"/>
  <c r="BC38" i="1" s="1"/>
  <c r="Q38" i="1" s="1"/>
  <c r="AD76" i="1"/>
  <c r="AC111" i="1"/>
  <c r="R65" i="1"/>
  <c r="G163" i="1"/>
  <c r="H163" i="1"/>
  <c r="AE11" i="1"/>
  <c r="AE48" i="1"/>
  <c r="BD50" i="1"/>
  <c r="AH134" i="1"/>
  <c r="BD34" i="1"/>
  <c r="AH8" i="1"/>
  <c r="BD80" i="1"/>
  <c r="AE44" i="1" l="1"/>
  <c r="R34" i="1"/>
  <c r="R141" i="1" s="1"/>
  <c r="G151" i="1"/>
  <c r="H151" i="1"/>
  <c r="Q141" i="1"/>
  <c r="AI134" i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BD134" i="1" s="1"/>
  <c r="AF48" i="1"/>
  <c r="AD111" i="1"/>
  <c r="AE76" i="1"/>
  <c r="AI8" i="1"/>
  <c r="AF11" i="1"/>
  <c r="R38" i="1"/>
  <c r="R142" i="1" s="1"/>
  <c r="H152" i="1"/>
  <c r="Q142" i="1"/>
  <c r="G152" i="1"/>
  <c r="AF100" i="1"/>
  <c r="BD48" i="1" l="1"/>
  <c r="AJ8" i="1"/>
  <c r="AG100" i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BB100" i="1" s="1"/>
  <c r="BC100" i="1" s="1"/>
  <c r="Q100" i="1" s="1"/>
  <c r="AF76" i="1"/>
  <c r="AE111" i="1"/>
  <c r="AG48" i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BB48" i="1"/>
  <c r="BC48" i="1" s="1"/>
  <c r="Q48" i="1" s="1"/>
  <c r="R48" i="1" s="1"/>
  <c r="AG11" i="1"/>
  <c r="BB134" i="1"/>
  <c r="BC134" i="1" s="1"/>
  <c r="AF44" i="1"/>
  <c r="AF111" i="1" s="1"/>
  <c r="R100" i="1" l="1"/>
  <c r="G170" i="1"/>
  <c r="H170" i="1"/>
  <c r="Q147" i="1"/>
  <c r="AK8" i="1"/>
  <c r="BD100" i="1"/>
  <c r="AG44" i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BD44" i="1" s="1"/>
  <c r="AG76" i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BD76" i="1" s="1"/>
  <c r="BB76" i="1"/>
  <c r="BC76" i="1" s="1"/>
  <c r="Q76" i="1" s="1"/>
  <c r="AH11" i="1"/>
  <c r="AI11" i="1" l="1"/>
  <c r="AH111" i="1"/>
  <c r="R76" i="1"/>
  <c r="J164" i="1"/>
  <c r="G164" i="1"/>
  <c r="Q145" i="1"/>
  <c r="AG111" i="1"/>
  <c r="AL8" i="1"/>
  <c r="BB44" i="1"/>
  <c r="BC44" i="1" s="1"/>
  <c r="Q44" i="1" s="1"/>
  <c r="R147" i="1"/>
  <c r="R145" i="1"/>
  <c r="AM8" i="1" l="1"/>
  <c r="R44" i="1"/>
  <c r="R144" i="1" s="1"/>
  <c r="G155" i="1"/>
  <c r="Q144" i="1"/>
  <c r="H155" i="1"/>
  <c r="AJ11" i="1"/>
  <c r="AI111" i="1"/>
  <c r="AK11" i="1" l="1"/>
  <c r="AJ111" i="1"/>
  <c r="AN8" i="1"/>
  <c r="AO8" i="1" l="1"/>
  <c r="AL11" i="1"/>
  <c r="AK111" i="1"/>
  <c r="AP8" i="1" l="1"/>
  <c r="AM11" i="1"/>
  <c r="AL111" i="1"/>
  <c r="AQ8" i="1" l="1"/>
  <c r="AN11" i="1"/>
  <c r="AM111" i="1"/>
  <c r="AR8" i="1" l="1"/>
  <c r="AO11" i="1"/>
  <c r="AN111" i="1"/>
  <c r="AP11" i="1" l="1"/>
  <c r="AO111" i="1"/>
  <c r="AS8" i="1"/>
  <c r="AQ11" i="1" l="1"/>
  <c r="AP111" i="1"/>
  <c r="AT8" i="1"/>
  <c r="AU8" i="1" l="1"/>
  <c r="AR11" i="1"/>
  <c r="AQ111" i="1"/>
  <c r="AS11" i="1" l="1"/>
  <c r="AR111" i="1"/>
  <c r="AV8" i="1"/>
  <c r="AT11" i="1" l="1"/>
  <c r="AS111" i="1"/>
  <c r="AW8" i="1"/>
  <c r="AU11" i="1" l="1"/>
  <c r="AT111" i="1"/>
  <c r="AX8" i="1"/>
  <c r="AY8" i="1" l="1"/>
  <c r="AV11" i="1"/>
  <c r="AU111" i="1"/>
  <c r="BB8" i="1" l="1"/>
  <c r="BD8" i="1"/>
  <c r="AW11" i="1"/>
  <c r="AV111" i="1"/>
  <c r="AX11" i="1" l="1"/>
  <c r="AW111" i="1"/>
  <c r="BC8" i="1"/>
  <c r="Q8" i="1" s="1"/>
  <c r="H138" i="1" l="1"/>
  <c r="H178" i="1" s="1"/>
  <c r="H183" i="1" s="1"/>
  <c r="H185" i="1" s="1"/>
  <c r="R8" i="1"/>
  <c r="G138" i="1"/>
  <c r="AY11" i="1"/>
  <c r="AX111" i="1"/>
  <c r="BD111" i="1" s="1"/>
  <c r="BD11" i="1" l="1"/>
  <c r="BB11" i="1"/>
  <c r="AY111" i="1"/>
  <c r="BC11" i="1" l="1"/>
  <c r="Q11" i="1" s="1"/>
  <c r="BB111" i="1"/>
  <c r="BC111" i="1" s="1"/>
  <c r="R11" i="1" l="1"/>
  <c r="J140" i="1"/>
  <c r="J178" i="1" s="1"/>
  <c r="J183" i="1" s="1"/>
  <c r="J185" i="1" s="1"/>
  <c r="G140" i="1"/>
  <c r="G178" i="1" s="1"/>
  <c r="G183" i="1" s="1"/>
  <c r="G185" i="1" s="1"/>
  <c r="Q111" i="1"/>
  <c r="Q138" i="1"/>
  <c r="Q150" i="1" s="1"/>
  <c r="R154" i="1"/>
  <c r="S154" i="1" l="1"/>
  <c r="S157" i="1" s="1"/>
  <c r="R157" i="1"/>
  <c r="R138" i="1"/>
  <c r="R150" i="1" s="1"/>
  <c r="R111" i="1"/>
</calcChain>
</file>

<file path=xl/sharedStrings.xml><?xml version="1.0" encoding="utf-8"?>
<sst xmlns="http://schemas.openxmlformats.org/spreadsheetml/2006/main" count="1449" uniqueCount="398">
  <si>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</si>
  <si>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</si>
  <si>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</si>
  <si>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</si>
  <si>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</si>
  <si>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</si>
  <si>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</si>
  <si>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</si>
  <si>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STOW</t>
  </si>
  <si>
    <t>B9-Broadrun</t>
  </si>
  <si>
    <t>801/A05/A06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</si>
  <si>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</si>
  <si>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</si>
  <si>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</si>
  <si>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</si>
  <si>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</si>
  <si>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</si>
  <si>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</si>
  <si>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</si>
  <si>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19E-cmd 4</t>
  </si>
  <si>
    <t>22-coh 3</t>
  </si>
  <si>
    <t>24-coh 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</si>
  <si>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</si>
  <si>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</si>
  <si>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</si>
  <si>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</si>
  <si>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</si>
  <si>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</si>
  <si>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</si>
  <si>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</si>
  <si>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</si>
  <si>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</si>
  <si>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</si>
  <si>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</si>
  <si>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</si>
  <si>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</si>
  <si>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</si>
  <si>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</si>
  <si>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</si>
  <si>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</si>
  <si>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</si>
  <si>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</si>
  <si>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</si>
  <si>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</si>
  <si>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</si>
  <si>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</si>
  <si>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</si>
  <si>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</si>
  <si>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</si>
  <si>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</si>
  <si>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</si>
  <si>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</si>
  <si>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</si>
  <si>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</si>
  <si>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</si>
  <si>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</si>
  <si>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</si>
  <si>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</si>
  <si>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</si>
  <si>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</si>
  <si>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</si>
  <si>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</si>
  <si>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</si>
  <si>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</si>
  <si>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</si>
  <si>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</si>
  <si>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</si>
  <si>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</si>
  <si>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</si>
  <si>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</si>
  <si>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</si>
  <si>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</si>
  <si>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</si>
  <si>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</si>
  <si>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</si>
  <si>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</si>
  <si>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</si>
  <si>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</si>
  <si>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</si>
  <si>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</si>
  <si>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</si>
  <si>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</si>
  <si>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</si>
  <si>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</si>
  <si>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</si>
  <si>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</si>
  <si>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</si>
  <si>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</si>
  <si>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</si>
  <si>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</si>
  <si>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</si>
  <si>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</si>
  <si>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</si>
  <si>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</si>
  <si>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</si>
  <si>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</si>
  <si>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</si>
  <si>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</si>
  <si>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</si>
  <si>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</si>
  <si>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</si>
  <si>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</si>
  <si>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</si>
  <si>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</si>
  <si>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</si>
  <si>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</si>
  <si>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</si>
  <si>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</si>
  <si>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</si>
  <si>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</si>
  <si>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</si>
  <si>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Base</t>
  </si>
  <si>
    <t>R</t>
  </si>
  <si>
    <t>no</t>
  </si>
  <si>
    <t>S11</t>
  </si>
  <si>
    <t>CES Endusers</t>
  </si>
  <si>
    <t>S22</t>
  </si>
  <si>
    <t>RICH</t>
  </si>
  <si>
    <t>yes</t>
  </si>
  <si>
    <t>S23</t>
  </si>
  <si>
    <t>GELP</t>
  </si>
  <si>
    <t>Ron</t>
  </si>
  <si>
    <t>W</t>
  </si>
  <si>
    <t>CALP</t>
  </si>
  <si>
    <t>Hopewell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</si>
  <si>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</si>
  <si>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</si>
  <si>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</si>
  <si>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</si>
  <si>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</si>
  <si>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</si>
  <si>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</si>
  <si>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</si>
  <si>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</si>
  <si>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CKY-3</t>
  </si>
  <si>
    <t>Heidi</t>
  </si>
  <si>
    <t>S59</t>
  </si>
  <si>
    <t>S8</t>
  </si>
  <si>
    <t>MGC-3</t>
  </si>
  <si>
    <t>A03 Endusers</t>
  </si>
  <si>
    <t>Diane</t>
  </si>
  <si>
    <t>S61</t>
  </si>
  <si>
    <t>S24</t>
  </si>
  <si>
    <t>NON-WV Production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</si>
  <si>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</si>
  <si>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</si>
  <si>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</si>
  <si>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</si>
  <si>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</si>
  <si>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</si>
  <si>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</si>
  <si>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</si>
  <si>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</si>
  <si>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</si>
  <si>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</si>
  <si>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</si>
  <si>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</si>
  <si>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</si>
  <si>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</si>
  <si>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</si>
  <si>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</si>
  <si>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S14</t>
  </si>
  <si>
    <t>S5</t>
  </si>
  <si>
    <t>S3</t>
  </si>
  <si>
    <t>Penn Fuel</t>
  </si>
  <si>
    <t>FP&amp;L</t>
  </si>
  <si>
    <t>O&amp;R</t>
  </si>
  <si>
    <t>ESNG</t>
  </si>
  <si>
    <t>Kim</t>
  </si>
  <si>
    <t>COH 5</t>
  </si>
  <si>
    <t>23N</t>
  </si>
  <si>
    <t>S28</t>
  </si>
  <si>
    <t>John</t>
  </si>
  <si>
    <t>CKY 6</t>
  </si>
  <si>
    <t>Boonville Gas</t>
  </si>
  <si>
    <t>ULHP</t>
  </si>
  <si>
    <t>COH 7</t>
  </si>
  <si>
    <t>Swing</t>
  </si>
  <si>
    <t>S21</t>
  </si>
  <si>
    <t>Noel</t>
  </si>
  <si>
    <t>Engage</t>
  </si>
  <si>
    <t>S10</t>
  </si>
  <si>
    <t>ANCHOR HOC</t>
  </si>
  <si>
    <t>WOG</t>
  </si>
  <si>
    <t>S16</t>
  </si>
  <si>
    <t>Suburban</t>
  </si>
  <si>
    <t>Murphy</t>
  </si>
  <si>
    <t>COH 8</t>
  </si>
  <si>
    <t>CPA 8</t>
  </si>
  <si>
    <t>Don</t>
  </si>
  <si>
    <t>S130</t>
  </si>
  <si>
    <t>S54</t>
  </si>
  <si>
    <t>Texaco</t>
  </si>
  <si>
    <t>CMD 8</t>
  </si>
  <si>
    <t>S13</t>
  </si>
  <si>
    <t>MGC-8</t>
  </si>
  <si>
    <t>56W</t>
  </si>
  <si>
    <t>Phil</t>
  </si>
  <si>
    <t>BG&amp;E</t>
  </si>
  <si>
    <t>WGES</t>
  </si>
  <si>
    <t>AMG</t>
  </si>
  <si>
    <t>Covepoint</t>
  </si>
  <si>
    <t>loudoun</t>
  </si>
  <si>
    <t>John H.</t>
  </si>
  <si>
    <t>S59/60</t>
  </si>
  <si>
    <t>RGC</t>
  </si>
  <si>
    <t>WGL</t>
  </si>
  <si>
    <t>S67</t>
  </si>
  <si>
    <t>Providence Hosp.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</si>
  <si>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</si>
  <si>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</si>
  <si>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</si>
  <si>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</si>
  <si>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</si>
  <si>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</si>
  <si>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</si>
  <si>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</si>
  <si>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</si>
  <si>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</si>
  <si>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</si>
  <si>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</si>
  <si>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</si>
  <si>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</si>
  <si>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</si>
  <si>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</si>
  <si>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</si>
  <si>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</si>
  <si>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</si>
  <si>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</si>
  <si>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</si>
  <si>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</si>
  <si>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</si>
  <si>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</si>
  <si>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</si>
  <si>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</si>
  <si>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</si>
  <si>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</si>
  <si>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</si>
  <si>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</si>
  <si>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</si>
  <si>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</si>
  <si>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</si>
  <si>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</si>
  <si>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</si>
  <si>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</si>
  <si>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</si>
  <si>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</si>
  <si>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</si>
  <si>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</si>
  <si>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</si>
  <si>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</si>
  <si>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</si>
  <si>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</si>
  <si>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</si>
  <si>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</si>
  <si>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</si>
  <si>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</si>
  <si>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</si>
  <si>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</si>
  <si>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</si>
  <si>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HOPEWELL</t>
  </si>
  <si>
    <t>CPA-4</t>
  </si>
  <si>
    <t>CMD-4</t>
  </si>
  <si>
    <t>PENN FUEL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</si>
  <si>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</si>
  <si>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</si>
  <si>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</si>
  <si>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</si>
  <si>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</si>
  <si>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</si>
  <si>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</si>
  <si>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</si>
  <si>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</si>
  <si>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</si>
  <si>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</si>
  <si>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</si>
  <si>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</si>
  <si>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</si>
  <si>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</si>
  <si>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</si>
  <si>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</si>
  <si>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</si>
  <si>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</si>
  <si>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</si>
  <si>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A03 TCO Headquarter</t>
  </si>
  <si>
    <t>Scott</t>
  </si>
  <si>
    <t>TCO</t>
  </si>
  <si>
    <t>Mkt -2</t>
  </si>
  <si>
    <t>S82</t>
  </si>
  <si>
    <t>S83</t>
  </si>
  <si>
    <t>S84/85</t>
  </si>
  <si>
    <t>S182</t>
  </si>
  <si>
    <t>S15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</si>
  <si>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</si>
  <si>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</si>
  <si>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</si>
  <si>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</si>
  <si>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</si>
  <si>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</si>
  <si>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</si>
  <si>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</si>
  <si>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</si>
  <si>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Timet</t>
  </si>
  <si>
    <t>Mkt-25</t>
  </si>
  <si>
    <t>Mkt - 20</t>
  </si>
  <si>
    <t>k# 38992/21</t>
  </si>
  <si>
    <t>Mkt - 25</t>
  </si>
  <si>
    <t xml:space="preserve">1) interconnect est. </t>
  </si>
  <si>
    <t>3) CDC swap = 0</t>
  </si>
  <si>
    <t>S70</t>
  </si>
  <si>
    <t>S74</t>
  </si>
  <si>
    <t>S19</t>
  </si>
  <si>
    <t>S17</t>
  </si>
  <si>
    <t>S20</t>
  </si>
  <si>
    <t>S25</t>
  </si>
  <si>
    <t>S29</t>
  </si>
  <si>
    <t>S33</t>
  </si>
  <si>
    <t>Met Ed-21</t>
  </si>
  <si>
    <t>S30</t>
  </si>
  <si>
    <t>S32</t>
  </si>
  <si>
    <t>S31</t>
  </si>
  <si>
    <t>S138</t>
  </si>
  <si>
    <t>S136</t>
  </si>
  <si>
    <t>S135</t>
  </si>
  <si>
    <t>S128</t>
  </si>
  <si>
    <t>S223</t>
  </si>
  <si>
    <t>S224</t>
  </si>
  <si>
    <t>S139</t>
  </si>
  <si>
    <t>WGES - udc 150</t>
  </si>
  <si>
    <t>Novec - udc 172</t>
  </si>
  <si>
    <t>CES Endusers - udc 164</t>
  </si>
  <si>
    <t>Commercial-Choice udc 116</t>
  </si>
  <si>
    <t>Residential-Choice udc 116</t>
  </si>
  <si>
    <t>S93/96</t>
  </si>
  <si>
    <t>S105</t>
  </si>
  <si>
    <t>S201</t>
  </si>
  <si>
    <t>S212</t>
  </si>
  <si>
    <t>S213</t>
  </si>
  <si>
    <t>S214</t>
  </si>
  <si>
    <t>S202</t>
  </si>
  <si>
    <t>S72</t>
  </si>
  <si>
    <t>S247</t>
  </si>
  <si>
    <t>S248</t>
  </si>
  <si>
    <t>S233</t>
  </si>
  <si>
    <t>S245</t>
  </si>
  <si>
    <t>S244</t>
  </si>
  <si>
    <t>S249</t>
  </si>
  <si>
    <t>S251</t>
  </si>
  <si>
    <t>Aprianne</t>
  </si>
  <si>
    <t>DELAprVA</t>
  </si>
  <si>
    <t>Mkt-34</t>
  </si>
  <si>
    <t>ENA</t>
  </si>
  <si>
    <t xml:space="preserve">ENA </t>
  </si>
  <si>
    <t>ENA Tran</t>
  </si>
  <si>
    <t>GC001-Gatherco</t>
  </si>
  <si>
    <t>23N-coh 7</t>
  </si>
  <si>
    <t>A06-McClelland</t>
  </si>
  <si>
    <t>30CS-cgv-1</t>
  </si>
  <si>
    <t>Mkt -36</t>
  </si>
  <si>
    <t>Mkt  -  33</t>
  </si>
  <si>
    <t>52-NYSEG-8</t>
  </si>
  <si>
    <t>22-COH 15</t>
  </si>
  <si>
    <t>Mkt -15</t>
  </si>
  <si>
    <t>F3-Hi/Hat</t>
  </si>
  <si>
    <t>46-CGV 30</t>
  </si>
  <si>
    <t>CES  Endusers</t>
  </si>
  <si>
    <t>Mkt - 21</t>
  </si>
  <si>
    <t xml:space="preserve"> </t>
  </si>
  <si>
    <t>Mkt - 28</t>
  </si>
  <si>
    <t>ENA Endusers</t>
  </si>
  <si>
    <t>E Prime</t>
  </si>
  <si>
    <t>MET ED</t>
  </si>
  <si>
    <t>S263</t>
  </si>
  <si>
    <t>S291</t>
  </si>
  <si>
    <t>S264</t>
  </si>
  <si>
    <t>S265</t>
  </si>
  <si>
    <t>S266</t>
  </si>
  <si>
    <t>S231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</si>
  <si>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</si>
  <si>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</si>
  <si>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</si>
  <si>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</si>
  <si>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</si>
  <si>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</si>
  <si>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</si>
  <si>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</si>
  <si>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</si>
  <si>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</si>
  <si>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</si>
  <si>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Scana</t>
  </si>
  <si>
    <t>S41</t>
  </si>
  <si>
    <t>S48</t>
  </si>
  <si>
    <t>S42</t>
  </si>
  <si>
    <t>S60</t>
  </si>
  <si>
    <t>S50</t>
  </si>
  <si>
    <t>S274</t>
  </si>
  <si>
    <t>June</t>
  </si>
  <si>
    <t>Juneianne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</si>
</sst>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47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4"/>
      <name val="Britannic Bold"/>
      <family val="2"/>
    </font>
    <font>
      <sz val="12"/>
      <color indexed="59"/>
      <name val="CG Times"/>
      <family val="1"/>
    </font>
    <font>
      <b/>
      <sz val="12"/>
      <color indexed="54"/>
      <name val="CG Times"/>
      <family val="1"/>
    </font>
    <font>
      <b/>
      <sz val="12"/>
      <color indexed="17"/>
      <name val="CG Times"/>
    </font>
    <font>
      <b/>
      <sz val="13"/>
      <color indexed="53"/>
      <name val="CG Times"/>
      <family val="1"/>
    </font>
    <font>
      <sz val="12"/>
      <color indexed="53"/>
      <name val="CG Times"/>
      <family val="1"/>
    </font>
    <font>
      <b/>
      <sz val="12"/>
      <color indexed="53"/>
      <name val="CG Times"/>
      <family val="1"/>
    </font>
    <font>
      <b/>
      <sz val="12"/>
      <color indexed="12"/>
      <name val="CG Times"/>
    </font>
    <font>
      <b/>
      <sz val="12"/>
      <name val="CG Times"/>
    </font>
    <font>
      <b/>
      <sz val="12"/>
      <color indexed="53"/>
      <name val="CG Times"/>
    </font>
    <font>
      <b/>
      <sz val="13"/>
      <color indexed="12"/>
      <name val="CG Times"/>
    </font>
    <font>
      <b/>
      <sz val="10"/>
      <color indexed="10"/>
      <name val="Arial Narrow"/>
      <family val="2"/>
    </font>
    <font>
      <b/>
      <sz val="12"/>
      <color indexed="16"/>
      <name val="CG Times"/>
      <family val="1"/>
    </font>
    <font>
      <b/>
      <sz val="13"/>
      <color indexed="12"/>
      <name val="CG Times"/>
      <family val="1"/>
    </font>
    <font>
      <sz val="12"/>
      <color indexed="17"/>
      <name val="CG Times"/>
    </font>
    <font>
      <b/>
      <sz val="11"/>
      <color indexed="10"/>
      <name val="Arial Narrow"/>
      <family val="2"/>
    </font>
    <font>
      <b/>
      <sz val="12"/>
      <color indexed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4" fillId="0" borderId="0" xfId="0" applyNumberFormat="1" applyFont="1"/>
    <xf numFmtId="0" fontId="15" fillId="0" borderId="0" xfId="0" applyFont="1" applyFill="1" applyBorder="1" applyAlignment="1">
      <alignment horizontal="center"/>
    </xf>
    <xf numFmtId="0" fontId="13" fillId="3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3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6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14" fontId="17" fillId="0" borderId="0" xfId="0" applyNumberFormat="1" applyFont="1"/>
    <xf numFmtId="3" fontId="17" fillId="0" borderId="0" xfId="0" applyNumberFormat="1" applyFont="1"/>
    <xf numFmtId="0" fontId="17" fillId="0" borderId="0" xfId="0" applyNumberFormat="1" applyFont="1" applyAlignment="1">
      <alignment horizontal="right"/>
    </xf>
    <xf numFmtId="0" fontId="17" fillId="0" borderId="1" xfId="0" applyNumberFormat="1" applyFont="1" applyFill="1" applyBorder="1" applyAlignment="1">
      <alignment horizontal="right"/>
    </xf>
    <xf numFmtId="49" fontId="17" fillId="0" borderId="0" xfId="0" applyNumberFormat="1" applyFont="1"/>
    <xf numFmtId="3" fontId="18" fillId="0" borderId="0" xfId="0" applyNumberFormat="1" applyFont="1"/>
    <xf numFmtId="0" fontId="18" fillId="0" borderId="0" xfId="0" applyFont="1" applyAlignment="1">
      <alignment horizontal="right"/>
    </xf>
    <xf numFmtId="14" fontId="18" fillId="0" borderId="0" xfId="0" applyNumberFormat="1" applyFont="1"/>
    <xf numFmtId="0" fontId="12" fillId="3" borderId="0" xfId="0" applyFont="1" applyFill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0" fontId="2" fillId="0" borderId="0" xfId="0" applyFont="1"/>
    <xf numFmtId="49" fontId="19" fillId="0" borderId="0" xfId="0" applyNumberFormat="1" applyFont="1"/>
    <xf numFmtId="0" fontId="20" fillId="0" borderId="0" xfId="0" applyFont="1" applyFill="1"/>
    <xf numFmtId="14" fontId="20" fillId="0" borderId="0" xfId="0" applyNumberFormat="1" applyFont="1" applyFill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10" fillId="0" borderId="0" xfId="0" applyFont="1" applyBorder="1"/>
    <xf numFmtId="14" fontId="21" fillId="0" borderId="0" xfId="0" applyNumberFormat="1" applyFont="1"/>
    <xf numFmtId="3" fontId="21" fillId="0" borderId="0" xfId="0" applyNumberFormat="1" applyFont="1" applyBorder="1"/>
    <xf numFmtId="0" fontId="21" fillId="0" borderId="0" xfId="0" applyNumberFormat="1" applyFont="1" applyBorder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0" fontId="21" fillId="0" borderId="0" xfId="0" applyNumberFormat="1" applyFont="1" applyAlignment="1">
      <alignment horizontal="right"/>
    </xf>
    <xf numFmtId="49" fontId="21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3" fontId="21" fillId="0" borderId="0" xfId="0" applyNumberFormat="1" applyFont="1"/>
    <xf numFmtId="49" fontId="21" fillId="0" borderId="0" xfId="0" applyNumberFormat="1" applyFont="1"/>
    <xf numFmtId="0" fontId="21" fillId="0" borderId="0" xfId="0" applyFont="1" applyFill="1"/>
    <xf numFmtId="0" fontId="22" fillId="0" borderId="0" xfId="0" applyFont="1"/>
    <xf numFmtId="0" fontId="22" fillId="0" borderId="0" xfId="0" applyFont="1" applyAlignment="1">
      <alignment horizontal="right"/>
    </xf>
    <xf numFmtId="14" fontId="22" fillId="0" borderId="0" xfId="0" applyNumberFormat="1" applyFont="1"/>
    <xf numFmtId="3" fontId="22" fillId="0" borderId="0" xfId="0" applyNumberFormat="1" applyFont="1"/>
    <xf numFmtId="0" fontId="22" fillId="0" borderId="0" xfId="0" applyNumberFormat="1" applyFont="1" applyAlignment="1">
      <alignment horizontal="right"/>
    </xf>
    <xf numFmtId="49" fontId="22" fillId="0" borderId="0" xfId="0" applyNumberFormat="1" applyFont="1"/>
    <xf numFmtId="3" fontId="22" fillId="0" borderId="0" xfId="0" applyNumberFormat="1" applyFont="1" applyBorder="1"/>
    <xf numFmtId="0" fontId="20" fillId="0" borderId="0" xfId="0" applyFont="1"/>
    <xf numFmtId="0" fontId="20" fillId="0" borderId="0" xfId="0" applyFont="1" applyAlignment="1">
      <alignment horizontal="right"/>
    </xf>
    <xf numFmtId="14" fontId="20" fillId="0" borderId="0" xfId="0" applyNumberFormat="1" applyFont="1"/>
    <xf numFmtId="3" fontId="20" fillId="0" borderId="0" xfId="0" applyNumberFormat="1" applyFont="1"/>
    <xf numFmtId="0" fontId="20" fillId="0" borderId="0" xfId="0" applyNumberFormat="1" applyFont="1" applyAlignment="1">
      <alignment horizontal="right"/>
    </xf>
    <xf numFmtId="0" fontId="20" fillId="0" borderId="1" xfId="0" applyNumberFormat="1" applyFont="1" applyFill="1" applyBorder="1" applyAlignment="1">
      <alignment horizontal="right"/>
    </xf>
    <xf numFmtId="49" fontId="20" fillId="0" borderId="0" xfId="0" applyNumberFormat="1" applyFont="1"/>
    <xf numFmtId="3" fontId="20" fillId="0" borderId="0" xfId="0" applyNumberFormat="1" applyFont="1" applyBorder="1"/>
    <xf numFmtId="3" fontId="8" fillId="0" borderId="0" xfId="0" applyNumberFormat="1" applyFont="1" applyBorder="1"/>
    <xf numFmtId="0" fontId="23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4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2" xfId="0" applyFont="1" applyBorder="1"/>
    <xf numFmtId="3" fontId="25" fillId="0" borderId="0" xfId="0" applyNumberFormat="1" applyFont="1"/>
    <xf numFmtId="3" fontId="23" fillId="0" borderId="0" xfId="0" applyNumberFormat="1" applyFont="1" applyBorder="1" applyAlignment="1">
      <alignment horizontal="center"/>
    </xf>
    <xf numFmtId="0" fontId="23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right"/>
    </xf>
    <xf numFmtId="0" fontId="27" fillId="0" borderId="0" xfId="0" applyFont="1"/>
    <xf numFmtId="3" fontId="26" fillId="0" borderId="0" xfId="0" applyNumberFormat="1" applyFont="1"/>
    <xf numFmtId="0" fontId="26" fillId="0" borderId="0" xfId="0" applyNumberFormat="1" applyFont="1" applyAlignment="1">
      <alignment horizontal="right"/>
    </xf>
    <xf numFmtId="0" fontId="26" fillId="0" borderId="1" xfId="0" applyNumberFormat="1" applyFont="1" applyFill="1" applyBorder="1" applyAlignment="1">
      <alignment horizontal="right"/>
    </xf>
    <xf numFmtId="49" fontId="26" fillId="0" borderId="0" xfId="0" applyNumberFormat="1" applyFont="1"/>
    <xf numFmtId="0" fontId="28" fillId="0" borderId="0" xfId="0" applyFont="1"/>
    <xf numFmtId="16" fontId="13" fillId="0" borderId="0" xfId="0" applyNumberFormat="1" applyFont="1"/>
    <xf numFmtId="0" fontId="29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49" fontId="10" fillId="0" borderId="0" xfId="0" applyNumberFormat="1" applyFont="1"/>
    <xf numFmtId="3" fontId="10" fillId="0" borderId="0" xfId="0" applyNumberFormat="1" applyFont="1" applyBorder="1"/>
    <xf numFmtId="0" fontId="30" fillId="2" borderId="0" xfId="0" applyFont="1" applyFill="1" applyAlignment="1">
      <alignment horizontal="left"/>
    </xf>
    <xf numFmtId="0" fontId="8" fillId="2" borderId="0" xfId="0" applyFont="1" applyFill="1"/>
    <xf numFmtId="0" fontId="14" fillId="2" borderId="0" xfId="0" applyFont="1" applyFill="1"/>
    <xf numFmtId="0" fontId="32" fillId="0" borderId="0" xfId="0" applyFont="1"/>
    <xf numFmtId="0" fontId="31" fillId="0" borderId="0" xfId="0" applyFont="1" applyFill="1"/>
    <xf numFmtId="0" fontId="22" fillId="0" borderId="1" xfId="0" applyNumberFormat="1" applyFont="1" applyFill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1" fontId="13" fillId="0" borderId="0" xfId="0" applyNumberFormat="1" applyFont="1" applyAlignment="1">
      <alignment horizontal="right"/>
    </xf>
    <xf numFmtId="0" fontId="33" fillId="0" borderId="1" xfId="0" applyNumberFormat="1" applyFont="1" applyFill="1" applyBorder="1" applyAlignment="1">
      <alignment horizontal="right"/>
    </xf>
    <xf numFmtId="0" fontId="34" fillId="0" borderId="0" xfId="0" applyFont="1"/>
    <xf numFmtId="0" fontId="34" fillId="0" borderId="0" xfId="0" applyFont="1" applyAlignment="1">
      <alignment horizontal="right"/>
    </xf>
    <xf numFmtId="0" fontId="35" fillId="0" borderId="0" xfId="0" applyFont="1"/>
    <xf numFmtId="14" fontId="34" fillId="0" borderId="0" xfId="0" applyNumberFormat="1" applyFont="1"/>
    <xf numFmtId="3" fontId="36" fillId="0" borderId="0" xfId="0" applyNumberFormat="1" applyFont="1"/>
    <xf numFmtId="3" fontId="34" fillId="0" borderId="0" xfId="0" applyNumberFormat="1" applyFont="1"/>
    <xf numFmtId="0" fontId="34" fillId="0" borderId="0" xfId="0" applyNumberFormat="1" applyFont="1" applyAlignment="1">
      <alignment horizontal="right"/>
    </xf>
    <xf numFmtId="0" fontId="34" fillId="0" borderId="1" xfId="0" applyNumberFormat="1" applyFont="1" applyFill="1" applyBorder="1" applyAlignment="1">
      <alignment horizontal="right"/>
    </xf>
    <xf numFmtId="0" fontId="36" fillId="0" borderId="0" xfId="0" applyNumberFormat="1" applyFont="1" applyAlignment="1">
      <alignment horizontal="right"/>
    </xf>
    <xf numFmtId="0" fontId="35" fillId="0" borderId="0" xfId="0" applyNumberFormat="1" applyFont="1" applyAlignment="1">
      <alignment horizontal="right"/>
    </xf>
    <xf numFmtId="49" fontId="34" fillId="0" borderId="0" xfId="0" applyNumberFormat="1" applyFont="1"/>
    <xf numFmtId="1" fontId="8" fillId="0" borderId="0" xfId="0" applyNumberFormat="1" applyFont="1" applyAlignment="1">
      <alignment horizontal="right"/>
    </xf>
    <xf numFmtId="1" fontId="35" fillId="0" borderId="0" xfId="0" applyNumberFormat="1" applyFont="1" applyAlignment="1">
      <alignment horizontal="right"/>
    </xf>
    <xf numFmtId="3" fontId="13" fillId="0" borderId="1" xfId="0" applyNumberFormat="1" applyFont="1" applyFill="1" applyBorder="1" applyAlignment="1">
      <alignment horizontal="right"/>
    </xf>
    <xf numFmtId="0" fontId="21" fillId="3" borderId="1" xfId="0" applyNumberFormat="1" applyFont="1" applyFill="1" applyBorder="1" applyAlignment="1">
      <alignment horizontal="right"/>
    </xf>
    <xf numFmtId="0" fontId="37" fillId="0" borderId="1" xfId="0" applyNumberFormat="1" applyFont="1" applyFill="1" applyBorder="1" applyAlignment="1">
      <alignment horizontal="right"/>
    </xf>
    <xf numFmtId="0" fontId="39" fillId="0" borderId="0" xfId="0" applyFont="1"/>
    <xf numFmtId="0" fontId="39" fillId="0" borderId="0" xfId="0" applyFont="1" applyAlignment="1">
      <alignment horizontal="right"/>
    </xf>
    <xf numFmtId="3" fontId="39" fillId="0" borderId="0" xfId="0" applyNumberFormat="1" applyFont="1"/>
    <xf numFmtId="0" fontId="39" fillId="0" borderId="0" xfId="0" applyNumberFormat="1" applyFont="1" applyAlignment="1">
      <alignment horizontal="right"/>
    </xf>
    <xf numFmtId="0" fontId="39" fillId="0" borderId="1" xfId="0" applyNumberFormat="1" applyFont="1" applyFill="1" applyBorder="1" applyAlignment="1">
      <alignment horizontal="right"/>
    </xf>
    <xf numFmtId="49" fontId="39" fillId="0" borderId="0" xfId="0" applyNumberFormat="1" applyFont="1"/>
    <xf numFmtId="0" fontId="11" fillId="0" borderId="0" xfId="0" applyFont="1" applyFill="1" applyAlignment="1">
      <alignment horizontal="right"/>
    </xf>
    <xf numFmtId="0" fontId="38" fillId="0" borderId="0" xfId="0" applyFont="1"/>
    <xf numFmtId="0" fontId="40" fillId="0" borderId="0" xfId="0" applyFont="1" applyFill="1" applyAlignment="1">
      <alignment horizontal="right"/>
    </xf>
    <xf numFmtId="0" fontId="41" fillId="0" borderId="0" xfId="0" applyFont="1" applyAlignment="1">
      <alignment horizontal="left"/>
    </xf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8" fillId="0" borderId="0" xfId="0" applyFont="1" applyBorder="1"/>
    <xf numFmtId="0" fontId="2" fillId="4" borderId="0" xfId="0" applyFont="1" applyFill="1" applyAlignment="1">
      <alignment horizontal="left"/>
    </xf>
    <xf numFmtId="0" fontId="7" fillId="4" borderId="0" xfId="0" applyFont="1" applyFill="1"/>
    <xf numFmtId="0" fontId="7" fillId="4" borderId="0" xfId="0" applyFont="1" applyFill="1" applyAlignment="1">
      <alignment horizontal="right"/>
    </xf>
    <xf numFmtId="0" fontId="12" fillId="4" borderId="0" xfId="0" applyFont="1" applyFill="1" applyAlignment="1">
      <alignment horizontal="right"/>
    </xf>
    <xf numFmtId="0" fontId="7" fillId="4" borderId="2" xfId="0" applyFont="1" applyFill="1" applyBorder="1"/>
    <xf numFmtId="0" fontId="13" fillId="4" borderId="0" xfId="0" applyFont="1" applyFill="1"/>
    <xf numFmtId="0" fontId="8" fillId="4" borderId="0" xfId="0" applyFont="1" applyFill="1"/>
    <xf numFmtId="0" fontId="11" fillId="4" borderId="0" xfId="0" applyFont="1" applyFill="1"/>
    <xf numFmtId="0" fontId="17" fillId="4" borderId="0" xfId="0" applyFont="1" applyFill="1"/>
    <xf numFmtId="0" fontId="18" fillId="4" borderId="0" xfId="0" applyFont="1" applyFill="1"/>
    <xf numFmtId="0" fontId="31" fillId="4" borderId="0" xfId="0" applyFont="1" applyFill="1"/>
    <xf numFmtId="0" fontId="42" fillId="4" borderId="0" xfId="0" applyFont="1" applyFill="1"/>
    <xf numFmtId="0" fontId="43" fillId="4" borderId="0" xfId="0" applyFont="1" applyFill="1"/>
    <xf numFmtId="0" fontId="21" fillId="4" borderId="0" xfId="0" applyFont="1" applyFill="1" applyBorder="1"/>
    <xf numFmtId="0" fontId="21" fillId="4" borderId="0" xfId="0" applyFont="1" applyFill="1"/>
    <xf numFmtId="0" fontId="44" fillId="4" borderId="0" xfId="0" applyFont="1" applyFill="1"/>
    <xf numFmtId="0" fontId="20" fillId="4" borderId="0" xfId="0" applyFont="1" applyFill="1"/>
    <xf numFmtId="0" fontId="14" fillId="4" borderId="0" xfId="0" applyFont="1" applyFill="1"/>
    <xf numFmtId="0" fontId="26" fillId="4" borderId="0" xfId="0" applyFont="1" applyFill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Q206"/>
  <sheetViews>
    <sheetView tabSelected="1" zoomScale="90" zoomScaleNormal="100" workbookViewId="0">
      <selection activeCell="F20" sqref="F20"/>
    </sheetView>
  </sheetViews>
  <sheetFormatPr defaultColWidth="11" defaultRowHeight="12.75" outlineLevelRow="1" outlineLevelCol="1"/>
  <cols>
    <col min="1" max="1" width="17.5703125" style="155" bestFit="1" customWidth="1"/>
    <col min="2" max="2" width="11.42578125" style="156" bestFit="1" customWidth="1"/>
    <col min="3" max="3" width="6" style="155" bestFit="1" customWidth="1"/>
    <col min="4" max="4" width="5.140625" style="157" customWidth="1"/>
    <col min="5" max="5" width="4.42578125" style="155" bestFit="1" customWidth="1"/>
    <col min="6" max="6" width="26.28515625" style="155" bestFit="1" customWidth="1"/>
    <col min="7" max="7" width="9" style="155" customWidth="1" outlineLevel="1"/>
    <col min="8" max="8" width="14.140625" style="155" customWidth="1" outlineLevel="1"/>
    <col min="9" max="9" width="9.7109375" style="155" customWidth="1" outlineLevel="1"/>
    <col min="10" max="10" width="9.140625" style="155" customWidth="1" outlineLevel="1"/>
    <col min="11" max="11" width="12.28515625" style="156" customWidth="1" outlineLevel="1"/>
    <col min="12" max="12" width="8.7109375" style="155" customWidth="1" outlineLevel="1"/>
    <col min="13" max="13" width="10.42578125" style="155" customWidth="1" outlineLevel="1"/>
    <col min="14" max="14" width="10.5703125" style="155" customWidth="1" outlineLevel="1"/>
    <col min="15" max="15" width="13.5703125" style="155" customWidth="1" outlineLevel="1"/>
    <col min="16" max="16" width="3.5703125" style="155" customWidth="1" outlineLevel="1"/>
    <col min="17" max="17" width="10.28515625" style="158" customWidth="1" outlineLevel="1"/>
    <col min="18" max="18" width="9" style="158" customWidth="1" outlineLevel="1"/>
    <col min="19" max="19" width="9.28515625" style="158" customWidth="1" outlineLevel="1"/>
    <col min="20" max="20" width="8.85546875" style="159" customWidth="1" outlineLevel="1"/>
    <col min="21" max="21" width="3" style="159" customWidth="1" outlineLevel="1"/>
    <col min="22" max="22" width="8.85546875" style="160" customWidth="1"/>
    <col min="23" max="52" width="8.85546875" style="159" customWidth="1" outlineLevel="1"/>
    <col min="53" max="53" width="3" style="159" customWidth="1" outlineLevel="1"/>
    <col min="54" max="54" width="10.7109375" style="159" customWidth="1" outlineLevel="1"/>
    <col min="55" max="55" width="10.42578125" style="159" customWidth="1" outlineLevel="1"/>
    <col min="56" max="56" width="12" style="159" customWidth="1"/>
    <col min="57" max="57" width="3.28515625" style="159" customWidth="1"/>
    <col min="58" max="58" width="9.85546875" style="158" hidden="1" customWidth="1" outlineLevel="1"/>
    <col min="59" max="60" width="11" style="155" hidden="1" customWidth="1" outlineLevel="1"/>
    <col min="61" max="61" width="13.85546875" style="155" hidden="1" customWidth="1" outlineLevel="1"/>
    <col min="62" max="62" width="2.7109375" style="155" hidden="1" customWidth="1" outlineLevel="1"/>
    <col min="63" max="63" width="11" style="155" hidden="1" customWidth="1" outlineLevel="1"/>
    <col min="64" max="64" width="2.7109375" style="155" hidden="1" customWidth="1" outlineLevel="1"/>
    <col min="65" max="65" width="11" style="155" hidden="1" customWidth="1" outlineLevel="1"/>
    <col min="66" max="66" width="17.5703125" style="155" hidden="1" customWidth="1" outlineLevel="1"/>
    <col min="67" max="67" width="5.5703125" style="161" hidden="1" customWidth="1" outlineLevel="1"/>
    <col min="68" max="68" width="17.5703125" style="155" hidden="1" customWidth="1" outlineLevel="1"/>
    <col min="69" max="69" width="4.7109375" style="155" hidden="1" customWidth="1" outlineLevel="1"/>
    <col min="70" max="70" width="15.28515625" style="155" hidden="1" customWidth="1" outlineLevel="1"/>
    <col min="71" max="71" width="4.28515625" style="155" hidden="1" customWidth="1" outlineLevel="1"/>
    <col min="72" max="72" width="15.28515625" style="155" hidden="1" customWidth="1" outlineLevel="1"/>
    <col min="73" max="73" width="4.28515625" style="155" hidden="1" customWidth="1" outlineLevel="1"/>
    <col min="74" max="74" width="11" style="155" hidden="1" customWidth="1" outlineLevel="1"/>
    <col min="75" max="75" width="4.28515625" style="155" hidden="1" customWidth="1" outlineLevel="1"/>
    <col min="76" max="76" width="11" style="155" hidden="1" customWidth="1" outlineLevel="1"/>
    <col min="77" max="77" width="3.28515625" style="155" hidden="1" customWidth="1" outlineLevel="1"/>
    <col min="78" max="78" width="11" style="155" hidden="1" customWidth="1" outlineLevel="1"/>
    <col min="79" max="79" width="3.28515625" style="155" hidden="1" customWidth="1" outlineLevel="1"/>
    <col min="80" max="80" width="11" style="155" hidden="1" customWidth="1" outlineLevel="1"/>
    <col min="81" max="81" width="3.28515625" style="155" hidden="1" customWidth="1" outlineLevel="1"/>
    <col min="82" max="82" width="11" style="155" hidden="1" customWidth="1" outlineLevel="1"/>
    <col min="83" max="83" width="4.140625" style="155" hidden="1" customWidth="1" outlineLevel="1"/>
    <col min="84" max="84" width="11" style="155" hidden="1" customWidth="1" outlineLevel="1"/>
    <col min="85" max="85" width="3.28515625" style="155" hidden="1" customWidth="1" outlineLevel="1"/>
    <col min="86" max="86" width="11" style="155" hidden="1" customWidth="1" outlineLevel="1"/>
    <col min="87" max="87" width="3.28515625" style="155" hidden="1" customWidth="1" outlineLevel="1"/>
    <col min="88" max="88" width="12.140625" style="155" hidden="1" customWidth="1" outlineLevel="1"/>
    <col min="89" max="89" width="2.7109375" style="155" hidden="1" customWidth="1" outlineLevel="1"/>
    <col min="90" max="90" width="12.140625" style="155" hidden="1" customWidth="1" outlineLevel="1"/>
    <col min="91" max="91" width="4" style="155" hidden="1" customWidth="1" outlineLevel="1"/>
    <col min="92" max="92" width="12.140625" style="155" hidden="1" customWidth="1" outlineLevel="1"/>
    <col min="93" max="93" width="2.7109375" style="155" hidden="1" customWidth="1" outlineLevel="1"/>
    <col min="94" max="94" width="12.140625" style="155" hidden="1" customWidth="1" outlineLevel="1"/>
    <col min="95" max="95" width="2.7109375" style="155" hidden="1" customWidth="1" outlineLevel="1"/>
    <col min="96" max="96" width="12.140625" style="155" hidden="1" customWidth="1" outlineLevel="1"/>
    <col min="97" max="97" width="2.7109375" style="155" hidden="1" customWidth="1" outlineLevel="1"/>
    <col min="98" max="98" width="12.140625" style="155" hidden="1" customWidth="1" outlineLevel="1"/>
    <col min="99" max="99" width="2.7109375" style="155" hidden="1" customWidth="1" outlineLevel="1"/>
    <col min="100" max="100" width="12.140625" style="155" hidden="1" customWidth="1" outlineLevel="1"/>
    <col min="101" max="101" width="2.5703125" style="155" hidden="1" customWidth="1" outlineLevel="1"/>
    <col min="102" max="102" width="12.140625" style="155" hidden="1" customWidth="1" outlineLevel="1"/>
    <col min="103" max="103" width="2.7109375" style="155" hidden="1" customWidth="1" outlineLevel="1"/>
    <col min="104" max="104" width="12.140625" style="155" hidden="1" customWidth="1" outlineLevel="1"/>
    <col min="105" max="105" width="2.7109375" style="155" hidden="1" customWidth="1" outlineLevel="1"/>
    <col min="106" max="106" width="12.140625" style="155" hidden="1" customWidth="1" outlineLevel="1"/>
    <col min="107" max="107" width="2.7109375" style="155" hidden="1" customWidth="1" outlineLevel="1"/>
    <col min="108" max="108" width="12.140625" style="155" hidden="1" customWidth="1" outlineLevel="1"/>
    <col min="109" max="109" width="2.7109375" style="155" hidden="1" customWidth="1" outlineLevel="1"/>
    <col min="110" max="110" width="12.140625" style="155" hidden="1" customWidth="1" outlineLevel="1"/>
    <col min="111" max="111" width="2.7109375" style="155" hidden="1" customWidth="1" outlineLevel="1"/>
    <col min="112" max="112" width="12.140625" style="155" hidden="1" customWidth="1" outlineLevel="1"/>
    <col min="113" max="113" width="2.7109375" style="155" hidden="1" customWidth="1" outlineLevel="1"/>
    <col min="114" max="114" width="12.140625" style="155" hidden="1" customWidth="1" outlineLevel="1"/>
    <col min="115" max="115" width="2.7109375" style="155" hidden="1" customWidth="1" outlineLevel="1"/>
    <col min="116" max="116" width="12.140625" style="155" hidden="1" customWidth="1" outlineLevel="1"/>
    <col min="117" max="117" width="3.85546875" style="155" hidden="1" customWidth="1" outlineLevel="1"/>
    <col min="118" max="118" width="12.140625" style="155" hidden="1" customWidth="1" outlineLevel="1"/>
    <col min="119" max="119" width="4.42578125" style="155" hidden="1" customWidth="1" outlineLevel="1"/>
    <col min="120" max="120" width="12.140625" style="155" hidden="1" customWidth="1" outlineLevel="1"/>
    <col min="121" max="121" width="2.7109375" style="155" hidden="1" customWidth="1" outlineLevel="1"/>
    <col min="122" max="122" width="12.140625" style="155" hidden="1" customWidth="1" outlineLevel="1"/>
    <col min="123" max="123" width="2.7109375" style="155" hidden="1" customWidth="1" outlineLevel="1"/>
    <col min="124" max="124" width="12.140625" style="155" hidden="1" customWidth="1" outlineLevel="1"/>
    <col min="125" max="125" width="2.7109375" style="155" hidden="1" customWidth="1" outlineLevel="1"/>
    <col min="126" max="126" width="12.140625" style="155" hidden="1" customWidth="1" outlineLevel="1"/>
    <col min="127" max="127" width="2.7109375" style="155" hidden="1" customWidth="1" outlineLevel="1"/>
    <col min="128" max="128" width="12.140625" style="155" hidden="1" customWidth="1" outlineLevel="1"/>
    <col min="129" max="129" width="2.7109375" style="155" hidden="1" customWidth="1" outlineLevel="1"/>
    <col min="130" max="130" width="12.140625" style="155" hidden="1" customWidth="1" outlineLevel="1"/>
    <col min="131" max="131" width="2.7109375" style="155" hidden="1" customWidth="1" outlineLevel="1"/>
    <col min="132" max="132" width="12.140625" style="155" hidden="1" customWidth="1" outlineLevel="1"/>
    <col min="133" max="133" width="4" style="155" hidden="1" customWidth="1" outlineLevel="1"/>
    <col min="134" max="134" width="12.140625" style="155" hidden="1" customWidth="1" outlineLevel="1"/>
    <col min="135" max="135" width="2.7109375" style="155" hidden="1" customWidth="1" outlineLevel="1"/>
    <col min="136" max="136" width="12.140625" style="155" hidden="1" customWidth="1" outlineLevel="1"/>
    <col min="137" max="137" width="2.7109375" style="155" hidden="1" customWidth="1" outlineLevel="1"/>
    <col min="138" max="138" width="12.140625" style="155" hidden="1" customWidth="1" outlineLevel="1"/>
    <col min="139" max="139" width="2.7109375" style="155" hidden="1" customWidth="1" outlineLevel="1"/>
    <col min="140" max="140" width="12.140625" style="155" hidden="1" customWidth="1" outlineLevel="1"/>
    <col min="141" max="141" width="2.7109375" style="155" hidden="1" customWidth="1" outlineLevel="1"/>
    <col min="142" max="142" width="12.140625" style="155" hidden="1" customWidth="1" outlineLevel="1"/>
    <col min="143" max="143" width="2.7109375" style="155" hidden="1" customWidth="1" outlineLevel="1"/>
    <col min="144" max="144" width="15.28515625" style="155" hidden="1" customWidth="1" outlineLevel="1"/>
    <col min="145" max="145" width="5" style="155" hidden="1" customWidth="1" outlineLevel="1"/>
    <col min="146" max="146" width="12.140625" style="155" hidden="1" customWidth="1" outlineLevel="1"/>
    <col min="147" max="147" width="2.7109375" style="155" hidden="1" customWidth="1" outlineLevel="1"/>
    <col min="148" max="148" width="12.140625" style="155" hidden="1" customWidth="1" outlineLevel="1"/>
    <col min="149" max="149" width="3.140625" style="155" hidden="1" customWidth="1" outlineLevel="1"/>
    <col min="150" max="150" width="15.28515625" style="155" hidden="1" customWidth="1" outlineLevel="1"/>
    <col min="151" max="151" width="2.7109375" style="155" hidden="1" customWidth="1" outlineLevel="1"/>
    <col min="152" max="152" width="12.140625" style="155" hidden="1" customWidth="1" outlineLevel="1"/>
    <col min="153" max="153" width="2.7109375" style="155" hidden="1" customWidth="1" outlineLevel="1"/>
    <col min="154" max="154" width="12.140625" style="155" hidden="1" customWidth="1" outlineLevel="1"/>
    <col min="155" max="155" width="2.7109375" style="155" hidden="1" customWidth="1" outlineLevel="1"/>
    <col min="156" max="156" width="12.140625" style="155" hidden="1" customWidth="1" outlineLevel="1"/>
    <col min="157" max="157" width="2.7109375" style="155" hidden="1" customWidth="1" outlineLevel="1"/>
    <col min="158" max="158" width="12.140625" style="155" hidden="1" customWidth="1" outlineLevel="1"/>
    <col min="159" max="159" width="2.7109375" style="155" hidden="1" customWidth="1" outlineLevel="1"/>
    <col min="160" max="160" width="12.140625" style="155" hidden="1" customWidth="1" outlineLevel="1"/>
    <col min="161" max="161" width="2.7109375" style="155" hidden="1" customWidth="1" outlineLevel="1"/>
    <col min="162" max="162" width="12.140625" style="155" hidden="1" customWidth="1" outlineLevel="1"/>
    <col min="163" max="163" width="2.7109375" style="155" hidden="1" customWidth="1" outlineLevel="1"/>
    <col min="164" max="164" width="11" style="155" hidden="1" customWidth="1" outlineLevel="1"/>
    <col min="165" max="165" width="2.7109375" style="155" hidden="1" customWidth="1" outlineLevel="1"/>
    <col min="166" max="166" width="12.42578125" style="155" hidden="1" customWidth="1" outlineLevel="1"/>
    <col min="167" max="167" width="2.7109375" style="155" hidden="1" customWidth="1" outlineLevel="1"/>
    <col min="168" max="168" width="11" style="155" hidden="1" customWidth="1" outlineLevel="1"/>
    <col min="169" max="169" width="4" style="155" hidden="1" customWidth="1" outlineLevel="1"/>
    <col min="170" max="170" width="12.42578125" style="155" hidden="1" customWidth="1" outlineLevel="1"/>
    <col min="171" max="171" width="2.7109375" style="155" hidden="1" customWidth="1" outlineLevel="1"/>
    <col min="172" max="172" width="12.140625" style="155" hidden="1" customWidth="1" outlineLevel="1"/>
    <col min="173" max="173" width="2.7109375" style="155" hidden="1" customWidth="1" outlineLevel="1"/>
    <col min="174" max="174" width="12.140625" style="229" hidden="1" customWidth="1" outlineLevel="1"/>
    <col min="175" max="175" width="2.7109375" style="155" hidden="1" customWidth="1" outlineLevel="1"/>
    <col min="176" max="176" width="12.140625" style="155" hidden="1" customWidth="1" outlineLevel="1"/>
    <col min="177" max="177" width="2.7109375" style="155" hidden="1" customWidth="1" outlineLevel="1"/>
    <col min="178" max="178" width="12.140625" style="155" hidden="1" customWidth="1" outlineLevel="1"/>
    <col min="179" max="179" width="2.7109375" style="155" hidden="1" customWidth="1" outlineLevel="1"/>
    <col min="180" max="180" width="12.140625" style="155" hidden="1" customWidth="1" outlineLevel="1"/>
    <col min="181" max="181" width="2.7109375" style="155" hidden="1" customWidth="1" outlineLevel="1"/>
    <col min="182" max="182" width="12.140625" style="155" hidden="1" customWidth="1" outlineLevel="1"/>
    <col min="183" max="183" width="2.7109375" style="155" hidden="1" customWidth="1" outlineLevel="1"/>
    <col min="184" max="184" width="14.28515625" style="155" hidden="1" customWidth="1" outlineLevel="1"/>
    <col min="185" max="185" width="2.7109375" style="155" hidden="1" customWidth="1" outlineLevel="1"/>
    <col min="186" max="186" width="14.28515625" style="155" hidden="1" customWidth="1" outlineLevel="1"/>
    <col min="187" max="187" width="2.7109375" style="155" hidden="1" customWidth="1" outlineLevel="1"/>
    <col min="188" max="188" width="12.5703125" style="155" hidden="1" customWidth="1" outlineLevel="1"/>
    <col min="189" max="189" width="2.85546875" style="155" hidden="1" customWidth="1" outlineLevel="1"/>
    <col min="190" max="190" width="11" style="155" hidden="1" customWidth="1" outlineLevel="1"/>
    <col min="191" max="191" width="3.5703125" style="155" hidden="1" customWidth="1" outlineLevel="1"/>
    <col min="192" max="192" width="11" style="155" hidden="1" customWidth="1" outlineLevel="1"/>
    <col min="193" max="193" width="4.28515625" style="155" hidden="1" customWidth="1" outlineLevel="1"/>
    <col min="194" max="194" width="11" style="155" hidden="1" customWidth="1" outlineLevel="1"/>
    <col min="195" max="195" width="4.28515625" style="155" hidden="1" customWidth="1" outlineLevel="1"/>
    <col min="196" max="196" width="11" style="155" hidden="1" customWidth="1" outlineLevel="1"/>
    <col min="197" max="197" width="3.5703125" style="155" hidden="1" customWidth="1" outlineLevel="1"/>
    <col min="198" max="198" width="11" style="155" hidden="1" customWidth="1" outlineLevel="1"/>
    <col min="199" max="199" width="4.28515625" style="155" hidden="1" customWidth="1" outlineLevel="1"/>
    <col min="200" max="200" width="11" style="155" hidden="1" customWidth="1" outlineLevel="1"/>
    <col min="201" max="201" width="4.28515625" style="155" hidden="1" customWidth="1" outlineLevel="1"/>
    <col min="202" max="202" width="11" style="155" hidden="1" customWidth="1" outlineLevel="1"/>
    <col min="203" max="203" width="4.28515625" style="155" hidden="1" customWidth="1" outlineLevel="1"/>
    <col min="204" max="204" width="11" style="155" hidden="1" customWidth="1" outlineLevel="1"/>
    <col min="205" max="205" width="4.28515625" style="155" hidden="1" customWidth="1" outlineLevel="1"/>
    <col min="206" max="206" width="11" style="155" hidden="1" customWidth="1" outlineLevel="1"/>
    <col min="207" max="207" width="4" style="155" hidden="1" customWidth="1" outlineLevel="1"/>
    <col min="208" max="208" width="11" style="155" hidden="1" customWidth="1" outlineLevel="1"/>
    <col min="209" max="209" width="2.7109375" style="155" hidden="1" customWidth="1" outlineLevel="1"/>
    <col min="210" max="210" width="11" style="155" hidden="1" customWidth="1" outlineLevel="1"/>
    <col min="211" max="211" width="4.28515625" style="155" hidden="1" customWidth="1" outlineLevel="1"/>
    <col min="212" max="212" width="11" style="155" hidden="1" customWidth="1" outlineLevel="1"/>
    <col min="213" max="213" width="2.7109375" style="155" hidden="1" customWidth="1" outlineLevel="1"/>
    <col min="214" max="214" width="12.140625" style="155" hidden="1" customWidth="1" outlineLevel="1"/>
    <col min="215" max="215" width="2.7109375" style="155" hidden="1" customWidth="1" outlineLevel="1"/>
    <col min="216" max="216" width="12.140625" style="155" hidden="1" customWidth="1" outlineLevel="1"/>
    <col min="217" max="217" width="2.7109375" style="155" hidden="1" customWidth="1" outlineLevel="1"/>
    <col min="218" max="218" width="12.140625" style="155" hidden="1" customWidth="1" outlineLevel="1"/>
    <col min="219" max="219" width="2.7109375" style="155" hidden="1" customWidth="1" outlineLevel="1"/>
    <col min="220" max="220" width="12.140625" style="155" hidden="1" customWidth="1" outlineLevel="1"/>
    <col min="221" max="221" width="2.7109375" style="155" hidden="1" customWidth="1" outlineLevel="1"/>
    <col min="222" max="222" width="12.140625" style="155" hidden="1" customWidth="1" outlineLevel="1"/>
    <col min="223" max="223" width="3.140625" style="155" hidden="1" customWidth="1" outlineLevel="1"/>
    <col min="224" max="224" width="11" style="155" hidden="1" customWidth="1" outlineLevel="1"/>
    <col min="225" max="225" width="11.42578125" style="155" customWidth="1" collapsed="1"/>
    <col min="226" max="16384" width="11" style="155"/>
  </cols>
  <sheetData>
    <row r="1" spans="1:225" s="2" customFormat="1" ht="16.5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7</v>
      </c>
      <c r="BZ1" s="2" t="s">
        <v>7</v>
      </c>
      <c r="CB1" s="2" t="s">
        <v>7</v>
      </c>
      <c r="CD1" s="2" t="s">
        <v>7</v>
      </c>
      <c r="CF1" s="2" t="s">
        <v>7</v>
      </c>
      <c r="CH1" s="2" t="s">
        <v>7</v>
      </c>
      <c r="CJ1" s="2" t="s">
        <v>7</v>
      </c>
      <c r="CL1" s="2" t="s">
        <v>7</v>
      </c>
      <c r="CN1" s="2" t="s">
        <v>7</v>
      </c>
      <c r="CP1" s="2" t="s">
        <v>7</v>
      </c>
      <c r="CR1" s="2" t="s">
        <v>7</v>
      </c>
      <c r="CT1" s="2" t="s">
        <v>7</v>
      </c>
      <c r="CV1" s="2" t="s">
        <v>7</v>
      </c>
      <c r="CX1" s="2" t="s">
        <v>7</v>
      </c>
      <c r="CZ1" s="2" t="s">
        <v>7</v>
      </c>
      <c r="DB1" s="2" t="s">
        <v>7</v>
      </c>
      <c r="DD1" s="2" t="s">
        <v>7</v>
      </c>
      <c r="DF1" s="2" t="s">
        <v>7</v>
      </c>
      <c r="DH1" s="2" t="s">
        <v>7</v>
      </c>
      <c r="DJ1" s="2" t="s">
        <v>7</v>
      </c>
      <c r="DL1" s="2" t="s">
        <v>7</v>
      </c>
      <c r="DN1" s="2" t="s">
        <v>7</v>
      </c>
      <c r="DP1" s="2" t="s">
        <v>7</v>
      </c>
      <c r="DR1" s="2" t="s">
        <v>7</v>
      </c>
      <c r="DT1" s="2" t="s">
        <v>7</v>
      </c>
      <c r="DV1" s="2" t="s">
        <v>10</v>
      </c>
      <c r="DX1" s="2" t="s">
        <v>10</v>
      </c>
      <c r="DZ1" s="2" t="s">
        <v>10</v>
      </c>
      <c r="EB1" s="2" t="s">
        <v>10</v>
      </c>
      <c r="ED1" s="2" t="s">
        <v>9</v>
      </c>
      <c r="EF1" s="2" t="s">
        <v>7</v>
      </c>
      <c r="EH1" s="2" t="s">
        <v>7</v>
      </c>
      <c r="EJ1" s="2" t="s">
        <v>7</v>
      </c>
      <c r="EL1" s="2" t="s">
        <v>7</v>
      </c>
      <c r="EN1" s="6" t="s">
        <v>5</v>
      </c>
      <c r="EP1" s="2" t="s">
        <v>7</v>
      </c>
      <c r="ER1" s="2" t="s">
        <v>11</v>
      </c>
      <c r="ET1" s="6" t="s">
        <v>5</v>
      </c>
      <c r="EV1" s="2" t="s">
        <v>11</v>
      </c>
      <c r="EX1" s="2" t="s">
        <v>7</v>
      </c>
      <c r="EZ1" s="2" t="s">
        <v>7</v>
      </c>
      <c r="FB1" s="2" t="s">
        <v>7</v>
      </c>
      <c r="FD1" s="2" t="s">
        <v>7</v>
      </c>
      <c r="FF1" s="2" t="s">
        <v>7</v>
      </c>
      <c r="FH1" s="2" t="s">
        <v>7</v>
      </c>
      <c r="FJ1" s="2" t="s">
        <v>7</v>
      </c>
      <c r="FL1" s="2" t="s">
        <v>7</v>
      </c>
      <c r="FN1" s="2" t="s">
        <v>7</v>
      </c>
      <c r="FP1" s="2" t="s">
        <v>7</v>
      </c>
      <c r="FR1" s="211" t="s">
        <v>7</v>
      </c>
      <c r="FT1" s="2" t="s">
        <v>7</v>
      </c>
      <c r="FV1" s="2" t="s">
        <v>7</v>
      </c>
      <c r="FX1" s="2" t="s">
        <v>7</v>
      </c>
      <c r="FZ1" s="2" t="s">
        <v>7</v>
      </c>
      <c r="GB1" s="208" t="s">
        <v>356</v>
      </c>
      <c r="GD1" s="208" t="s">
        <v>356</v>
      </c>
      <c r="GE1" s="208"/>
      <c r="GF1" s="2" t="s">
        <v>8</v>
      </c>
      <c r="GH1" s="2" t="s">
        <v>8</v>
      </c>
      <c r="GJ1" s="2" t="s">
        <v>8</v>
      </c>
      <c r="GL1" s="2" t="s">
        <v>8</v>
      </c>
      <c r="GN1" s="2" t="s">
        <v>8</v>
      </c>
      <c r="GO1" s="208"/>
      <c r="GP1" s="2" t="s">
        <v>8</v>
      </c>
      <c r="GR1" s="2" t="s">
        <v>8</v>
      </c>
      <c r="GT1" s="2" t="s">
        <v>8</v>
      </c>
      <c r="GV1" s="2" t="s">
        <v>8</v>
      </c>
      <c r="GX1" s="2" t="s">
        <v>8</v>
      </c>
      <c r="GZ1" s="2" t="s">
        <v>8</v>
      </c>
      <c r="HA1" s="208"/>
      <c r="HB1" s="2" t="s">
        <v>8</v>
      </c>
      <c r="HD1" s="2" t="s">
        <v>8</v>
      </c>
      <c r="HF1" s="2" t="s">
        <v>11</v>
      </c>
      <c r="HH1" s="2" t="s">
        <v>7</v>
      </c>
      <c r="HJ1" s="2" t="s">
        <v>9</v>
      </c>
      <c r="HL1" s="2" t="s">
        <v>363</v>
      </c>
      <c r="HN1" s="2" t="s">
        <v>7</v>
      </c>
    </row>
    <row r="2" spans="1:225" s="2" customFormat="1" ht="18">
      <c r="A2" s="10" t="s">
        <v>12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13</v>
      </c>
      <c r="BG2" s="11" t="s">
        <v>14</v>
      </c>
      <c r="BH2" s="11" t="s">
        <v>14</v>
      </c>
      <c r="BI2" s="2" t="s">
        <v>15</v>
      </c>
      <c r="BJ2" s="11"/>
      <c r="BK2" s="11" t="s">
        <v>14</v>
      </c>
      <c r="BL2" s="11"/>
      <c r="BM2" s="11" t="s">
        <v>14</v>
      </c>
      <c r="BN2" s="6" t="s">
        <v>16</v>
      </c>
      <c r="BO2" s="7"/>
      <c r="BP2" s="6" t="s">
        <v>16</v>
      </c>
      <c r="BQ2" s="8"/>
      <c r="BR2" s="6" t="s">
        <v>17</v>
      </c>
      <c r="BS2" s="8"/>
      <c r="BT2" s="6" t="s">
        <v>17</v>
      </c>
      <c r="BU2" s="8"/>
      <c r="BV2" s="9" t="s">
        <v>17</v>
      </c>
      <c r="BX2" s="2" t="s">
        <v>22</v>
      </c>
      <c r="BZ2" s="2" t="s">
        <v>18</v>
      </c>
      <c r="CB2" s="2" t="s">
        <v>18</v>
      </c>
      <c r="CD2" s="2" t="s">
        <v>18</v>
      </c>
      <c r="CF2" s="2" t="s">
        <v>19</v>
      </c>
      <c r="CH2" s="2" t="s">
        <v>23</v>
      </c>
      <c r="CJ2" s="2" t="s">
        <v>24</v>
      </c>
      <c r="CL2" s="2" t="s">
        <v>25</v>
      </c>
      <c r="CN2" s="2" t="s">
        <v>26</v>
      </c>
      <c r="CP2" s="2" t="s">
        <v>27</v>
      </c>
      <c r="CR2" s="2" t="s">
        <v>18</v>
      </c>
      <c r="CT2" s="2" t="s">
        <v>18</v>
      </c>
      <c r="CV2" s="2" t="s">
        <v>18</v>
      </c>
      <c r="CX2" s="2" t="s">
        <v>27</v>
      </c>
      <c r="CZ2" s="2" t="s">
        <v>18</v>
      </c>
      <c r="DB2" s="2" t="s">
        <v>18</v>
      </c>
      <c r="DD2" s="2" t="s">
        <v>18</v>
      </c>
      <c r="DF2" s="2" t="s">
        <v>24</v>
      </c>
      <c r="DH2" s="2" t="s">
        <v>24</v>
      </c>
      <c r="DJ2" s="2" t="s">
        <v>28</v>
      </c>
      <c r="DL2" s="2" t="s">
        <v>29</v>
      </c>
      <c r="DN2" s="2" t="s">
        <v>28</v>
      </c>
      <c r="DP2" s="2" t="s">
        <v>24</v>
      </c>
      <c r="DR2" s="2" t="s">
        <v>24</v>
      </c>
      <c r="DT2" s="2" t="s">
        <v>24</v>
      </c>
      <c r="DV2" s="2" t="s">
        <v>30</v>
      </c>
      <c r="DX2" s="2" t="s">
        <v>30</v>
      </c>
      <c r="DZ2" s="2" t="s">
        <v>30</v>
      </c>
      <c r="EB2" s="2" t="s">
        <v>30</v>
      </c>
      <c r="ED2" s="2" t="s">
        <v>31</v>
      </c>
      <c r="EF2" s="2" t="s">
        <v>32</v>
      </c>
      <c r="EH2" s="2" t="s">
        <v>33</v>
      </c>
      <c r="EJ2" s="2" t="s">
        <v>33</v>
      </c>
      <c r="EL2" s="2" t="s">
        <v>34</v>
      </c>
      <c r="EN2" s="6" t="s">
        <v>17</v>
      </c>
      <c r="EP2" s="2" t="s">
        <v>34</v>
      </c>
      <c r="ER2" s="2" t="s">
        <v>35</v>
      </c>
      <c r="ET2" s="170" t="s">
        <v>36</v>
      </c>
      <c r="EV2" s="2" t="s">
        <v>35</v>
      </c>
      <c r="EX2" s="2" t="s">
        <v>28</v>
      </c>
      <c r="EZ2" s="2" t="s">
        <v>24</v>
      </c>
      <c r="FB2" s="2" t="s">
        <v>24</v>
      </c>
      <c r="FD2" s="2" t="s">
        <v>24</v>
      </c>
      <c r="FF2" s="2" t="s">
        <v>24</v>
      </c>
      <c r="FH2" s="2" t="s">
        <v>16</v>
      </c>
      <c r="FJ2" s="204" t="s">
        <v>354</v>
      </c>
      <c r="FL2" s="2" t="s">
        <v>355</v>
      </c>
      <c r="FN2" s="204" t="s">
        <v>354</v>
      </c>
      <c r="FP2" s="2" t="s">
        <v>28</v>
      </c>
      <c r="FR2" s="211" t="s">
        <v>37</v>
      </c>
      <c r="FT2" s="2" t="s">
        <v>24</v>
      </c>
      <c r="FV2" s="2" t="s">
        <v>24</v>
      </c>
      <c r="FX2" s="2" t="s">
        <v>24</v>
      </c>
      <c r="FZ2" s="209" t="s">
        <v>28</v>
      </c>
      <c r="GB2" s="2" t="s">
        <v>30</v>
      </c>
      <c r="GD2" s="2" t="s">
        <v>30</v>
      </c>
      <c r="GF2" s="2" t="s">
        <v>357</v>
      </c>
      <c r="GH2" s="2" t="s">
        <v>20</v>
      </c>
      <c r="GJ2" s="2" t="s">
        <v>17</v>
      </c>
      <c r="GL2" s="2" t="s">
        <v>17</v>
      </c>
      <c r="GN2" s="2" t="s">
        <v>17</v>
      </c>
      <c r="GP2" s="2" t="s">
        <v>17</v>
      </c>
      <c r="GR2" s="2" t="s">
        <v>17</v>
      </c>
      <c r="GT2" s="2" t="s">
        <v>17</v>
      </c>
      <c r="GV2" s="2" t="s">
        <v>17</v>
      </c>
      <c r="GX2" s="2" t="s">
        <v>16</v>
      </c>
      <c r="GZ2" s="2" t="s">
        <v>16</v>
      </c>
      <c r="HB2" s="2" t="s">
        <v>21</v>
      </c>
      <c r="HD2" s="2" t="s">
        <v>21</v>
      </c>
      <c r="HF2" s="2" t="s">
        <v>360</v>
      </c>
      <c r="HH2" s="2" t="s">
        <v>361</v>
      </c>
      <c r="HJ2" s="2" t="s">
        <v>361</v>
      </c>
      <c r="HL2" s="2" t="s">
        <v>361</v>
      </c>
      <c r="HN2" s="2" t="s">
        <v>364</v>
      </c>
    </row>
    <row r="3" spans="1:225" s="14" customFormat="1" ht="15.75">
      <c r="A3" s="12" t="s">
        <v>38</v>
      </c>
      <c r="B3" s="13"/>
      <c r="K3" s="13"/>
      <c r="Q3" s="15"/>
      <c r="T3" s="16"/>
      <c r="U3" s="16"/>
      <c r="V3" s="17"/>
      <c r="W3" s="16"/>
      <c r="X3" s="16" t="s">
        <v>39</v>
      </c>
      <c r="Y3" s="16" t="s">
        <v>40</v>
      </c>
      <c r="AE3" s="16" t="s">
        <v>39</v>
      </c>
      <c r="AF3" s="16" t="s">
        <v>40</v>
      </c>
      <c r="AJ3" s="16"/>
      <c r="AK3" s="16"/>
      <c r="AL3" s="16" t="s">
        <v>39</v>
      </c>
      <c r="AM3" s="16" t="s">
        <v>40</v>
      </c>
      <c r="AS3" s="16" t="s">
        <v>39</v>
      </c>
      <c r="AT3" s="16" t="s">
        <v>40</v>
      </c>
      <c r="BA3" s="16"/>
      <c r="BB3" s="16"/>
      <c r="BC3" s="16"/>
      <c r="BD3" s="16"/>
      <c r="BE3" s="16"/>
      <c r="BF3" s="18" t="s">
        <v>41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303</v>
      </c>
      <c r="BZ3" s="14">
        <v>16</v>
      </c>
      <c r="CB3" s="14">
        <v>87</v>
      </c>
      <c r="CD3" s="14">
        <v>18</v>
      </c>
      <c r="CF3" s="14">
        <v>92</v>
      </c>
      <c r="CH3" s="14">
        <v>911</v>
      </c>
      <c r="CJ3" s="14">
        <v>1</v>
      </c>
      <c r="CL3" s="202">
        <v>40000</v>
      </c>
      <c r="CN3" s="14">
        <v>51</v>
      </c>
      <c r="CP3" s="14">
        <v>1</v>
      </c>
      <c r="CR3" s="14">
        <v>1</v>
      </c>
      <c r="CT3" s="14">
        <v>8</v>
      </c>
      <c r="CV3" s="14">
        <v>2</v>
      </c>
      <c r="CX3" s="14">
        <v>34</v>
      </c>
      <c r="CZ3" s="14">
        <v>3</v>
      </c>
      <c r="DB3" s="14">
        <v>23</v>
      </c>
      <c r="DD3" s="14">
        <v>4</v>
      </c>
      <c r="DF3" s="14">
        <v>1</v>
      </c>
      <c r="DH3" s="14">
        <v>2</v>
      </c>
      <c r="DJ3" s="14">
        <v>10</v>
      </c>
      <c r="DL3" s="14">
        <v>2300</v>
      </c>
      <c r="DN3" s="14">
        <v>38</v>
      </c>
      <c r="DP3" s="14">
        <v>13</v>
      </c>
      <c r="DR3" s="14">
        <v>63</v>
      </c>
      <c r="DT3" s="14">
        <v>14</v>
      </c>
      <c r="DV3" s="14">
        <v>40</v>
      </c>
      <c r="DX3" s="14">
        <v>9318</v>
      </c>
      <c r="DZ3" s="14">
        <v>123</v>
      </c>
      <c r="EB3" s="14">
        <v>138</v>
      </c>
      <c r="ED3" s="14">
        <v>4427</v>
      </c>
      <c r="EF3" s="14">
        <v>900</v>
      </c>
      <c r="EH3" s="14">
        <v>5329</v>
      </c>
      <c r="EJ3" s="14">
        <v>763</v>
      </c>
      <c r="EL3" s="14">
        <v>5000</v>
      </c>
      <c r="EN3" s="19">
        <v>20000</v>
      </c>
      <c r="EP3" s="14">
        <v>19293</v>
      </c>
      <c r="ER3" s="14">
        <v>34</v>
      </c>
      <c r="ET3" s="19">
        <v>500</v>
      </c>
      <c r="EV3" s="14">
        <v>3</v>
      </c>
      <c r="EX3" s="14">
        <v>1</v>
      </c>
      <c r="EZ3" s="14">
        <v>1</v>
      </c>
      <c r="FB3" s="14">
        <v>1</v>
      </c>
      <c r="FD3" s="14">
        <v>1</v>
      </c>
      <c r="FF3" s="14">
        <v>4</v>
      </c>
      <c r="FH3" s="14">
        <v>3992</v>
      </c>
      <c r="FJ3" s="14">
        <v>8</v>
      </c>
      <c r="FL3" s="14">
        <v>3988</v>
      </c>
      <c r="FN3" s="14">
        <v>12</v>
      </c>
      <c r="FP3" s="14">
        <v>4000</v>
      </c>
      <c r="FR3" s="212"/>
      <c r="FT3" s="14">
        <v>5</v>
      </c>
      <c r="FV3" s="14">
        <v>27</v>
      </c>
      <c r="FX3" s="14">
        <v>3</v>
      </c>
      <c r="FZ3" s="14">
        <v>17</v>
      </c>
      <c r="GB3" s="14">
        <v>1</v>
      </c>
      <c r="GD3" s="14">
        <v>1</v>
      </c>
      <c r="GF3" s="14">
        <v>20000</v>
      </c>
      <c r="GH3" s="14">
        <v>887</v>
      </c>
      <c r="GJ3" s="14">
        <v>15138</v>
      </c>
      <c r="GL3" s="14">
        <v>2273</v>
      </c>
      <c r="GN3" s="14">
        <v>1763</v>
      </c>
      <c r="GP3" s="14">
        <v>14119</v>
      </c>
      <c r="GR3" s="14">
        <v>2405</v>
      </c>
      <c r="GT3" s="14">
        <v>2573</v>
      </c>
      <c r="GV3" s="14">
        <v>3128</v>
      </c>
      <c r="GX3" s="14">
        <v>7377</v>
      </c>
      <c r="GZ3" s="14">
        <v>2977</v>
      </c>
      <c r="HB3" s="14">
        <v>1654</v>
      </c>
      <c r="HD3" s="14">
        <v>33</v>
      </c>
      <c r="HF3" s="14">
        <v>24</v>
      </c>
      <c r="HH3" s="14">
        <v>8527</v>
      </c>
      <c r="HJ3" s="14">
        <v>3000</v>
      </c>
      <c r="HL3" s="14">
        <v>3473</v>
      </c>
      <c r="HN3" s="14">
        <v>21</v>
      </c>
      <c r="HP3" s="23">
        <f>SUM(BI3:HO3)</f>
        <v>279034</v>
      </c>
    </row>
    <row r="4" spans="1:225" s="26" customFormat="1" ht="16.5">
      <c r="A4" s="24" t="s">
        <v>42</v>
      </c>
      <c r="B4" s="25"/>
      <c r="K4" s="13" t="s">
        <v>43</v>
      </c>
      <c r="L4" s="14"/>
      <c r="M4" s="14"/>
      <c r="N4" s="14"/>
      <c r="O4" s="14"/>
      <c r="P4" s="14"/>
      <c r="Q4" s="27" t="s">
        <v>44</v>
      </c>
      <c r="R4" s="230" t="s">
        <v>45</v>
      </c>
      <c r="S4" s="230"/>
      <c r="T4" s="29" t="s">
        <v>46</v>
      </c>
      <c r="U4" s="30"/>
      <c r="V4" s="17" t="s">
        <v>396</v>
      </c>
      <c r="W4" s="30" t="s">
        <v>396</v>
      </c>
      <c r="X4" s="30" t="s">
        <v>396</v>
      </c>
      <c r="Y4" s="30" t="s">
        <v>396</v>
      </c>
      <c r="Z4" s="30" t="s">
        <v>396</v>
      </c>
      <c r="AA4" s="30" t="s">
        <v>396</v>
      </c>
      <c r="AB4" s="30" t="s">
        <v>396</v>
      </c>
      <c r="AC4" s="30" t="s">
        <v>396</v>
      </c>
      <c r="AD4" s="30" t="s">
        <v>396</v>
      </c>
      <c r="AE4" s="30" t="s">
        <v>396</v>
      </c>
      <c r="AF4" s="30" t="s">
        <v>396</v>
      </c>
      <c r="AG4" s="30" t="s">
        <v>396</v>
      </c>
      <c r="AH4" s="30" t="s">
        <v>396</v>
      </c>
      <c r="AI4" s="30" t="s">
        <v>396</v>
      </c>
      <c r="AJ4" s="30" t="s">
        <v>396</v>
      </c>
      <c r="AK4" s="30" t="s">
        <v>396</v>
      </c>
      <c r="AL4" s="30" t="s">
        <v>396</v>
      </c>
      <c r="AM4" s="30" t="s">
        <v>396</v>
      </c>
      <c r="AN4" s="30" t="s">
        <v>396</v>
      </c>
      <c r="AO4" s="30" t="s">
        <v>396</v>
      </c>
      <c r="AP4" s="30" t="s">
        <v>396</v>
      </c>
      <c r="AQ4" s="30" t="s">
        <v>396</v>
      </c>
      <c r="AR4" s="30" t="s">
        <v>396</v>
      </c>
      <c r="AS4" s="30" t="s">
        <v>396</v>
      </c>
      <c r="AT4" s="30" t="s">
        <v>396</v>
      </c>
      <c r="AU4" s="30" t="s">
        <v>396</v>
      </c>
      <c r="AV4" s="30" t="s">
        <v>396</v>
      </c>
      <c r="AW4" s="30" t="s">
        <v>396</v>
      </c>
      <c r="AX4" s="30" t="s">
        <v>396</v>
      </c>
      <c r="AY4" s="30" t="s">
        <v>396</v>
      </c>
      <c r="AZ4" s="30"/>
      <c r="BA4" s="30"/>
      <c r="BB4" s="30" t="s">
        <v>396</v>
      </c>
      <c r="BC4" s="30" t="s">
        <v>396</v>
      </c>
      <c r="BD4" s="30" t="s">
        <v>396</v>
      </c>
      <c r="BE4" s="30"/>
      <c r="BF4" s="18" t="s">
        <v>47</v>
      </c>
      <c r="BG4" s="13" t="s">
        <v>48</v>
      </c>
      <c r="BH4" s="13" t="s">
        <v>48</v>
      </c>
      <c r="BI4" s="201" t="s">
        <v>49</v>
      </c>
      <c r="BJ4" s="13"/>
      <c r="BK4" s="13" t="s">
        <v>48</v>
      </c>
      <c r="BL4" s="13"/>
      <c r="BM4" s="13" t="s">
        <v>286</v>
      </c>
      <c r="BN4" s="31" t="s">
        <v>351</v>
      </c>
      <c r="BO4" s="32"/>
      <c r="BP4" s="31" t="s">
        <v>351</v>
      </c>
      <c r="BQ4" s="13"/>
      <c r="BR4" s="31" t="s">
        <v>351</v>
      </c>
      <c r="BS4" s="13"/>
      <c r="BT4" s="31" t="s">
        <v>351</v>
      </c>
      <c r="BU4" s="33"/>
      <c r="BV4" s="34" t="s">
        <v>351</v>
      </c>
      <c r="BW4" s="13"/>
      <c r="BX4" s="13" t="s">
        <v>351</v>
      </c>
      <c r="BY4" s="13"/>
      <c r="BZ4" s="13" t="s">
        <v>351</v>
      </c>
      <c r="CA4" s="13"/>
      <c r="CB4" s="13" t="s">
        <v>351</v>
      </c>
      <c r="CC4" s="13"/>
      <c r="CD4" s="13" t="s">
        <v>351</v>
      </c>
      <c r="CE4" s="13"/>
      <c r="CF4" s="13" t="s">
        <v>351</v>
      </c>
      <c r="CG4" s="13"/>
      <c r="CH4" s="13" t="s">
        <v>351</v>
      </c>
      <c r="CI4" s="13"/>
      <c r="CJ4" s="13" t="s">
        <v>351</v>
      </c>
      <c r="CK4" s="13"/>
      <c r="CL4" s="13" t="s">
        <v>351</v>
      </c>
      <c r="CM4" s="13"/>
      <c r="CN4" s="13" t="s">
        <v>351</v>
      </c>
      <c r="CO4" s="13"/>
      <c r="CP4" s="13" t="s">
        <v>351</v>
      </c>
      <c r="CQ4" s="13"/>
      <c r="CR4" s="13" t="s">
        <v>351</v>
      </c>
      <c r="CS4" s="13"/>
      <c r="CT4" s="13" t="s">
        <v>351</v>
      </c>
      <c r="CU4" s="13"/>
      <c r="CV4" s="13" t="s">
        <v>351</v>
      </c>
      <c r="CW4" s="13"/>
      <c r="CX4" s="13" t="s">
        <v>351</v>
      </c>
      <c r="CY4" s="13"/>
      <c r="CZ4" s="13" t="s">
        <v>351</v>
      </c>
      <c r="DA4" s="13"/>
      <c r="DB4" s="13" t="s">
        <v>351</v>
      </c>
      <c r="DC4" s="13"/>
      <c r="DD4" s="13" t="s">
        <v>351</v>
      </c>
      <c r="DE4" s="13"/>
      <c r="DF4" s="13" t="s">
        <v>351</v>
      </c>
      <c r="DG4" s="13"/>
      <c r="DH4" s="13" t="s">
        <v>351</v>
      </c>
      <c r="DI4" s="13"/>
      <c r="DJ4" s="13" t="s">
        <v>351</v>
      </c>
      <c r="DK4" s="13"/>
      <c r="DL4" s="13" t="s">
        <v>50</v>
      </c>
      <c r="DM4" s="13"/>
      <c r="DN4" s="13" t="s">
        <v>351</v>
      </c>
      <c r="DO4" s="13"/>
      <c r="DP4" s="13" t="s">
        <v>351</v>
      </c>
      <c r="DQ4" s="13"/>
      <c r="DR4" s="13" t="s">
        <v>351</v>
      </c>
      <c r="DS4" s="13"/>
      <c r="DT4" s="13" t="s">
        <v>351</v>
      </c>
      <c r="DU4" s="13"/>
      <c r="DV4" s="13" t="s">
        <v>351</v>
      </c>
      <c r="DW4" s="13"/>
      <c r="DX4" s="13" t="s">
        <v>351</v>
      </c>
      <c r="DY4" s="13"/>
      <c r="DZ4" s="13" t="s">
        <v>351</v>
      </c>
      <c r="EA4" s="13"/>
      <c r="EB4" s="13" t="s">
        <v>351</v>
      </c>
      <c r="EC4" s="13"/>
      <c r="ED4" s="201" t="s">
        <v>351</v>
      </c>
      <c r="EE4" s="13"/>
      <c r="EF4" s="13" t="s">
        <v>351</v>
      </c>
      <c r="EG4" s="13"/>
      <c r="EH4" s="13" t="s">
        <v>351</v>
      </c>
      <c r="EI4" s="13"/>
      <c r="EJ4" s="13" t="s">
        <v>351</v>
      </c>
      <c r="EK4" s="13"/>
      <c r="EL4" s="13" t="s">
        <v>351</v>
      </c>
      <c r="EM4" s="13"/>
      <c r="EN4" s="31" t="s">
        <v>351</v>
      </c>
      <c r="EO4" s="13"/>
      <c r="EP4" s="13" t="s">
        <v>351</v>
      </c>
      <c r="EQ4" s="13"/>
      <c r="ER4" s="13" t="s">
        <v>351</v>
      </c>
      <c r="ES4" s="13"/>
      <c r="ET4" s="31" t="s">
        <v>351</v>
      </c>
      <c r="EU4" s="13"/>
      <c r="EV4" s="13" t="s">
        <v>351</v>
      </c>
      <c r="EW4" s="13"/>
      <c r="EX4" s="13" t="s">
        <v>351</v>
      </c>
      <c r="EY4" s="13"/>
      <c r="EZ4" s="13" t="s">
        <v>351</v>
      </c>
      <c r="FA4" s="13"/>
      <c r="FB4" s="13" t="s">
        <v>351</v>
      </c>
      <c r="FC4" s="13"/>
      <c r="FD4" s="13" t="s">
        <v>351</v>
      </c>
      <c r="FE4" s="13"/>
      <c r="FF4" s="13" t="s">
        <v>351</v>
      </c>
      <c r="FG4" s="13"/>
      <c r="FH4" s="13" t="s">
        <v>351</v>
      </c>
      <c r="FI4" s="13"/>
      <c r="FJ4" s="13" t="s">
        <v>351</v>
      </c>
      <c r="FK4" s="13"/>
      <c r="FL4" s="13" t="s">
        <v>351</v>
      </c>
      <c r="FM4" s="13"/>
      <c r="FN4" s="13" t="s">
        <v>351</v>
      </c>
      <c r="FO4" s="13"/>
      <c r="FP4" s="13" t="s">
        <v>351</v>
      </c>
      <c r="FQ4" s="13"/>
      <c r="FR4" s="213" t="s">
        <v>351</v>
      </c>
      <c r="FS4" s="13"/>
      <c r="FT4" s="13" t="s">
        <v>351</v>
      </c>
      <c r="FU4" s="13"/>
      <c r="FV4" s="13" t="s">
        <v>351</v>
      </c>
      <c r="FW4" s="13"/>
      <c r="FX4" s="13" t="s">
        <v>351</v>
      </c>
      <c r="FY4" s="13"/>
      <c r="FZ4" s="13" t="s">
        <v>351</v>
      </c>
      <c r="GA4" s="13"/>
      <c r="GB4" s="13" t="s">
        <v>351</v>
      </c>
      <c r="GC4" s="13"/>
      <c r="GD4" s="13" t="s">
        <v>351</v>
      </c>
      <c r="GE4" s="13"/>
      <c r="GF4" s="13" t="s">
        <v>351</v>
      </c>
      <c r="GG4" s="13"/>
      <c r="GH4" s="13" t="s">
        <v>351</v>
      </c>
      <c r="GI4" s="13"/>
      <c r="GJ4" s="13" t="s">
        <v>351</v>
      </c>
      <c r="GK4" s="13"/>
      <c r="GL4" s="13" t="s">
        <v>351</v>
      </c>
      <c r="GM4" s="13"/>
      <c r="GN4" s="13" t="s">
        <v>351</v>
      </c>
      <c r="GO4" s="13"/>
      <c r="GP4" s="13" t="s">
        <v>351</v>
      </c>
      <c r="GQ4" s="13"/>
      <c r="GR4" s="13" t="s">
        <v>351</v>
      </c>
      <c r="GS4" s="13"/>
      <c r="GT4" s="13" t="s">
        <v>351</v>
      </c>
      <c r="GU4" s="13"/>
      <c r="GV4" s="13" t="s">
        <v>351</v>
      </c>
      <c r="GW4" s="13"/>
      <c r="GX4" s="13" t="s">
        <v>351</v>
      </c>
      <c r="GY4" s="13"/>
      <c r="GZ4" s="13" t="s">
        <v>351</v>
      </c>
      <c r="HA4" s="13"/>
      <c r="HB4" s="13" t="s">
        <v>351</v>
      </c>
      <c r="HC4" s="13"/>
      <c r="HD4" s="13" t="s">
        <v>351</v>
      </c>
      <c r="HE4" s="13"/>
      <c r="HF4" s="13" t="s">
        <v>351</v>
      </c>
      <c r="HG4" s="13"/>
      <c r="HH4" s="13" t="s">
        <v>351</v>
      </c>
      <c r="HI4" s="13"/>
      <c r="HJ4" s="13" t="s">
        <v>351</v>
      </c>
      <c r="HK4" s="13"/>
      <c r="HL4" s="13" t="s">
        <v>351</v>
      </c>
      <c r="HM4" s="13"/>
      <c r="HN4" s="13" t="s">
        <v>351</v>
      </c>
      <c r="HO4" s="13"/>
    </row>
    <row r="5" spans="1:225" s="14" customFormat="1" ht="16.5">
      <c r="B5" s="13"/>
      <c r="K5" s="13"/>
      <c r="N5" s="14" t="s">
        <v>51</v>
      </c>
      <c r="O5" s="14" t="s">
        <v>52</v>
      </c>
      <c r="Q5" s="27" t="s">
        <v>53</v>
      </c>
      <c r="R5" s="27" t="s">
        <v>53</v>
      </c>
      <c r="S5" s="27" t="s">
        <v>53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54</v>
      </c>
      <c r="BG5" s="13"/>
      <c r="BH5" s="13" t="s">
        <v>55</v>
      </c>
      <c r="BI5" s="201" t="s">
        <v>56</v>
      </c>
      <c r="BJ5" s="13"/>
      <c r="BK5" s="13">
        <v>37147</v>
      </c>
      <c r="BL5" s="13"/>
      <c r="BM5" s="13">
        <v>66917</v>
      </c>
      <c r="BN5" s="31"/>
      <c r="BO5" s="32"/>
      <c r="BP5" s="31"/>
      <c r="BQ5" s="33"/>
      <c r="BR5" s="31" t="s">
        <v>57</v>
      </c>
      <c r="BS5" s="33"/>
      <c r="BT5" s="31" t="s">
        <v>57</v>
      </c>
      <c r="BU5" s="33"/>
      <c r="BV5" s="34">
        <v>37147</v>
      </c>
      <c r="BW5" s="13"/>
      <c r="BX5" s="13">
        <v>37147</v>
      </c>
      <c r="BY5" s="13"/>
      <c r="BZ5" s="13">
        <v>37147</v>
      </c>
      <c r="CA5" s="13"/>
      <c r="CB5" s="13">
        <v>37147</v>
      </c>
      <c r="CC5" s="13"/>
      <c r="CD5" s="13">
        <v>37147</v>
      </c>
      <c r="CE5" s="13"/>
      <c r="CF5" s="13">
        <v>37147</v>
      </c>
      <c r="CG5" s="13"/>
      <c r="CH5" s="13">
        <v>37147</v>
      </c>
      <c r="CI5" s="13"/>
      <c r="CJ5" s="13">
        <v>37147</v>
      </c>
      <c r="CK5" s="13"/>
      <c r="CL5" s="201">
        <v>37147</v>
      </c>
      <c r="CM5" s="13"/>
      <c r="CN5" s="13">
        <v>37147</v>
      </c>
      <c r="CO5" s="13"/>
      <c r="CP5" s="13">
        <v>37147</v>
      </c>
      <c r="CQ5" s="13"/>
      <c r="CR5" s="13">
        <v>37147</v>
      </c>
      <c r="CS5" s="13"/>
      <c r="CT5" s="13">
        <v>37147</v>
      </c>
      <c r="CU5" s="13"/>
      <c r="CV5" s="13">
        <v>37147</v>
      </c>
      <c r="CW5" s="13"/>
      <c r="CX5" s="13">
        <v>37147</v>
      </c>
      <c r="CY5" s="13"/>
      <c r="CZ5" s="13">
        <v>37147</v>
      </c>
      <c r="DA5" s="13"/>
      <c r="DB5" s="13">
        <v>37147</v>
      </c>
      <c r="DC5" s="13"/>
      <c r="DD5" s="13">
        <v>37147</v>
      </c>
      <c r="DE5" s="13"/>
      <c r="DF5" s="13">
        <v>37147</v>
      </c>
      <c r="DG5" s="13"/>
      <c r="DH5" s="13">
        <v>37147</v>
      </c>
      <c r="DI5" s="13"/>
      <c r="DJ5" s="13">
        <v>37147</v>
      </c>
      <c r="DK5" s="13"/>
      <c r="DL5" s="13">
        <v>37147</v>
      </c>
      <c r="DM5" s="13"/>
      <c r="DN5" s="13">
        <v>37147</v>
      </c>
      <c r="DO5" s="13"/>
      <c r="DP5" s="13">
        <v>37147</v>
      </c>
      <c r="DQ5" s="13"/>
      <c r="DR5" s="13">
        <v>37147</v>
      </c>
      <c r="DS5" s="13"/>
      <c r="DT5" s="13">
        <v>37147</v>
      </c>
      <c r="DU5" s="13"/>
      <c r="DV5" s="13">
        <v>37147</v>
      </c>
      <c r="DW5" s="13"/>
      <c r="DX5" s="13">
        <v>37147</v>
      </c>
      <c r="DY5" s="13"/>
      <c r="DZ5" s="13">
        <v>37147</v>
      </c>
      <c r="EA5" s="13"/>
      <c r="EB5" s="13">
        <v>37147</v>
      </c>
      <c r="EC5" s="13"/>
      <c r="ED5" s="201">
        <v>37147</v>
      </c>
      <c r="EE5" s="13"/>
      <c r="EF5" s="13">
        <v>37147</v>
      </c>
      <c r="EG5" s="13"/>
      <c r="EH5" s="13">
        <v>37147</v>
      </c>
      <c r="EI5" s="13"/>
      <c r="EJ5" s="13">
        <v>37147</v>
      </c>
      <c r="EK5" s="13"/>
      <c r="EL5" s="13">
        <v>37147</v>
      </c>
      <c r="EM5" s="13"/>
      <c r="EN5" s="31" t="s">
        <v>57</v>
      </c>
      <c r="EO5" s="13"/>
      <c r="EP5" s="13">
        <v>37147</v>
      </c>
      <c r="EQ5" s="13"/>
      <c r="ER5" s="13">
        <v>37147</v>
      </c>
      <c r="ES5" s="13"/>
      <c r="ET5" s="31" t="s">
        <v>58</v>
      </c>
      <c r="EU5" s="13"/>
      <c r="EV5" s="13">
        <v>37147</v>
      </c>
      <c r="EW5" s="13"/>
      <c r="EX5" s="13">
        <v>37147</v>
      </c>
      <c r="EY5" s="13"/>
      <c r="EZ5" s="13">
        <v>37147</v>
      </c>
      <c r="FA5" s="13"/>
      <c r="FB5" s="13">
        <v>37147</v>
      </c>
      <c r="FC5" s="13"/>
      <c r="FD5" s="13">
        <v>37147</v>
      </c>
      <c r="FE5" s="13"/>
      <c r="FF5" s="13">
        <v>37147</v>
      </c>
      <c r="FG5" s="13"/>
      <c r="FH5" s="13">
        <v>37147</v>
      </c>
      <c r="FI5" s="13"/>
      <c r="FJ5" s="13">
        <v>37147</v>
      </c>
      <c r="FK5" s="13"/>
      <c r="FL5" s="13">
        <v>37147</v>
      </c>
      <c r="FM5" s="13"/>
      <c r="FN5" s="13">
        <v>37147</v>
      </c>
      <c r="FO5" s="13"/>
      <c r="FP5" s="13">
        <v>37147</v>
      </c>
      <c r="FQ5" s="13"/>
      <c r="FR5" s="213">
        <v>37147</v>
      </c>
      <c r="FS5" s="13"/>
      <c r="FT5" s="13">
        <v>37147</v>
      </c>
      <c r="FU5" s="13"/>
      <c r="FV5" s="13">
        <v>37147</v>
      </c>
      <c r="FW5" s="13"/>
      <c r="FX5" s="13">
        <v>37147</v>
      </c>
      <c r="FY5" s="13"/>
      <c r="FZ5" s="13">
        <v>37147</v>
      </c>
      <c r="GA5" s="13"/>
      <c r="GB5" s="13">
        <v>37147</v>
      </c>
      <c r="GC5" s="13"/>
      <c r="GD5" s="13">
        <v>37147</v>
      </c>
      <c r="GE5" s="13"/>
      <c r="GF5" s="13">
        <v>37147</v>
      </c>
      <c r="GG5" s="13"/>
      <c r="GH5" s="13">
        <v>37147</v>
      </c>
      <c r="GI5" s="13"/>
      <c r="GJ5" s="13">
        <v>37147</v>
      </c>
      <c r="GK5" s="13"/>
      <c r="GL5" s="13">
        <v>37147</v>
      </c>
      <c r="GM5" s="13"/>
      <c r="GN5" s="13">
        <v>37147</v>
      </c>
      <c r="GO5" s="13"/>
      <c r="GP5" s="13">
        <v>37147</v>
      </c>
      <c r="GQ5" s="13"/>
      <c r="GR5" s="13">
        <v>37147</v>
      </c>
      <c r="GS5" s="13"/>
      <c r="GT5" s="13">
        <v>37147</v>
      </c>
      <c r="GU5" s="13"/>
      <c r="GV5" s="13">
        <v>37147</v>
      </c>
      <c r="GW5" s="13"/>
      <c r="GX5" s="13">
        <v>37147</v>
      </c>
      <c r="GY5" s="13"/>
      <c r="GZ5" s="13">
        <v>37147</v>
      </c>
      <c r="HA5" s="13"/>
      <c r="HB5" s="13">
        <v>37147</v>
      </c>
      <c r="HC5" s="13"/>
      <c r="HD5" s="13">
        <v>37147</v>
      </c>
      <c r="HE5" s="13"/>
      <c r="HF5" s="13">
        <v>37147</v>
      </c>
      <c r="HG5" s="13"/>
      <c r="HH5" s="13">
        <v>37147</v>
      </c>
      <c r="HI5" s="13"/>
      <c r="HJ5" s="13">
        <v>37147</v>
      </c>
      <c r="HK5" s="13"/>
      <c r="HL5" s="13">
        <v>37147</v>
      </c>
      <c r="HM5" s="13"/>
      <c r="HN5" s="13">
        <v>37147</v>
      </c>
      <c r="HO5" s="13"/>
    </row>
    <row r="6" spans="1:225" s="35" customFormat="1" ht="16.5">
      <c r="B6" s="36"/>
      <c r="K6" s="36"/>
      <c r="N6" s="35" t="s">
        <v>59</v>
      </c>
      <c r="O6" s="35" t="s">
        <v>60</v>
      </c>
      <c r="Q6" s="37"/>
      <c r="R6" s="37"/>
      <c r="S6" s="37"/>
      <c r="T6" s="38"/>
      <c r="U6" s="39"/>
      <c r="V6" s="40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41"/>
      <c r="BG6" s="36"/>
      <c r="BH6" s="36"/>
      <c r="BI6" s="36" t="s">
        <v>61</v>
      </c>
      <c r="BJ6" s="36"/>
      <c r="BK6" s="36"/>
      <c r="BL6" s="36"/>
      <c r="BM6" s="36"/>
      <c r="BN6" s="42" t="s">
        <v>62</v>
      </c>
      <c r="BO6" s="43"/>
      <c r="BP6" s="42" t="s">
        <v>287</v>
      </c>
      <c r="BQ6" s="44"/>
      <c r="BR6" s="42" t="s">
        <v>63</v>
      </c>
      <c r="BS6" s="44"/>
      <c r="BT6" s="42" t="s">
        <v>64</v>
      </c>
      <c r="BU6" s="44"/>
      <c r="BV6" s="45" t="s">
        <v>65</v>
      </c>
      <c r="BW6" s="36"/>
      <c r="BX6" s="36" t="s">
        <v>69</v>
      </c>
      <c r="BY6" s="36"/>
      <c r="BZ6" s="36" t="s">
        <v>66</v>
      </c>
      <c r="CA6" s="36"/>
      <c r="CB6" s="36" t="s">
        <v>67</v>
      </c>
      <c r="CC6" s="36"/>
      <c r="CD6" s="36" t="s">
        <v>82</v>
      </c>
      <c r="CE6" s="36"/>
      <c r="CF6" s="36" t="s">
        <v>306</v>
      </c>
      <c r="CG6" s="36"/>
      <c r="CH6" s="36" t="s">
        <v>69</v>
      </c>
      <c r="CI6" s="36"/>
      <c r="CJ6" s="36" t="s">
        <v>67</v>
      </c>
      <c r="CK6" s="36"/>
      <c r="CL6" s="203" t="s">
        <v>350</v>
      </c>
      <c r="CM6" s="36"/>
      <c r="CN6" s="36" t="s">
        <v>69</v>
      </c>
      <c r="CO6" s="36"/>
      <c r="CP6" s="36" t="s">
        <v>306</v>
      </c>
      <c r="CQ6" s="36"/>
      <c r="CR6" s="36" t="s">
        <v>66</v>
      </c>
      <c r="CS6" s="36"/>
      <c r="CT6" s="36" t="s">
        <v>67</v>
      </c>
      <c r="CU6" s="36"/>
      <c r="CV6" s="36" t="s">
        <v>82</v>
      </c>
      <c r="CW6" s="36"/>
      <c r="CX6" s="36" t="s">
        <v>85</v>
      </c>
      <c r="CY6" s="36"/>
      <c r="CZ6" s="36" t="s">
        <v>66</v>
      </c>
      <c r="DA6" s="36"/>
      <c r="DB6" s="36" t="s">
        <v>67</v>
      </c>
      <c r="DC6" s="36"/>
      <c r="DD6" s="36" t="s">
        <v>82</v>
      </c>
      <c r="DE6" s="36"/>
      <c r="DF6" s="36" t="s">
        <v>66</v>
      </c>
      <c r="DG6" s="36"/>
      <c r="DH6" s="36" t="s">
        <v>67</v>
      </c>
      <c r="DI6" s="36"/>
      <c r="DJ6" s="36" t="s">
        <v>303</v>
      </c>
      <c r="DK6" s="36"/>
      <c r="DL6" s="36" t="s">
        <v>68</v>
      </c>
      <c r="DM6" s="36"/>
      <c r="DN6" s="36" t="s">
        <v>303</v>
      </c>
      <c r="DO6" s="36"/>
      <c r="DP6" s="36" t="s">
        <v>66</v>
      </c>
      <c r="DQ6" s="36"/>
      <c r="DR6" s="36" t="s">
        <v>67</v>
      </c>
      <c r="DS6" s="36"/>
      <c r="DT6" s="36" t="s">
        <v>82</v>
      </c>
      <c r="DU6" s="36"/>
      <c r="DV6" s="36" t="s">
        <v>66</v>
      </c>
      <c r="DW6" s="36"/>
      <c r="DX6" s="36" t="s">
        <v>68</v>
      </c>
      <c r="DY6" s="36"/>
      <c r="DZ6" s="36" t="s">
        <v>83</v>
      </c>
      <c r="EA6" s="36"/>
      <c r="EB6" s="36" t="s">
        <v>84</v>
      </c>
      <c r="EC6" s="36"/>
      <c r="ED6" s="36" t="s">
        <v>85</v>
      </c>
      <c r="EE6" s="36"/>
      <c r="EF6" s="36" t="s">
        <v>299</v>
      </c>
      <c r="EG6" s="36"/>
      <c r="EH6" s="36" t="s">
        <v>85</v>
      </c>
      <c r="EI6" s="36"/>
      <c r="EJ6" s="36" t="s">
        <v>86</v>
      </c>
      <c r="EK6" s="36"/>
      <c r="EL6" s="36" t="s">
        <v>368</v>
      </c>
      <c r="EM6" s="36"/>
      <c r="EN6" s="42" t="s">
        <v>87</v>
      </c>
      <c r="EO6" s="36"/>
      <c r="EP6" s="36" t="s">
        <v>368</v>
      </c>
      <c r="EQ6" s="36"/>
      <c r="ER6" s="36" t="s">
        <v>304</v>
      </c>
      <c r="ES6" s="36"/>
      <c r="ET6" s="42" t="s">
        <v>62</v>
      </c>
      <c r="EU6" s="36"/>
      <c r="EV6" s="36" t="s">
        <v>304</v>
      </c>
      <c r="EW6" s="36"/>
      <c r="EX6" s="36" t="s">
        <v>85</v>
      </c>
      <c r="EY6" s="36"/>
      <c r="EZ6" s="36" t="s">
        <v>66</v>
      </c>
      <c r="FA6" s="36"/>
      <c r="FB6" s="36" t="s">
        <v>67</v>
      </c>
      <c r="FC6" s="36"/>
      <c r="FD6" s="36" t="s">
        <v>66</v>
      </c>
      <c r="FE6" s="36"/>
      <c r="FF6" s="36" t="s">
        <v>67</v>
      </c>
      <c r="FG6" s="36"/>
      <c r="FH6" s="36" t="s">
        <v>78</v>
      </c>
      <c r="FI6" s="36"/>
      <c r="FJ6" s="36" t="s">
        <v>78</v>
      </c>
      <c r="FK6" s="36"/>
      <c r="FL6" s="36" t="s">
        <v>79</v>
      </c>
      <c r="FM6" s="36"/>
      <c r="FN6" s="36" t="s">
        <v>78</v>
      </c>
      <c r="FO6" s="36"/>
      <c r="FP6" s="36" t="s">
        <v>306</v>
      </c>
      <c r="FQ6" s="36"/>
      <c r="FR6" s="214" t="s">
        <v>366</v>
      </c>
      <c r="FS6" s="36"/>
      <c r="FT6" s="36" t="s">
        <v>66</v>
      </c>
      <c r="FU6" s="36"/>
      <c r="FV6" s="36" t="s">
        <v>67</v>
      </c>
      <c r="FW6" s="36"/>
      <c r="FX6" s="36" t="s">
        <v>82</v>
      </c>
      <c r="FY6" s="36"/>
      <c r="FZ6" s="36" t="s">
        <v>306</v>
      </c>
      <c r="GA6" s="36"/>
      <c r="GB6" s="36" t="s">
        <v>358</v>
      </c>
      <c r="GC6" s="36"/>
      <c r="GD6" s="36" t="s">
        <v>84</v>
      </c>
      <c r="GE6" s="36"/>
      <c r="GF6" s="36" t="s">
        <v>359</v>
      </c>
      <c r="GG6" s="36"/>
      <c r="GH6" s="36" t="s">
        <v>70</v>
      </c>
      <c r="GI6" s="36"/>
      <c r="GJ6" s="36" t="s">
        <v>71</v>
      </c>
      <c r="GK6" s="36"/>
      <c r="GL6" s="36" t="s">
        <v>72</v>
      </c>
      <c r="GM6" s="36"/>
      <c r="GN6" s="36" t="s">
        <v>73</v>
      </c>
      <c r="GO6" s="36"/>
      <c r="GP6" s="36" t="s">
        <v>74</v>
      </c>
      <c r="GQ6" s="36"/>
      <c r="GR6" s="36" t="s">
        <v>75</v>
      </c>
      <c r="GS6" s="36"/>
      <c r="GT6" s="36" t="s">
        <v>76</v>
      </c>
      <c r="GU6" s="36"/>
      <c r="GV6" s="36" t="s">
        <v>77</v>
      </c>
      <c r="GW6" s="36"/>
      <c r="GX6" s="36" t="s">
        <v>78</v>
      </c>
      <c r="GY6" s="36"/>
      <c r="GZ6" s="36" t="s">
        <v>79</v>
      </c>
      <c r="HA6" s="36"/>
      <c r="HB6" s="36" t="s">
        <v>80</v>
      </c>
      <c r="HC6" s="36"/>
      <c r="HD6" s="36" t="s">
        <v>81</v>
      </c>
      <c r="HE6" s="36"/>
      <c r="HF6" s="36" t="s">
        <v>299</v>
      </c>
      <c r="HG6" s="36"/>
      <c r="HH6" s="36" t="s">
        <v>362</v>
      </c>
      <c r="HI6" s="36"/>
      <c r="HJ6" s="36" t="s">
        <v>362</v>
      </c>
      <c r="HK6" s="36"/>
      <c r="HL6" s="36" t="s">
        <v>362</v>
      </c>
      <c r="HM6" s="36"/>
      <c r="HN6" s="36" t="s">
        <v>69</v>
      </c>
      <c r="HO6" s="36"/>
    </row>
    <row r="7" spans="1:225" s="46" customFormat="1" ht="15.75">
      <c r="A7" s="46" t="s">
        <v>88</v>
      </c>
      <c r="B7" s="47" t="s">
        <v>89</v>
      </c>
      <c r="C7" s="46" t="s">
        <v>90</v>
      </c>
      <c r="D7" s="46" t="s">
        <v>91</v>
      </c>
      <c r="E7" s="46" t="s">
        <v>92</v>
      </c>
      <c r="F7" s="46" t="s">
        <v>43</v>
      </c>
      <c r="G7" s="46" t="s">
        <v>93</v>
      </c>
      <c r="H7" s="46" t="s">
        <v>94</v>
      </c>
      <c r="I7" s="46" t="s">
        <v>95</v>
      </c>
      <c r="J7" s="46" t="s">
        <v>96</v>
      </c>
      <c r="K7" s="47" t="s">
        <v>45</v>
      </c>
      <c r="L7" s="46" t="s">
        <v>97</v>
      </c>
      <c r="M7" s="46" t="s">
        <v>98</v>
      </c>
      <c r="N7" s="46" t="s">
        <v>99</v>
      </c>
      <c r="O7" s="46" t="s">
        <v>100</v>
      </c>
      <c r="Q7" s="46" t="s">
        <v>101</v>
      </c>
      <c r="R7" s="27" t="s">
        <v>352</v>
      </c>
      <c r="S7" s="27" t="s">
        <v>102</v>
      </c>
      <c r="T7" s="47"/>
      <c r="U7" s="47"/>
      <c r="V7" s="48">
        <v>1</v>
      </c>
      <c r="W7" s="47">
        <v>2</v>
      </c>
      <c r="X7" s="47">
        <v>3</v>
      </c>
      <c r="Y7" s="47">
        <v>4</v>
      </c>
      <c r="Z7" s="47">
        <v>5</v>
      </c>
      <c r="AA7" s="47">
        <v>6</v>
      </c>
      <c r="AB7" s="47">
        <v>7</v>
      </c>
      <c r="AC7" s="47">
        <v>8</v>
      </c>
      <c r="AD7" s="47">
        <v>9</v>
      </c>
      <c r="AE7" s="47">
        <v>10</v>
      </c>
      <c r="AF7" s="47">
        <v>11</v>
      </c>
      <c r="AG7" s="47">
        <v>12</v>
      </c>
      <c r="AH7" s="47">
        <v>13</v>
      </c>
      <c r="AI7" s="47">
        <v>14</v>
      </c>
      <c r="AJ7" s="47">
        <v>15</v>
      </c>
      <c r="AK7" s="47">
        <v>16</v>
      </c>
      <c r="AL7" s="47">
        <v>17</v>
      </c>
      <c r="AM7" s="47">
        <v>18</v>
      </c>
      <c r="AN7" s="47">
        <v>19</v>
      </c>
      <c r="AO7" s="47">
        <v>20</v>
      </c>
      <c r="AP7" s="47">
        <v>21</v>
      </c>
      <c r="AQ7" s="47">
        <v>22</v>
      </c>
      <c r="AR7" s="47">
        <v>23</v>
      </c>
      <c r="AS7" s="47">
        <v>24</v>
      </c>
      <c r="AT7" s="47">
        <v>25</v>
      </c>
      <c r="AU7" s="47">
        <v>26</v>
      </c>
      <c r="AV7" s="47">
        <v>27</v>
      </c>
      <c r="AW7" s="47">
        <v>28</v>
      </c>
      <c r="AX7" s="47">
        <v>29</v>
      </c>
      <c r="AY7" s="47">
        <v>30</v>
      </c>
      <c r="AZ7" s="47"/>
      <c r="BA7" s="47"/>
      <c r="BB7" s="47" t="s">
        <v>103</v>
      </c>
      <c r="BC7" s="47" t="s">
        <v>104</v>
      </c>
      <c r="BD7" s="47" t="s">
        <v>105</v>
      </c>
      <c r="BE7" s="47"/>
      <c r="BF7" s="49" t="s">
        <v>106</v>
      </c>
      <c r="BG7" s="47" t="s">
        <v>107</v>
      </c>
      <c r="BH7" s="46">
        <v>57908</v>
      </c>
      <c r="BI7" s="46">
        <v>37956</v>
      </c>
      <c r="BK7" s="46">
        <v>38021</v>
      </c>
      <c r="BM7" s="46">
        <v>38992</v>
      </c>
      <c r="BN7" s="50">
        <v>61822</v>
      </c>
      <c r="BO7" s="51"/>
      <c r="BP7" s="50">
        <v>61825</v>
      </c>
      <c r="BQ7" s="52"/>
      <c r="BR7" s="50">
        <v>61838</v>
      </c>
      <c r="BS7" s="52"/>
      <c r="BT7" s="50">
        <v>61990</v>
      </c>
      <c r="BU7" s="52"/>
      <c r="BV7" s="53">
        <v>62164</v>
      </c>
      <c r="BX7" s="46">
        <v>63822</v>
      </c>
      <c r="BZ7" s="46">
        <v>63825</v>
      </c>
      <c r="CB7" s="46">
        <v>63825</v>
      </c>
      <c r="CD7" s="46">
        <v>63825</v>
      </c>
      <c r="CF7" s="46">
        <v>63825</v>
      </c>
      <c r="CH7" s="46">
        <v>64034</v>
      </c>
      <c r="CJ7" s="46">
        <v>64036</v>
      </c>
      <c r="CL7" s="46">
        <v>64231</v>
      </c>
      <c r="CN7" s="46">
        <v>64328</v>
      </c>
      <c r="CP7" s="46">
        <v>64329</v>
      </c>
      <c r="CR7" s="46">
        <v>64329</v>
      </c>
      <c r="CT7" s="46">
        <v>64329</v>
      </c>
      <c r="CV7" s="46">
        <v>64329</v>
      </c>
      <c r="CX7" s="46">
        <v>64651</v>
      </c>
      <c r="CZ7" s="46">
        <v>64651</v>
      </c>
      <c r="DB7" s="46">
        <v>64651</v>
      </c>
      <c r="DD7" s="46">
        <v>64651</v>
      </c>
      <c r="DF7" s="46">
        <v>64862</v>
      </c>
      <c r="DH7" s="46">
        <v>64862</v>
      </c>
      <c r="DJ7" s="46">
        <v>64862</v>
      </c>
      <c r="DL7" s="46">
        <v>64939</v>
      </c>
      <c r="DN7" s="46">
        <v>65026</v>
      </c>
      <c r="DP7" s="46">
        <v>65026</v>
      </c>
      <c r="DR7" s="46">
        <v>65026</v>
      </c>
      <c r="DT7" s="46">
        <v>65026</v>
      </c>
      <c r="DV7" s="46">
        <v>65041</v>
      </c>
      <c r="DX7" s="46">
        <v>65041</v>
      </c>
      <c r="DZ7" s="46">
        <v>65041</v>
      </c>
      <c r="EB7" s="46">
        <v>65041</v>
      </c>
      <c r="ED7" s="46">
        <v>65042</v>
      </c>
      <c r="EF7" s="46">
        <v>65071</v>
      </c>
      <c r="EH7" s="46">
        <v>65071</v>
      </c>
      <c r="EJ7" s="46">
        <v>65071</v>
      </c>
      <c r="EL7" s="46">
        <v>65108</v>
      </c>
      <c r="EN7" s="50">
        <v>65402</v>
      </c>
      <c r="EP7" s="46">
        <v>65403</v>
      </c>
      <c r="ER7" s="46">
        <v>65404</v>
      </c>
      <c r="ET7" s="50">
        <v>65418</v>
      </c>
      <c r="EV7" s="46">
        <v>65534</v>
      </c>
      <c r="EX7" s="46">
        <v>65556</v>
      </c>
      <c r="EZ7" s="46">
        <v>65556</v>
      </c>
      <c r="FB7" s="46">
        <v>65556</v>
      </c>
      <c r="FD7" s="46">
        <v>66280</v>
      </c>
      <c r="FF7" s="46">
        <v>66280</v>
      </c>
      <c r="FH7" s="46">
        <v>66930</v>
      </c>
      <c r="FJ7" s="46">
        <v>66930</v>
      </c>
      <c r="FL7" s="46">
        <v>66931</v>
      </c>
      <c r="FN7" s="46">
        <v>66931</v>
      </c>
      <c r="FP7" s="46">
        <v>66932</v>
      </c>
      <c r="FR7" s="215"/>
      <c r="FT7" s="46">
        <v>66939</v>
      </c>
      <c r="FV7" s="46">
        <v>66939</v>
      </c>
      <c r="FX7" s="46">
        <v>66939</v>
      </c>
      <c r="FZ7" s="46">
        <v>66939</v>
      </c>
      <c r="GB7" s="46">
        <v>66940</v>
      </c>
      <c r="GD7" s="46">
        <v>66940</v>
      </c>
      <c r="GF7" s="46">
        <v>66965</v>
      </c>
      <c r="GH7" s="46">
        <v>67693</v>
      </c>
      <c r="GJ7" s="46">
        <v>67693</v>
      </c>
      <c r="GL7" s="46">
        <v>67693</v>
      </c>
      <c r="GN7" s="46">
        <v>67693</v>
      </c>
      <c r="GP7" s="46">
        <v>67693</v>
      </c>
      <c r="GR7" s="46">
        <v>67693</v>
      </c>
      <c r="GT7" s="46">
        <v>67693</v>
      </c>
      <c r="GV7" s="46">
        <v>67693</v>
      </c>
      <c r="GX7" s="46">
        <v>67693</v>
      </c>
      <c r="GZ7" s="46">
        <v>67693</v>
      </c>
      <c r="HB7" s="46">
        <v>67693</v>
      </c>
      <c r="HD7" s="46">
        <v>67693</v>
      </c>
      <c r="HF7" s="46">
        <v>67767</v>
      </c>
      <c r="HH7" s="46">
        <v>67832</v>
      </c>
      <c r="HJ7" s="46">
        <v>67833</v>
      </c>
      <c r="HL7" s="46">
        <v>67834</v>
      </c>
      <c r="HN7" s="46">
        <v>68112</v>
      </c>
    </row>
    <row r="8" spans="1:225" s="54" customFormat="1" ht="15.75">
      <c r="A8" s="54" t="s">
        <v>108</v>
      </c>
      <c r="B8" s="55" t="s">
        <v>109</v>
      </c>
      <c r="D8" s="35"/>
      <c r="E8" s="54">
        <v>1</v>
      </c>
      <c r="F8" s="54" t="s">
        <v>110</v>
      </c>
      <c r="G8" s="54" t="s">
        <v>135</v>
      </c>
      <c r="H8" s="56">
        <v>36336</v>
      </c>
      <c r="I8" s="54" t="s">
        <v>111</v>
      </c>
      <c r="J8" s="54" t="s">
        <v>112</v>
      </c>
      <c r="K8" s="55"/>
      <c r="L8" s="54" t="s">
        <v>113</v>
      </c>
      <c r="N8" s="54" t="str">
        <f t="shared" ref="N8:N17" si="0">CONCATENATE(B8,J8)</f>
        <v>30CSR</v>
      </c>
      <c r="O8" s="54" t="str">
        <f t="shared" ref="O8:O17" si="1">CONCATENATE(B8,J8,I8)</f>
        <v>30CSRBase</v>
      </c>
      <c r="Q8" s="57">
        <f t="shared" ref="Q8:Q25" si="2">+BC8</f>
        <v>0</v>
      </c>
      <c r="R8" s="57">
        <f t="shared" ref="R8:R29" si="3">+Q8</f>
        <v>0</v>
      </c>
      <c r="S8" s="57"/>
      <c r="T8" s="58">
        <v>37147</v>
      </c>
      <c r="U8" s="58"/>
      <c r="V8" s="194">
        <v>0</v>
      </c>
      <c r="W8" s="58">
        <f t="shared" ref="W8:AX8" si="4">V8</f>
        <v>0</v>
      </c>
      <c r="X8" s="58">
        <f t="shared" si="4"/>
        <v>0</v>
      </c>
      <c r="Y8" s="58">
        <f t="shared" si="4"/>
        <v>0</v>
      </c>
      <c r="Z8" s="58">
        <f t="shared" si="4"/>
        <v>0</v>
      </c>
      <c r="AA8" s="58">
        <f t="shared" si="4"/>
        <v>0</v>
      </c>
      <c r="AB8" s="58">
        <f t="shared" si="4"/>
        <v>0</v>
      </c>
      <c r="AC8" s="58">
        <f t="shared" si="4"/>
        <v>0</v>
      </c>
      <c r="AD8" s="58">
        <f t="shared" si="4"/>
        <v>0</v>
      </c>
      <c r="AE8" s="58">
        <f t="shared" si="4"/>
        <v>0</v>
      </c>
      <c r="AF8" s="58">
        <f t="shared" si="4"/>
        <v>0</v>
      </c>
      <c r="AG8" s="58">
        <f t="shared" si="4"/>
        <v>0</v>
      </c>
      <c r="AH8" s="58">
        <f t="shared" si="4"/>
        <v>0</v>
      </c>
      <c r="AI8" s="58">
        <f t="shared" si="4"/>
        <v>0</v>
      </c>
      <c r="AJ8" s="58">
        <f t="shared" si="4"/>
        <v>0</v>
      </c>
      <c r="AK8" s="58">
        <f t="shared" si="4"/>
        <v>0</v>
      </c>
      <c r="AL8" s="58">
        <f t="shared" si="4"/>
        <v>0</v>
      </c>
      <c r="AM8" s="58">
        <f t="shared" si="4"/>
        <v>0</v>
      </c>
      <c r="AN8" s="58">
        <f t="shared" si="4"/>
        <v>0</v>
      </c>
      <c r="AO8" s="58">
        <f t="shared" si="4"/>
        <v>0</v>
      </c>
      <c r="AP8" s="58">
        <f t="shared" si="4"/>
        <v>0</v>
      </c>
      <c r="AQ8" s="58">
        <f t="shared" si="4"/>
        <v>0</v>
      </c>
      <c r="AR8" s="58">
        <f t="shared" si="4"/>
        <v>0</v>
      </c>
      <c r="AS8" s="58">
        <f t="shared" si="4"/>
        <v>0</v>
      </c>
      <c r="AT8" s="58">
        <f t="shared" si="4"/>
        <v>0</v>
      </c>
      <c r="AU8" s="58">
        <f t="shared" si="4"/>
        <v>0</v>
      </c>
      <c r="AV8" s="58">
        <f t="shared" si="4"/>
        <v>0</v>
      </c>
      <c r="AW8" s="58">
        <f t="shared" si="4"/>
        <v>0</v>
      </c>
      <c r="AX8" s="58">
        <f t="shared" si="4"/>
        <v>0</v>
      </c>
      <c r="AY8" s="58">
        <f t="shared" ref="AY8:AY21" si="5">AX8</f>
        <v>0</v>
      </c>
      <c r="AZ8" s="58"/>
      <c r="BA8" s="58"/>
      <c r="BB8" s="58">
        <f>SUM(V8:AZ8)</f>
        <v>0</v>
      </c>
      <c r="BC8" s="177">
        <f>+BB8/30</f>
        <v>0</v>
      </c>
      <c r="BD8" s="58">
        <f>MAX(V8:AZ8)</f>
        <v>0</v>
      </c>
      <c r="BE8" s="58"/>
      <c r="BF8" s="57"/>
      <c r="BO8" s="60"/>
      <c r="FR8" s="216"/>
      <c r="HP8" s="57">
        <f t="shared" ref="HP8:HP39" si="6">SUM(BG8:HO8)-V8</f>
        <v>0</v>
      </c>
      <c r="HQ8" s="57"/>
    </row>
    <row r="9" spans="1:225" s="54" customFormat="1" ht="15.75">
      <c r="A9" s="54" t="s">
        <v>108</v>
      </c>
      <c r="B9" s="55" t="s">
        <v>109</v>
      </c>
      <c r="D9" s="35">
        <v>33</v>
      </c>
      <c r="E9" s="54">
        <v>1</v>
      </c>
      <c r="F9" s="54" t="s">
        <v>115</v>
      </c>
      <c r="G9" s="54" t="s">
        <v>135</v>
      </c>
      <c r="H9" s="56">
        <v>36336</v>
      </c>
      <c r="I9" s="54" t="s">
        <v>111</v>
      </c>
      <c r="J9" s="54" t="s">
        <v>112</v>
      </c>
      <c r="K9" s="55"/>
      <c r="L9" s="54" t="s">
        <v>118</v>
      </c>
      <c r="N9" s="54" t="str">
        <f t="shared" si="0"/>
        <v>30CSR</v>
      </c>
      <c r="O9" s="54" t="str">
        <f t="shared" si="1"/>
        <v>30CSRBase</v>
      </c>
      <c r="Q9" s="57">
        <f t="shared" si="2"/>
        <v>0</v>
      </c>
      <c r="R9" s="57">
        <f t="shared" si="3"/>
        <v>0</v>
      </c>
      <c r="S9" s="57"/>
      <c r="T9" s="58">
        <v>37147</v>
      </c>
      <c r="U9" s="58"/>
      <c r="V9" s="194">
        <v>0</v>
      </c>
      <c r="W9" s="58">
        <f t="shared" ref="W9:AX9" si="7">V9</f>
        <v>0</v>
      </c>
      <c r="X9" s="58">
        <f t="shared" si="7"/>
        <v>0</v>
      </c>
      <c r="Y9" s="58">
        <f t="shared" si="7"/>
        <v>0</v>
      </c>
      <c r="Z9" s="58">
        <f t="shared" si="7"/>
        <v>0</v>
      </c>
      <c r="AA9" s="58">
        <f t="shared" si="7"/>
        <v>0</v>
      </c>
      <c r="AB9" s="58">
        <f t="shared" si="7"/>
        <v>0</v>
      </c>
      <c r="AC9" s="58">
        <f t="shared" si="7"/>
        <v>0</v>
      </c>
      <c r="AD9" s="58">
        <f t="shared" si="7"/>
        <v>0</v>
      </c>
      <c r="AE9" s="58">
        <f t="shared" si="7"/>
        <v>0</v>
      </c>
      <c r="AF9" s="58">
        <f t="shared" si="7"/>
        <v>0</v>
      </c>
      <c r="AG9" s="58">
        <f t="shared" si="7"/>
        <v>0</v>
      </c>
      <c r="AH9" s="58">
        <f t="shared" si="7"/>
        <v>0</v>
      </c>
      <c r="AI9" s="58">
        <f t="shared" si="7"/>
        <v>0</v>
      </c>
      <c r="AJ9" s="58">
        <f t="shared" si="7"/>
        <v>0</v>
      </c>
      <c r="AK9" s="58">
        <f t="shared" si="7"/>
        <v>0</v>
      </c>
      <c r="AL9" s="58">
        <f t="shared" si="7"/>
        <v>0</v>
      </c>
      <c r="AM9" s="58">
        <f t="shared" si="7"/>
        <v>0</v>
      </c>
      <c r="AN9" s="58">
        <f t="shared" si="7"/>
        <v>0</v>
      </c>
      <c r="AO9" s="58">
        <f t="shared" si="7"/>
        <v>0</v>
      </c>
      <c r="AP9" s="58">
        <f t="shared" si="7"/>
        <v>0</v>
      </c>
      <c r="AQ9" s="58">
        <f t="shared" si="7"/>
        <v>0</v>
      </c>
      <c r="AR9" s="58">
        <f t="shared" si="7"/>
        <v>0</v>
      </c>
      <c r="AS9" s="58">
        <f t="shared" si="7"/>
        <v>0</v>
      </c>
      <c r="AT9" s="58">
        <f t="shared" si="7"/>
        <v>0</v>
      </c>
      <c r="AU9" s="58">
        <f t="shared" si="7"/>
        <v>0</v>
      </c>
      <c r="AV9" s="58">
        <f t="shared" si="7"/>
        <v>0</v>
      </c>
      <c r="AW9" s="58">
        <f t="shared" si="7"/>
        <v>0</v>
      </c>
      <c r="AX9" s="58">
        <f t="shared" si="7"/>
        <v>0</v>
      </c>
      <c r="AY9" s="58">
        <f t="shared" si="5"/>
        <v>0</v>
      </c>
      <c r="AZ9" s="58"/>
      <c r="BA9" s="58"/>
      <c r="BB9" s="58">
        <f t="shared" ref="BB9:BB14" si="8">SUM(V9:AZ9)</f>
        <v>0</v>
      </c>
      <c r="BC9" s="177">
        <f t="shared" ref="BC9:BC14" si="9">+BB9/30</f>
        <v>0</v>
      </c>
      <c r="BD9" s="58">
        <f t="shared" ref="BD9:BD57" si="10">MAX(V9:AZ9)</f>
        <v>0</v>
      </c>
      <c r="BE9" s="58"/>
      <c r="BF9" s="57"/>
      <c r="BO9" s="60"/>
      <c r="FR9" s="216"/>
      <c r="HP9" s="57">
        <f t="shared" si="6"/>
        <v>0</v>
      </c>
      <c r="HQ9" s="57"/>
    </row>
    <row r="10" spans="1:225" s="54" customFormat="1" ht="15.75">
      <c r="A10" s="54" t="s">
        <v>108</v>
      </c>
      <c r="B10" s="55" t="s">
        <v>109</v>
      </c>
      <c r="D10" s="35">
        <v>34</v>
      </c>
      <c r="E10" s="54">
        <v>1</v>
      </c>
      <c r="F10" s="54" t="s">
        <v>115</v>
      </c>
      <c r="G10" s="54" t="s">
        <v>135</v>
      </c>
      <c r="H10" s="56">
        <v>36336</v>
      </c>
      <c r="I10" s="54" t="s">
        <v>111</v>
      </c>
      <c r="J10" s="54" t="s">
        <v>112</v>
      </c>
      <c r="K10" s="55"/>
      <c r="L10" s="54" t="s">
        <v>118</v>
      </c>
      <c r="M10" s="54" t="s">
        <v>297</v>
      </c>
      <c r="N10" s="54" t="str">
        <f t="shared" si="0"/>
        <v>30CSR</v>
      </c>
      <c r="O10" s="54" t="str">
        <f t="shared" si="1"/>
        <v>30CSRBase</v>
      </c>
      <c r="Q10" s="57">
        <f t="shared" si="2"/>
        <v>0</v>
      </c>
      <c r="R10" s="57">
        <f t="shared" si="3"/>
        <v>0</v>
      </c>
      <c r="S10" s="57"/>
      <c r="T10" s="58">
        <v>37147</v>
      </c>
      <c r="U10" s="58"/>
      <c r="V10" s="59">
        <v>0</v>
      </c>
      <c r="W10" s="58">
        <f t="shared" ref="W10:AX10" si="11">V10</f>
        <v>0</v>
      </c>
      <c r="X10" s="58">
        <f t="shared" si="11"/>
        <v>0</v>
      </c>
      <c r="Y10" s="58">
        <f t="shared" si="11"/>
        <v>0</v>
      </c>
      <c r="Z10" s="58">
        <f t="shared" si="11"/>
        <v>0</v>
      </c>
      <c r="AA10" s="58">
        <f t="shared" si="11"/>
        <v>0</v>
      </c>
      <c r="AB10" s="58">
        <f t="shared" si="11"/>
        <v>0</v>
      </c>
      <c r="AC10" s="58">
        <f t="shared" si="11"/>
        <v>0</v>
      </c>
      <c r="AD10" s="58">
        <f t="shared" si="11"/>
        <v>0</v>
      </c>
      <c r="AE10" s="58">
        <f t="shared" si="11"/>
        <v>0</v>
      </c>
      <c r="AF10" s="58">
        <f t="shared" si="11"/>
        <v>0</v>
      </c>
      <c r="AG10" s="58">
        <f t="shared" si="11"/>
        <v>0</v>
      </c>
      <c r="AH10" s="58">
        <f t="shared" si="11"/>
        <v>0</v>
      </c>
      <c r="AI10" s="58">
        <f t="shared" si="11"/>
        <v>0</v>
      </c>
      <c r="AJ10" s="58">
        <f t="shared" si="11"/>
        <v>0</v>
      </c>
      <c r="AK10" s="58">
        <f t="shared" si="11"/>
        <v>0</v>
      </c>
      <c r="AL10" s="58">
        <f t="shared" si="11"/>
        <v>0</v>
      </c>
      <c r="AM10" s="58">
        <f t="shared" si="11"/>
        <v>0</v>
      </c>
      <c r="AN10" s="58">
        <f t="shared" si="11"/>
        <v>0</v>
      </c>
      <c r="AO10" s="58">
        <f t="shared" si="11"/>
        <v>0</v>
      </c>
      <c r="AP10" s="58">
        <f t="shared" si="11"/>
        <v>0</v>
      </c>
      <c r="AQ10" s="58">
        <f t="shared" si="11"/>
        <v>0</v>
      </c>
      <c r="AR10" s="58">
        <f t="shared" si="11"/>
        <v>0</v>
      </c>
      <c r="AS10" s="58">
        <f t="shared" si="11"/>
        <v>0</v>
      </c>
      <c r="AT10" s="58">
        <f t="shared" si="11"/>
        <v>0</v>
      </c>
      <c r="AU10" s="58">
        <f t="shared" si="11"/>
        <v>0</v>
      </c>
      <c r="AV10" s="58">
        <f t="shared" si="11"/>
        <v>0</v>
      </c>
      <c r="AW10" s="58">
        <f t="shared" si="11"/>
        <v>0</v>
      </c>
      <c r="AX10" s="58">
        <f t="shared" si="11"/>
        <v>0</v>
      </c>
      <c r="AY10" s="58">
        <f t="shared" si="5"/>
        <v>0</v>
      </c>
      <c r="AZ10" s="58"/>
      <c r="BA10" s="58"/>
      <c r="BB10" s="58">
        <f t="shared" si="8"/>
        <v>0</v>
      </c>
      <c r="BC10" s="177">
        <f t="shared" si="9"/>
        <v>0</v>
      </c>
      <c r="BD10" s="58">
        <f t="shared" si="10"/>
        <v>0</v>
      </c>
      <c r="BE10" s="58"/>
      <c r="BF10" s="57"/>
      <c r="BO10" s="60"/>
      <c r="EP10" s="54">
        <v>100</v>
      </c>
      <c r="EQ10" s="54" t="s">
        <v>130</v>
      </c>
      <c r="FR10" s="216"/>
      <c r="HP10" s="57">
        <f t="shared" si="6"/>
        <v>100</v>
      </c>
      <c r="HQ10" s="57"/>
    </row>
    <row r="11" spans="1:225" s="54" customFormat="1" ht="15.75">
      <c r="A11" s="54" t="s">
        <v>120</v>
      </c>
      <c r="B11" s="55">
        <v>833866</v>
      </c>
      <c r="D11" s="35"/>
      <c r="E11" s="54">
        <v>1</v>
      </c>
      <c r="F11" s="54" t="s">
        <v>120</v>
      </c>
      <c r="G11" s="54" t="s">
        <v>121</v>
      </c>
      <c r="H11" s="56">
        <v>36336</v>
      </c>
      <c r="I11" s="54" t="s">
        <v>111</v>
      </c>
      <c r="J11" s="54" t="s">
        <v>122</v>
      </c>
      <c r="K11" s="55"/>
      <c r="L11" s="54" t="s">
        <v>113</v>
      </c>
      <c r="N11" s="54" t="str">
        <f t="shared" si="0"/>
        <v>833866W</v>
      </c>
      <c r="O11" s="54" t="str">
        <f t="shared" si="1"/>
        <v>833866WBase</v>
      </c>
      <c r="Q11" s="57">
        <f t="shared" si="2"/>
        <v>0</v>
      </c>
      <c r="R11" s="57">
        <f t="shared" si="3"/>
        <v>0</v>
      </c>
      <c r="S11" s="57"/>
      <c r="T11" s="58">
        <v>37147</v>
      </c>
      <c r="U11" s="58"/>
      <c r="V11" s="59">
        <v>0</v>
      </c>
      <c r="W11" s="58">
        <f t="shared" ref="W11:AX11" si="12">V11</f>
        <v>0</v>
      </c>
      <c r="X11" s="58">
        <f t="shared" si="12"/>
        <v>0</v>
      </c>
      <c r="Y11" s="58">
        <f t="shared" si="12"/>
        <v>0</v>
      </c>
      <c r="Z11" s="58">
        <f t="shared" si="12"/>
        <v>0</v>
      </c>
      <c r="AA11" s="58">
        <f t="shared" si="12"/>
        <v>0</v>
      </c>
      <c r="AB11" s="58">
        <f t="shared" si="12"/>
        <v>0</v>
      </c>
      <c r="AC11" s="58">
        <f t="shared" si="12"/>
        <v>0</v>
      </c>
      <c r="AD11" s="58">
        <f t="shared" si="12"/>
        <v>0</v>
      </c>
      <c r="AE11" s="58">
        <f t="shared" si="12"/>
        <v>0</v>
      </c>
      <c r="AF11" s="58">
        <f t="shared" si="12"/>
        <v>0</v>
      </c>
      <c r="AG11" s="58">
        <f t="shared" si="12"/>
        <v>0</v>
      </c>
      <c r="AH11" s="58">
        <f t="shared" si="12"/>
        <v>0</v>
      </c>
      <c r="AI11" s="58">
        <f t="shared" si="12"/>
        <v>0</v>
      </c>
      <c r="AJ11" s="58">
        <f t="shared" si="12"/>
        <v>0</v>
      </c>
      <c r="AK11" s="58">
        <f t="shared" si="12"/>
        <v>0</v>
      </c>
      <c r="AL11" s="58">
        <f t="shared" si="12"/>
        <v>0</v>
      </c>
      <c r="AM11" s="58">
        <f t="shared" si="12"/>
        <v>0</v>
      </c>
      <c r="AN11" s="58">
        <f t="shared" si="12"/>
        <v>0</v>
      </c>
      <c r="AO11" s="58">
        <f t="shared" si="12"/>
        <v>0</v>
      </c>
      <c r="AP11" s="58">
        <f t="shared" si="12"/>
        <v>0</v>
      </c>
      <c r="AQ11" s="58">
        <f t="shared" si="12"/>
        <v>0</v>
      </c>
      <c r="AR11" s="58">
        <f t="shared" si="12"/>
        <v>0</v>
      </c>
      <c r="AS11" s="58">
        <f t="shared" si="12"/>
        <v>0</v>
      </c>
      <c r="AT11" s="58">
        <f t="shared" si="12"/>
        <v>0</v>
      </c>
      <c r="AU11" s="58">
        <f t="shared" si="12"/>
        <v>0</v>
      </c>
      <c r="AV11" s="58">
        <f t="shared" si="12"/>
        <v>0</v>
      </c>
      <c r="AW11" s="58">
        <f t="shared" si="12"/>
        <v>0</v>
      </c>
      <c r="AX11" s="58">
        <f t="shared" si="12"/>
        <v>0</v>
      </c>
      <c r="AY11" s="58">
        <f t="shared" si="5"/>
        <v>0</v>
      </c>
      <c r="AZ11" s="58"/>
      <c r="BA11" s="58"/>
      <c r="BB11" s="58">
        <f t="shared" si="8"/>
        <v>0</v>
      </c>
      <c r="BC11" s="177">
        <f t="shared" si="9"/>
        <v>0</v>
      </c>
      <c r="BD11" s="58">
        <f t="shared" si="10"/>
        <v>0</v>
      </c>
      <c r="BE11" s="58"/>
      <c r="BF11" s="57"/>
      <c r="BO11" s="60"/>
      <c r="FR11" s="216"/>
      <c r="HP11" s="57">
        <f t="shared" si="6"/>
        <v>0</v>
      </c>
      <c r="HQ11" s="57"/>
    </row>
    <row r="12" spans="1:225" s="54" customFormat="1" ht="15.75">
      <c r="A12" s="54" t="s">
        <v>123</v>
      </c>
      <c r="B12" s="55">
        <v>833469</v>
      </c>
      <c r="D12" s="35"/>
      <c r="E12" s="54">
        <v>1</v>
      </c>
      <c r="F12" s="54" t="s">
        <v>123</v>
      </c>
      <c r="G12" s="54" t="s">
        <v>121</v>
      </c>
      <c r="H12" s="56">
        <v>36336</v>
      </c>
      <c r="I12" s="54" t="s">
        <v>111</v>
      </c>
      <c r="J12" s="54" t="s">
        <v>122</v>
      </c>
      <c r="K12" s="55"/>
      <c r="L12" s="54" t="s">
        <v>113</v>
      </c>
      <c r="N12" s="54" t="str">
        <f t="shared" si="0"/>
        <v>833469W</v>
      </c>
      <c r="O12" s="54" t="str">
        <f t="shared" si="1"/>
        <v>833469WBase</v>
      </c>
      <c r="Q12" s="57">
        <f t="shared" si="2"/>
        <v>0</v>
      </c>
      <c r="R12" s="57">
        <f t="shared" si="3"/>
        <v>0</v>
      </c>
      <c r="S12" s="57"/>
      <c r="T12" s="58">
        <v>37147</v>
      </c>
      <c r="U12" s="58"/>
      <c r="V12" s="59">
        <v>0</v>
      </c>
      <c r="W12" s="58">
        <f t="shared" ref="W12:AX12" si="13">V12</f>
        <v>0</v>
      </c>
      <c r="X12" s="58">
        <f t="shared" si="13"/>
        <v>0</v>
      </c>
      <c r="Y12" s="58">
        <f t="shared" si="13"/>
        <v>0</v>
      </c>
      <c r="Z12" s="58">
        <f t="shared" si="13"/>
        <v>0</v>
      </c>
      <c r="AA12" s="58">
        <f t="shared" si="13"/>
        <v>0</v>
      </c>
      <c r="AB12" s="58">
        <f t="shared" si="13"/>
        <v>0</v>
      </c>
      <c r="AC12" s="58">
        <f t="shared" si="13"/>
        <v>0</v>
      </c>
      <c r="AD12" s="58">
        <f t="shared" si="13"/>
        <v>0</v>
      </c>
      <c r="AE12" s="58">
        <f t="shared" si="13"/>
        <v>0</v>
      </c>
      <c r="AF12" s="58">
        <f t="shared" si="13"/>
        <v>0</v>
      </c>
      <c r="AG12" s="58">
        <f t="shared" si="13"/>
        <v>0</v>
      </c>
      <c r="AH12" s="58">
        <f t="shared" si="13"/>
        <v>0</v>
      </c>
      <c r="AI12" s="58">
        <f t="shared" si="13"/>
        <v>0</v>
      </c>
      <c r="AJ12" s="58">
        <f t="shared" si="13"/>
        <v>0</v>
      </c>
      <c r="AK12" s="58">
        <f t="shared" si="13"/>
        <v>0</v>
      </c>
      <c r="AL12" s="58">
        <f t="shared" si="13"/>
        <v>0</v>
      </c>
      <c r="AM12" s="58">
        <f t="shared" si="13"/>
        <v>0</v>
      </c>
      <c r="AN12" s="58">
        <f t="shared" si="13"/>
        <v>0</v>
      </c>
      <c r="AO12" s="58">
        <f t="shared" si="13"/>
        <v>0</v>
      </c>
      <c r="AP12" s="58">
        <f t="shared" si="13"/>
        <v>0</v>
      </c>
      <c r="AQ12" s="58">
        <f t="shared" si="13"/>
        <v>0</v>
      </c>
      <c r="AR12" s="58">
        <f t="shared" si="13"/>
        <v>0</v>
      </c>
      <c r="AS12" s="58">
        <f t="shared" si="13"/>
        <v>0</v>
      </c>
      <c r="AT12" s="58">
        <f t="shared" si="13"/>
        <v>0</v>
      </c>
      <c r="AU12" s="58">
        <f t="shared" si="13"/>
        <v>0</v>
      </c>
      <c r="AV12" s="58">
        <f t="shared" si="13"/>
        <v>0</v>
      </c>
      <c r="AW12" s="58">
        <f t="shared" si="13"/>
        <v>0</v>
      </c>
      <c r="AX12" s="58">
        <f t="shared" si="13"/>
        <v>0</v>
      </c>
      <c r="AY12" s="58">
        <f t="shared" si="5"/>
        <v>0</v>
      </c>
      <c r="AZ12" s="58"/>
      <c r="BA12" s="58"/>
      <c r="BB12" s="58">
        <f t="shared" si="8"/>
        <v>0</v>
      </c>
      <c r="BC12" s="177">
        <f t="shared" si="9"/>
        <v>0</v>
      </c>
      <c r="BD12" s="58">
        <f t="shared" si="10"/>
        <v>0</v>
      </c>
      <c r="BE12" s="58"/>
      <c r="BF12" s="57"/>
      <c r="BO12" s="60"/>
      <c r="FR12" s="216"/>
      <c r="HP12" s="57">
        <f t="shared" si="6"/>
        <v>0</v>
      </c>
      <c r="HQ12" s="57"/>
    </row>
    <row r="13" spans="1:225" s="54" customFormat="1" ht="15.75">
      <c r="A13" s="54" t="s">
        <v>124</v>
      </c>
      <c r="B13" s="55">
        <v>831095</v>
      </c>
      <c r="D13" s="35"/>
      <c r="E13" s="54">
        <v>1</v>
      </c>
      <c r="F13" s="54" t="s">
        <v>124</v>
      </c>
      <c r="G13" s="54" t="s">
        <v>121</v>
      </c>
      <c r="H13" s="56">
        <v>36336</v>
      </c>
      <c r="I13" s="54" t="s">
        <v>111</v>
      </c>
      <c r="J13" s="54" t="s">
        <v>122</v>
      </c>
      <c r="K13" s="55"/>
      <c r="L13" s="54" t="s">
        <v>113</v>
      </c>
      <c r="N13" s="54" t="str">
        <f t="shared" si="0"/>
        <v>831095W</v>
      </c>
      <c r="O13" s="54" t="str">
        <f t="shared" si="1"/>
        <v>831095WBase</v>
      </c>
      <c r="Q13" s="57">
        <f t="shared" si="2"/>
        <v>0</v>
      </c>
      <c r="R13" s="57">
        <f t="shared" si="3"/>
        <v>0</v>
      </c>
      <c r="S13" s="57"/>
      <c r="T13" s="58">
        <v>37147</v>
      </c>
      <c r="U13" s="58"/>
      <c r="V13" s="59">
        <v>0</v>
      </c>
      <c r="W13" s="58">
        <f t="shared" ref="W13:AX13" si="14">V13</f>
        <v>0</v>
      </c>
      <c r="X13" s="58">
        <f t="shared" si="14"/>
        <v>0</v>
      </c>
      <c r="Y13" s="58">
        <f t="shared" si="14"/>
        <v>0</v>
      </c>
      <c r="Z13" s="58">
        <f t="shared" si="14"/>
        <v>0</v>
      </c>
      <c r="AA13" s="58">
        <f t="shared" si="14"/>
        <v>0</v>
      </c>
      <c r="AB13" s="58">
        <f t="shared" si="14"/>
        <v>0</v>
      </c>
      <c r="AC13" s="58">
        <f t="shared" si="14"/>
        <v>0</v>
      </c>
      <c r="AD13" s="58">
        <f t="shared" si="14"/>
        <v>0</v>
      </c>
      <c r="AE13" s="58">
        <f t="shared" si="14"/>
        <v>0</v>
      </c>
      <c r="AF13" s="58">
        <f t="shared" si="14"/>
        <v>0</v>
      </c>
      <c r="AG13" s="58">
        <f t="shared" si="14"/>
        <v>0</v>
      </c>
      <c r="AH13" s="58">
        <f t="shared" si="14"/>
        <v>0</v>
      </c>
      <c r="AI13" s="58">
        <f t="shared" si="14"/>
        <v>0</v>
      </c>
      <c r="AJ13" s="58">
        <f t="shared" si="14"/>
        <v>0</v>
      </c>
      <c r="AK13" s="58">
        <f t="shared" si="14"/>
        <v>0</v>
      </c>
      <c r="AL13" s="58">
        <f t="shared" si="14"/>
        <v>0</v>
      </c>
      <c r="AM13" s="58">
        <f t="shared" si="14"/>
        <v>0</v>
      </c>
      <c r="AN13" s="58">
        <f t="shared" si="14"/>
        <v>0</v>
      </c>
      <c r="AO13" s="58">
        <f t="shared" si="14"/>
        <v>0</v>
      </c>
      <c r="AP13" s="58">
        <f t="shared" si="14"/>
        <v>0</v>
      </c>
      <c r="AQ13" s="58">
        <f t="shared" si="14"/>
        <v>0</v>
      </c>
      <c r="AR13" s="58">
        <f t="shared" si="14"/>
        <v>0</v>
      </c>
      <c r="AS13" s="58">
        <f t="shared" si="14"/>
        <v>0</v>
      </c>
      <c r="AT13" s="58">
        <f t="shared" si="14"/>
        <v>0</v>
      </c>
      <c r="AU13" s="58">
        <f t="shared" si="14"/>
        <v>0</v>
      </c>
      <c r="AV13" s="58">
        <f t="shared" si="14"/>
        <v>0</v>
      </c>
      <c r="AW13" s="58">
        <f t="shared" si="14"/>
        <v>0</v>
      </c>
      <c r="AX13" s="58">
        <f t="shared" si="14"/>
        <v>0</v>
      </c>
      <c r="AY13" s="58">
        <f t="shared" si="5"/>
        <v>0</v>
      </c>
      <c r="AZ13" s="58"/>
      <c r="BA13" s="58"/>
      <c r="BB13" s="58">
        <f t="shared" si="8"/>
        <v>0</v>
      </c>
      <c r="BC13" s="177">
        <f t="shared" si="9"/>
        <v>0</v>
      </c>
      <c r="BD13" s="58">
        <f t="shared" si="10"/>
        <v>0</v>
      </c>
      <c r="BE13" s="58"/>
      <c r="BF13" s="57"/>
      <c r="BO13" s="60"/>
      <c r="EM13" s="61"/>
      <c r="FR13" s="216"/>
      <c r="HP13" s="57">
        <f t="shared" si="6"/>
        <v>0</v>
      </c>
      <c r="HQ13" s="57"/>
    </row>
    <row r="14" spans="1:225" s="61" customFormat="1" ht="15.75">
      <c r="A14" s="61" t="s">
        <v>126</v>
      </c>
      <c r="B14" s="62">
        <v>21</v>
      </c>
      <c r="D14" s="14">
        <v>20</v>
      </c>
      <c r="E14" s="61">
        <v>2</v>
      </c>
      <c r="F14" s="61" t="s">
        <v>115</v>
      </c>
      <c r="G14" s="63" t="s">
        <v>135</v>
      </c>
      <c r="H14" s="64">
        <v>36336</v>
      </c>
      <c r="I14" s="61" t="s">
        <v>111</v>
      </c>
      <c r="J14" s="61" t="s">
        <v>112</v>
      </c>
      <c r="K14" s="65"/>
      <c r="L14" s="61" t="s">
        <v>113</v>
      </c>
      <c r="M14" s="66"/>
      <c r="N14" s="61" t="str">
        <f t="shared" si="0"/>
        <v>21R</v>
      </c>
      <c r="O14" s="61" t="str">
        <f t="shared" si="1"/>
        <v>21RBase</v>
      </c>
      <c r="Q14" s="23">
        <f t="shared" si="2"/>
        <v>0</v>
      </c>
      <c r="R14" s="23">
        <f t="shared" si="3"/>
        <v>0</v>
      </c>
      <c r="S14" s="23"/>
      <c r="T14" s="67">
        <v>37147</v>
      </c>
      <c r="U14" s="67"/>
      <c r="V14" s="68">
        <v>0</v>
      </c>
      <c r="W14" s="67">
        <f t="shared" ref="W14:AX14" si="15">V14</f>
        <v>0</v>
      </c>
      <c r="X14" s="67">
        <f t="shared" si="15"/>
        <v>0</v>
      </c>
      <c r="Y14" s="67">
        <f t="shared" si="15"/>
        <v>0</v>
      </c>
      <c r="Z14" s="67">
        <f t="shared" si="15"/>
        <v>0</v>
      </c>
      <c r="AA14" s="67">
        <f t="shared" si="15"/>
        <v>0</v>
      </c>
      <c r="AB14" s="67">
        <f t="shared" si="15"/>
        <v>0</v>
      </c>
      <c r="AC14" s="67">
        <f t="shared" si="15"/>
        <v>0</v>
      </c>
      <c r="AD14" s="67">
        <f t="shared" si="15"/>
        <v>0</v>
      </c>
      <c r="AE14" s="67">
        <f t="shared" si="15"/>
        <v>0</v>
      </c>
      <c r="AF14" s="67">
        <f t="shared" si="15"/>
        <v>0</v>
      </c>
      <c r="AG14" s="67">
        <f t="shared" si="15"/>
        <v>0</v>
      </c>
      <c r="AH14" s="67">
        <f t="shared" si="15"/>
        <v>0</v>
      </c>
      <c r="AI14" s="67">
        <f t="shared" si="15"/>
        <v>0</v>
      </c>
      <c r="AJ14" s="67">
        <f t="shared" si="15"/>
        <v>0</v>
      </c>
      <c r="AK14" s="67">
        <f t="shared" si="15"/>
        <v>0</v>
      </c>
      <c r="AL14" s="67">
        <f t="shared" si="15"/>
        <v>0</v>
      </c>
      <c r="AM14" s="67">
        <f t="shared" si="15"/>
        <v>0</v>
      </c>
      <c r="AN14" s="67">
        <f t="shared" si="15"/>
        <v>0</v>
      </c>
      <c r="AO14" s="67">
        <f t="shared" si="15"/>
        <v>0</v>
      </c>
      <c r="AP14" s="67">
        <f t="shared" si="15"/>
        <v>0</v>
      </c>
      <c r="AQ14" s="67">
        <f t="shared" si="15"/>
        <v>0</v>
      </c>
      <c r="AR14" s="67">
        <f t="shared" si="15"/>
        <v>0</v>
      </c>
      <c r="AS14" s="67">
        <f t="shared" si="15"/>
        <v>0</v>
      </c>
      <c r="AT14" s="67">
        <f t="shared" si="15"/>
        <v>0</v>
      </c>
      <c r="AU14" s="67">
        <f t="shared" si="15"/>
        <v>0</v>
      </c>
      <c r="AV14" s="67">
        <f t="shared" si="15"/>
        <v>0</v>
      </c>
      <c r="AW14" s="67">
        <f t="shared" si="15"/>
        <v>0</v>
      </c>
      <c r="AX14" s="67">
        <f t="shared" si="15"/>
        <v>0</v>
      </c>
      <c r="AY14" s="67">
        <f t="shared" si="5"/>
        <v>0</v>
      </c>
      <c r="AZ14" s="67"/>
      <c r="BA14" s="67"/>
      <c r="BB14" s="58">
        <f t="shared" si="8"/>
        <v>0</v>
      </c>
      <c r="BC14" s="177">
        <f t="shared" si="9"/>
        <v>0</v>
      </c>
      <c r="BD14" s="67">
        <f t="shared" si="10"/>
        <v>0</v>
      </c>
      <c r="BE14" s="67"/>
      <c r="BF14" s="23"/>
      <c r="BG14" s="23"/>
      <c r="BH14" s="23"/>
      <c r="BI14" s="23"/>
      <c r="BJ14" s="23"/>
      <c r="BK14" s="23"/>
      <c r="BL14" s="23"/>
      <c r="BM14" s="23"/>
      <c r="BO14" s="69"/>
      <c r="EN14" s="61">
        <v>548</v>
      </c>
      <c r="EO14" s="61" t="s">
        <v>372</v>
      </c>
      <c r="ER14" s="61">
        <v>34</v>
      </c>
      <c r="EV14" s="61">
        <v>3</v>
      </c>
      <c r="FR14" s="217"/>
      <c r="HP14" s="23">
        <f t="shared" si="6"/>
        <v>585</v>
      </c>
      <c r="HQ14" s="23"/>
    </row>
    <row r="15" spans="1:225" s="61" customFormat="1" ht="15.75">
      <c r="A15" s="61" t="s">
        <v>128</v>
      </c>
      <c r="B15" s="62">
        <v>22</v>
      </c>
      <c r="D15" s="14">
        <v>15</v>
      </c>
      <c r="E15" s="61">
        <v>3</v>
      </c>
      <c r="F15" s="61" t="s">
        <v>115</v>
      </c>
      <c r="G15" s="61" t="s">
        <v>129</v>
      </c>
      <c r="H15" s="64">
        <v>36459</v>
      </c>
      <c r="I15" s="61" t="s">
        <v>111</v>
      </c>
      <c r="J15" s="61" t="s">
        <v>112</v>
      </c>
      <c r="K15" s="62"/>
      <c r="L15" s="61" t="s">
        <v>113</v>
      </c>
      <c r="M15" s="54"/>
      <c r="N15" s="61" t="str">
        <f t="shared" si="0"/>
        <v>22R</v>
      </c>
      <c r="O15" s="61" t="str">
        <f t="shared" si="1"/>
        <v>22RBase</v>
      </c>
      <c r="Q15" s="23">
        <f t="shared" si="2"/>
        <v>0</v>
      </c>
      <c r="R15" s="23">
        <f t="shared" si="3"/>
        <v>0</v>
      </c>
      <c r="S15" s="23"/>
      <c r="T15" s="67">
        <v>37147</v>
      </c>
      <c r="U15" s="67"/>
      <c r="V15" s="68">
        <v>0</v>
      </c>
      <c r="W15" s="67">
        <f t="shared" ref="W15:AX15" si="16">V15</f>
        <v>0</v>
      </c>
      <c r="X15" s="67">
        <f t="shared" si="16"/>
        <v>0</v>
      </c>
      <c r="Y15" s="67">
        <f t="shared" si="16"/>
        <v>0</v>
      </c>
      <c r="Z15" s="67">
        <f t="shared" si="16"/>
        <v>0</v>
      </c>
      <c r="AA15" s="67">
        <f t="shared" si="16"/>
        <v>0</v>
      </c>
      <c r="AB15" s="67">
        <f t="shared" si="16"/>
        <v>0</v>
      </c>
      <c r="AC15" s="67">
        <f t="shared" si="16"/>
        <v>0</v>
      </c>
      <c r="AD15" s="67">
        <f t="shared" si="16"/>
        <v>0</v>
      </c>
      <c r="AE15" s="67">
        <f t="shared" si="16"/>
        <v>0</v>
      </c>
      <c r="AF15" s="67">
        <f t="shared" si="16"/>
        <v>0</v>
      </c>
      <c r="AG15" s="67">
        <f t="shared" si="16"/>
        <v>0</v>
      </c>
      <c r="AH15" s="67">
        <f t="shared" si="16"/>
        <v>0</v>
      </c>
      <c r="AI15" s="67">
        <f t="shared" si="16"/>
        <v>0</v>
      </c>
      <c r="AJ15" s="67">
        <f t="shared" si="16"/>
        <v>0</v>
      </c>
      <c r="AK15" s="67">
        <f t="shared" si="16"/>
        <v>0</v>
      </c>
      <c r="AL15" s="67">
        <f t="shared" si="16"/>
        <v>0</v>
      </c>
      <c r="AM15" s="67">
        <f t="shared" si="16"/>
        <v>0</v>
      </c>
      <c r="AN15" s="67">
        <f t="shared" si="16"/>
        <v>0</v>
      </c>
      <c r="AO15" s="67">
        <f t="shared" si="16"/>
        <v>0</v>
      </c>
      <c r="AP15" s="67">
        <f t="shared" si="16"/>
        <v>0</v>
      </c>
      <c r="AQ15" s="67">
        <f t="shared" si="16"/>
        <v>0</v>
      </c>
      <c r="AR15" s="67">
        <f t="shared" si="16"/>
        <v>0</v>
      </c>
      <c r="AS15" s="67">
        <f t="shared" si="16"/>
        <v>0</v>
      </c>
      <c r="AT15" s="67">
        <f t="shared" si="16"/>
        <v>0</v>
      </c>
      <c r="AU15" s="67">
        <f t="shared" si="16"/>
        <v>0</v>
      </c>
      <c r="AV15" s="67">
        <f t="shared" si="16"/>
        <v>0</v>
      </c>
      <c r="AW15" s="67">
        <f t="shared" si="16"/>
        <v>0</v>
      </c>
      <c r="AX15" s="67">
        <f t="shared" si="16"/>
        <v>0</v>
      </c>
      <c r="AY15" s="67">
        <f t="shared" si="5"/>
        <v>0</v>
      </c>
      <c r="AZ15" s="67"/>
      <c r="BA15" s="67"/>
      <c r="BB15" s="67">
        <f>SUM(V15:AZ15)</f>
        <v>0</v>
      </c>
      <c r="BC15" s="67">
        <f>+BB15/30</f>
        <v>0</v>
      </c>
      <c r="BD15" s="67">
        <f t="shared" si="10"/>
        <v>0</v>
      </c>
      <c r="BE15" s="67"/>
      <c r="BF15" s="23"/>
      <c r="BO15" s="69"/>
      <c r="BW15" s="61" t="s">
        <v>130</v>
      </c>
      <c r="FR15" s="217"/>
      <c r="HP15" s="23">
        <f t="shared" si="6"/>
        <v>0</v>
      </c>
      <c r="HQ15" s="23"/>
    </row>
    <row r="16" spans="1:225" s="61" customFormat="1" ht="15.75">
      <c r="A16" s="61" t="s">
        <v>128</v>
      </c>
      <c r="B16" s="62">
        <v>22</v>
      </c>
      <c r="D16" s="14">
        <v>15</v>
      </c>
      <c r="E16" s="61">
        <v>3</v>
      </c>
      <c r="F16" s="61" t="s">
        <v>132</v>
      </c>
      <c r="G16" s="61" t="s">
        <v>129</v>
      </c>
      <c r="H16" s="64">
        <v>36459</v>
      </c>
      <c r="I16" s="61" t="s">
        <v>111</v>
      </c>
      <c r="J16" s="61" t="s">
        <v>112</v>
      </c>
      <c r="K16" s="62"/>
      <c r="L16" s="61" t="s">
        <v>113</v>
      </c>
      <c r="M16" s="54"/>
      <c r="N16" s="61" t="str">
        <f t="shared" si="0"/>
        <v>22R</v>
      </c>
      <c r="O16" s="61" t="str">
        <f t="shared" si="1"/>
        <v>22RBase</v>
      </c>
      <c r="Q16" s="23">
        <f t="shared" si="2"/>
        <v>0</v>
      </c>
      <c r="R16" s="23">
        <f t="shared" si="3"/>
        <v>0</v>
      </c>
      <c r="S16" s="23"/>
      <c r="T16" s="67">
        <v>37147</v>
      </c>
      <c r="U16" s="67"/>
      <c r="V16" s="68">
        <v>0</v>
      </c>
      <c r="W16" s="67">
        <f t="shared" ref="W16:AX16" si="17">V16</f>
        <v>0</v>
      </c>
      <c r="X16" s="67">
        <f t="shared" si="17"/>
        <v>0</v>
      </c>
      <c r="Y16" s="67">
        <f t="shared" si="17"/>
        <v>0</v>
      </c>
      <c r="Z16" s="67">
        <f t="shared" si="17"/>
        <v>0</v>
      </c>
      <c r="AA16" s="67">
        <f t="shared" si="17"/>
        <v>0</v>
      </c>
      <c r="AB16" s="67">
        <f t="shared" si="17"/>
        <v>0</v>
      </c>
      <c r="AC16" s="67">
        <f t="shared" si="17"/>
        <v>0</v>
      </c>
      <c r="AD16" s="67">
        <f t="shared" si="17"/>
        <v>0</v>
      </c>
      <c r="AE16" s="67">
        <f t="shared" si="17"/>
        <v>0</v>
      </c>
      <c r="AF16" s="67">
        <f t="shared" si="17"/>
        <v>0</v>
      </c>
      <c r="AG16" s="67">
        <f t="shared" si="17"/>
        <v>0</v>
      </c>
      <c r="AH16" s="67">
        <f t="shared" si="17"/>
        <v>0</v>
      </c>
      <c r="AI16" s="67">
        <f t="shared" si="17"/>
        <v>0</v>
      </c>
      <c r="AJ16" s="67">
        <f t="shared" si="17"/>
        <v>0</v>
      </c>
      <c r="AK16" s="67">
        <f t="shared" si="17"/>
        <v>0</v>
      </c>
      <c r="AL16" s="67">
        <f t="shared" si="17"/>
        <v>0</v>
      </c>
      <c r="AM16" s="67">
        <f t="shared" si="17"/>
        <v>0</v>
      </c>
      <c r="AN16" s="67">
        <f t="shared" si="17"/>
        <v>0</v>
      </c>
      <c r="AO16" s="67">
        <f t="shared" si="17"/>
        <v>0</v>
      </c>
      <c r="AP16" s="67">
        <f t="shared" si="17"/>
        <v>0</v>
      </c>
      <c r="AQ16" s="67">
        <f t="shared" si="17"/>
        <v>0</v>
      </c>
      <c r="AR16" s="67">
        <f t="shared" si="17"/>
        <v>0</v>
      </c>
      <c r="AS16" s="67">
        <f t="shared" si="17"/>
        <v>0</v>
      </c>
      <c r="AT16" s="67">
        <f t="shared" si="17"/>
        <v>0</v>
      </c>
      <c r="AU16" s="67">
        <f t="shared" si="17"/>
        <v>0</v>
      </c>
      <c r="AV16" s="67">
        <f t="shared" si="17"/>
        <v>0</v>
      </c>
      <c r="AW16" s="67">
        <f t="shared" si="17"/>
        <v>0</v>
      </c>
      <c r="AX16" s="67">
        <f t="shared" si="17"/>
        <v>0</v>
      </c>
      <c r="AY16" s="67">
        <f t="shared" si="5"/>
        <v>0</v>
      </c>
      <c r="AZ16" s="67"/>
      <c r="BA16" s="67"/>
      <c r="BB16" s="67">
        <f t="shared" ref="BB16:BB21" si="18">SUM(V16:AZ16)</f>
        <v>0</v>
      </c>
      <c r="BC16" s="67">
        <f t="shared" ref="BC16:BC21" si="19">+BB16/30</f>
        <v>0</v>
      </c>
      <c r="BD16" s="67">
        <f t="shared" si="10"/>
        <v>0</v>
      </c>
      <c r="BE16" s="67"/>
      <c r="BF16" s="23"/>
      <c r="BO16" s="69"/>
      <c r="EN16" s="61">
        <v>165</v>
      </c>
      <c r="EO16" s="61" t="s">
        <v>373</v>
      </c>
      <c r="FR16" s="217"/>
      <c r="HP16" s="23">
        <f t="shared" si="6"/>
        <v>165</v>
      </c>
      <c r="HQ16" s="23"/>
    </row>
    <row r="17" spans="1:225" s="61" customFormat="1" ht="15.75">
      <c r="A17" s="61" t="s">
        <v>134</v>
      </c>
      <c r="B17" s="62">
        <v>17</v>
      </c>
      <c r="D17" s="14">
        <v>15</v>
      </c>
      <c r="E17" s="61">
        <v>3</v>
      </c>
      <c r="F17" s="61" t="s">
        <v>115</v>
      </c>
      <c r="G17" s="61" t="s">
        <v>397</v>
      </c>
      <c r="H17" s="64">
        <v>36336</v>
      </c>
      <c r="I17" s="61" t="s">
        <v>111</v>
      </c>
      <c r="J17" s="61" t="s">
        <v>112</v>
      </c>
      <c r="K17" s="62"/>
      <c r="L17" s="61" t="s">
        <v>113</v>
      </c>
      <c r="M17" s="66"/>
      <c r="N17" s="61" t="str">
        <f t="shared" si="0"/>
        <v>17R</v>
      </c>
      <c r="O17" s="61" t="str">
        <f t="shared" si="1"/>
        <v>17RBase</v>
      </c>
      <c r="Q17" s="23">
        <f t="shared" si="2"/>
        <v>0</v>
      </c>
      <c r="R17" s="23">
        <f t="shared" si="3"/>
        <v>0</v>
      </c>
      <c r="S17" s="23"/>
      <c r="T17" s="67">
        <v>37147</v>
      </c>
      <c r="U17" s="67"/>
      <c r="V17" s="68">
        <v>0</v>
      </c>
      <c r="W17" s="67">
        <f t="shared" ref="W17:AX17" si="20">V17</f>
        <v>0</v>
      </c>
      <c r="X17" s="67">
        <f t="shared" si="20"/>
        <v>0</v>
      </c>
      <c r="Y17" s="67">
        <f t="shared" si="20"/>
        <v>0</v>
      </c>
      <c r="Z17" s="67">
        <f t="shared" si="20"/>
        <v>0</v>
      </c>
      <c r="AA17" s="67">
        <f t="shared" si="20"/>
        <v>0</v>
      </c>
      <c r="AB17" s="67">
        <f t="shared" si="20"/>
        <v>0</v>
      </c>
      <c r="AC17" s="67">
        <f t="shared" si="20"/>
        <v>0</v>
      </c>
      <c r="AD17" s="67">
        <f t="shared" si="20"/>
        <v>0</v>
      </c>
      <c r="AE17" s="67">
        <f t="shared" si="20"/>
        <v>0</v>
      </c>
      <c r="AF17" s="67">
        <f t="shared" si="20"/>
        <v>0</v>
      </c>
      <c r="AG17" s="67">
        <f t="shared" si="20"/>
        <v>0</v>
      </c>
      <c r="AH17" s="67">
        <f t="shared" si="20"/>
        <v>0</v>
      </c>
      <c r="AI17" s="67">
        <f t="shared" si="20"/>
        <v>0</v>
      </c>
      <c r="AJ17" s="67">
        <f t="shared" si="20"/>
        <v>0</v>
      </c>
      <c r="AK17" s="67">
        <f t="shared" si="20"/>
        <v>0</v>
      </c>
      <c r="AL17" s="67">
        <f t="shared" si="20"/>
        <v>0</v>
      </c>
      <c r="AM17" s="67">
        <f t="shared" si="20"/>
        <v>0</v>
      </c>
      <c r="AN17" s="67">
        <f t="shared" si="20"/>
        <v>0</v>
      </c>
      <c r="AO17" s="67">
        <f t="shared" si="20"/>
        <v>0</v>
      </c>
      <c r="AP17" s="67">
        <f t="shared" si="20"/>
        <v>0</v>
      </c>
      <c r="AQ17" s="67">
        <f t="shared" si="20"/>
        <v>0</v>
      </c>
      <c r="AR17" s="67">
        <f t="shared" si="20"/>
        <v>0</v>
      </c>
      <c r="AS17" s="67">
        <f t="shared" si="20"/>
        <v>0</v>
      </c>
      <c r="AT17" s="67">
        <f t="shared" si="20"/>
        <v>0</v>
      </c>
      <c r="AU17" s="67">
        <f t="shared" si="20"/>
        <v>0</v>
      </c>
      <c r="AV17" s="67">
        <f t="shared" si="20"/>
        <v>0</v>
      </c>
      <c r="AW17" s="67">
        <f t="shared" si="20"/>
        <v>0</v>
      </c>
      <c r="AX17" s="67">
        <f t="shared" si="20"/>
        <v>0</v>
      </c>
      <c r="AY17" s="67">
        <f t="shared" si="5"/>
        <v>0</v>
      </c>
      <c r="AZ17" s="67"/>
      <c r="BA17" s="67"/>
      <c r="BB17" s="67">
        <f t="shared" si="18"/>
        <v>0</v>
      </c>
      <c r="BC17" s="67">
        <f t="shared" si="19"/>
        <v>0</v>
      </c>
      <c r="BD17" s="67">
        <f t="shared" si="10"/>
        <v>0</v>
      </c>
      <c r="BE17" s="67"/>
      <c r="BF17" s="23"/>
      <c r="BO17" s="69"/>
      <c r="BW17" s="61" t="s">
        <v>136</v>
      </c>
      <c r="FR17" s="217"/>
      <c r="HP17" s="23">
        <f t="shared" si="6"/>
        <v>0</v>
      </c>
      <c r="HQ17" s="23"/>
    </row>
    <row r="18" spans="1:225" s="61" customFormat="1" ht="15.75">
      <c r="A18" s="61" t="s">
        <v>138</v>
      </c>
      <c r="B18" s="62">
        <v>27</v>
      </c>
      <c r="D18" s="14">
        <v>16</v>
      </c>
      <c r="E18" s="61">
        <v>3</v>
      </c>
      <c r="F18" s="61" t="s">
        <v>139</v>
      </c>
      <c r="G18" s="61" t="s">
        <v>168</v>
      </c>
      <c r="H18" s="64">
        <v>36521</v>
      </c>
      <c r="I18" s="61" t="s">
        <v>111</v>
      </c>
      <c r="J18" s="61" t="s">
        <v>112</v>
      </c>
      <c r="K18" s="62"/>
      <c r="L18" s="61" t="s">
        <v>118</v>
      </c>
      <c r="M18" s="54"/>
      <c r="N18" s="61" t="str">
        <f t="shared" ref="N18:N29" si="21">CONCATENATE(B18,J18)</f>
        <v>27R</v>
      </c>
      <c r="O18" s="61" t="str">
        <f t="shared" ref="O18:O29" si="22">CONCATENATE(B18,J18,I18)</f>
        <v>27RBase</v>
      </c>
      <c r="Q18" s="23">
        <f t="shared" si="2"/>
        <v>0</v>
      </c>
      <c r="R18" s="23">
        <f t="shared" si="3"/>
        <v>0</v>
      </c>
      <c r="S18" s="23"/>
      <c r="T18" s="67">
        <v>66917</v>
      </c>
      <c r="U18" s="67"/>
      <c r="V18" s="68">
        <v>0</v>
      </c>
      <c r="W18" s="67">
        <f t="shared" ref="W18:AX18" si="23">V18</f>
        <v>0</v>
      </c>
      <c r="X18" s="67">
        <f t="shared" si="23"/>
        <v>0</v>
      </c>
      <c r="Y18" s="67">
        <f t="shared" si="23"/>
        <v>0</v>
      </c>
      <c r="Z18" s="67">
        <f t="shared" si="23"/>
        <v>0</v>
      </c>
      <c r="AA18" s="67">
        <f t="shared" si="23"/>
        <v>0</v>
      </c>
      <c r="AB18" s="67">
        <f t="shared" si="23"/>
        <v>0</v>
      </c>
      <c r="AC18" s="67">
        <f t="shared" si="23"/>
        <v>0</v>
      </c>
      <c r="AD18" s="67">
        <f t="shared" si="23"/>
        <v>0</v>
      </c>
      <c r="AE18" s="67">
        <f t="shared" si="23"/>
        <v>0</v>
      </c>
      <c r="AF18" s="67">
        <f t="shared" si="23"/>
        <v>0</v>
      </c>
      <c r="AG18" s="67">
        <f t="shared" si="23"/>
        <v>0</v>
      </c>
      <c r="AH18" s="67">
        <f t="shared" si="23"/>
        <v>0</v>
      </c>
      <c r="AI18" s="67">
        <f t="shared" si="23"/>
        <v>0</v>
      </c>
      <c r="AJ18" s="67">
        <f t="shared" si="23"/>
        <v>0</v>
      </c>
      <c r="AK18" s="67">
        <f t="shared" si="23"/>
        <v>0</v>
      </c>
      <c r="AL18" s="67">
        <f t="shared" si="23"/>
        <v>0</v>
      </c>
      <c r="AM18" s="67">
        <f t="shared" si="23"/>
        <v>0</v>
      </c>
      <c r="AN18" s="67">
        <f t="shared" si="23"/>
        <v>0</v>
      </c>
      <c r="AO18" s="67">
        <f t="shared" si="23"/>
        <v>0</v>
      </c>
      <c r="AP18" s="67">
        <f t="shared" si="23"/>
        <v>0</v>
      </c>
      <c r="AQ18" s="67">
        <f t="shared" si="23"/>
        <v>0</v>
      </c>
      <c r="AR18" s="67">
        <f t="shared" si="23"/>
        <v>0</v>
      </c>
      <c r="AS18" s="67">
        <f t="shared" si="23"/>
        <v>0</v>
      </c>
      <c r="AT18" s="67">
        <f t="shared" si="23"/>
        <v>0</v>
      </c>
      <c r="AU18" s="67">
        <f t="shared" si="23"/>
        <v>0</v>
      </c>
      <c r="AV18" s="67">
        <f t="shared" si="23"/>
        <v>0</v>
      </c>
      <c r="AW18" s="67">
        <f t="shared" si="23"/>
        <v>0</v>
      </c>
      <c r="AX18" s="67">
        <f t="shared" si="23"/>
        <v>0</v>
      </c>
      <c r="AY18" s="67">
        <f t="shared" si="5"/>
        <v>0</v>
      </c>
      <c r="AZ18" s="67"/>
      <c r="BA18" s="67"/>
      <c r="BB18" s="67">
        <f t="shared" si="18"/>
        <v>0</v>
      </c>
      <c r="BC18" s="67">
        <f t="shared" si="19"/>
        <v>0</v>
      </c>
      <c r="BD18" s="67">
        <f t="shared" si="10"/>
        <v>0</v>
      </c>
      <c r="BE18" s="67"/>
      <c r="BF18" s="23"/>
      <c r="BO18" s="69"/>
      <c r="BW18" s="61" t="s">
        <v>141</v>
      </c>
      <c r="EN18" s="61">
        <v>27</v>
      </c>
      <c r="EO18" s="61" t="s">
        <v>374</v>
      </c>
      <c r="FR18" s="217"/>
      <c r="HP18" s="23">
        <f t="shared" si="6"/>
        <v>27</v>
      </c>
      <c r="HQ18" s="23"/>
    </row>
    <row r="19" spans="1:225" s="61" customFormat="1" ht="15.75">
      <c r="A19" s="61" t="s">
        <v>138</v>
      </c>
      <c r="B19" s="62">
        <v>27</v>
      </c>
      <c r="D19" s="14">
        <v>17</v>
      </c>
      <c r="E19" s="61">
        <v>3</v>
      </c>
      <c r="F19" s="61" t="s">
        <v>139</v>
      </c>
      <c r="G19" s="61" t="s">
        <v>168</v>
      </c>
      <c r="H19" s="64">
        <v>36521</v>
      </c>
      <c r="I19" s="61" t="s">
        <v>111</v>
      </c>
      <c r="J19" s="61" t="s">
        <v>112</v>
      </c>
      <c r="K19" s="62"/>
      <c r="L19" s="61" t="s">
        <v>118</v>
      </c>
      <c r="M19" s="54"/>
      <c r="N19" s="61" t="str">
        <f t="shared" si="21"/>
        <v>27R</v>
      </c>
      <c r="O19" s="61" t="str">
        <f t="shared" si="22"/>
        <v>27RBase</v>
      </c>
      <c r="Q19" s="23">
        <f t="shared" si="2"/>
        <v>0</v>
      </c>
      <c r="R19" s="23">
        <f t="shared" si="3"/>
        <v>0</v>
      </c>
      <c r="S19" s="23"/>
      <c r="T19" s="67">
        <v>66917</v>
      </c>
      <c r="U19" s="67"/>
      <c r="V19" s="68">
        <v>0</v>
      </c>
      <c r="W19" s="67">
        <f t="shared" ref="W19:AX19" si="24">V19</f>
        <v>0</v>
      </c>
      <c r="X19" s="67">
        <f t="shared" si="24"/>
        <v>0</v>
      </c>
      <c r="Y19" s="67">
        <f t="shared" si="24"/>
        <v>0</v>
      </c>
      <c r="Z19" s="67">
        <f t="shared" si="24"/>
        <v>0</v>
      </c>
      <c r="AA19" s="67">
        <f t="shared" si="24"/>
        <v>0</v>
      </c>
      <c r="AB19" s="67">
        <f t="shared" si="24"/>
        <v>0</v>
      </c>
      <c r="AC19" s="67">
        <f t="shared" si="24"/>
        <v>0</v>
      </c>
      <c r="AD19" s="67">
        <f t="shared" si="24"/>
        <v>0</v>
      </c>
      <c r="AE19" s="67">
        <f t="shared" si="24"/>
        <v>0</v>
      </c>
      <c r="AF19" s="67">
        <f t="shared" si="24"/>
        <v>0</v>
      </c>
      <c r="AG19" s="67">
        <f t="shared" si="24"/>
        <v>0</v>
      </c>
      <c r="AH19" s="67">
        <f t="shared" si="24"/>
        <v>0</v>
      </c>
      <c r="AI19" s="67">
        <f t="shared" si="24"/>
        <v>0</v>
      </c>
      <c r="AJ19" s="67">
        <f t="shared" si="24"/>
        <v>0</v>
      </c>
      <c r="AK19" s="67">
        <f t="shared" si="24"/>
        <v>0</v>
      </c>
      <c r="AL19" s="67">
        <f t="shared" si="24"/>
        <v>0</v>
      </c>
      <c r="AM19" s="67">
        <f t="shared" si="24"/>
        <v>0</v>
      </c>
      <c r="AN19" s="67">
        <f t="shared" si="24"/>
        <v>0</v>
      </c>
      <c r="AO19" s="67">
        <f t="shared" si="24"/>
        <v>0</v>
      </c>
      <c r="AP19" s="67">
        <f t="shared" si="24"/>
        <v>0</v>
      </c>
      <c r="AQ19" s="67">
        <f t="shared" si="24"/>
        <v>0</v>
      </c>
      <c r="AR19" s="67">
        <f t="shared" si="24"/>
        <v>0</v>
      </c>
      <c r="AS19" s="67">
        <f t="shared" si="24"/>
        <v>0</v>
      </c>
      <c r="AT19" s="67">
        <f t="shared" si="24"/>
        <v>0</v>
      </c>
      <c r="AU19" s="67">
        <f t="shared" si="24"/>
        <v>0</v>
      </c>
      <c r="AV19" s="67">
        <f t="shared" si="24"/>
        <v>0</v>
      </c>
      <c r="AW19" s="67">
        <f t="shared" si="24"/>
        <v>0</v>
      </c>
      <c r="AX19" s="67">
        <f t="shared" si="24"/>
        <v>0</v>
      </c>
      <c r="AY19" s="67">
        <f t="shared" si="5"/>
        <v>0</v>
      </c>
      <c r="AZ19" s="67"/>
      <c r="BA19" s="67"/>
      <c r="BB19" s="67">
        <f t="shared" si="18"/>
        <v>0</v>
      </c>
      <c r="BC19" s="67">
        <f t="shared" si="19"/>
        <v>0</v>
      </c>
      <c r="BD19" s="67">
        <f t="shared" si="10"/>
        <v>0</v>
      </c>
      <c r="BE19" s="67"/>
      <c r="BF19" s="23"/>
      <c r="BO19" s="69"/>
      <c r="EN19" s="61">
        <v>55</v>
      </c>
      <c r="EO19" s="61" t="s">
        <v>375</v>
      </c>
      <c r="FR19" s="217"/>
      <c r="HP19" s="23">
        <f t="shared" si="6"/>
        <v>55</v>
      </c>
      <c r="HQ19" s="23"/>
    </row>
    <row r="20" spans="1:225" s="61" customFormat="1" ht="15.75">
      <c r="A20" s="61" t="s">
        <v>138</v>
      </c>
      <c r="B20" s="62">
        <v>27</v>
      </c>
      <c r="D20" s="14">
        <v>19</v>
      </c>
      <c r="E20" s="61">
        <v>3</v>
      </c>
      <c r="F20" s="61" t="s">
        <v>139</v>
      </c>
      <c r="G20" s="61" t="s">
        <v>168</v>
      </c>
      <c r="H20" s="64">
        <v>36521</v>
      </c>
      <c r="I20" s="61" t="s">
        <v>111</v>
      </c>
      <c r="J20" s="61" t="s">
        <v>112</v>
      </c>
      <c r="K20" s="62"/>
      <c r="L20" s="61" t="s">
        <v>118</v>
      </c>
      <c r="N20" s="61" t="str">
        <f t="shared" si="21"/>
        <v>27R</v>
      </c>
      <c r="O20" s="61" t="str">
        <f t="shared" si="22"/>
        <v>27RBase</v>
      </c>
      <c r="Q20" s="23">
        <f t="shared" si="2"/>
        <v>0</v>
      </c>
      <c r="R20" s="23">
        <f t="shared" si="3"/>
        <v>0</v>
      </c>
      <c r="S20" s="23"/>
      <c r="T20" s="67">
        <v>66917</v>
      </c>
      <c r="U20" s="67"/>
      <c r="V20" s="68">
        <v>0</v>
      </c>
      <c r="W20" s="67">
        <f t="shared" ref="W20:AX20" si="25">V20</f>
        <v>0</v>
      </c>
      <c r="X20" s="67">
        <f t="shared" si="25"/>
        <v>0</v>
      </c>
      <c r="Y20" s="67">
        <f t="shared" si="25"/>
        <v>0</v>
      </c>
      <c r="Z20" s="67">
        <f t="shared" si="25"/>
        <v>0</v>
      </c>
      <c r="AA20" s="67">
        <f t="shared" si="25"/>
        <v>0</v>
      </c>
      <c r="AB20" s="67">
        <f t="shared" si="25"/>
        <v>0</v>
      </c>
      <c r="AC20" s="67">
        <f t="shared" si="25"/>
        <v>0</v>
      </c>
      <c r="AD20" s="67">
        <f t="shared" si="25"/>
        <v>0</v>
      </c>
      <c r="AE20" s="67">
        <f t="shared" si="25"/>
        <v>0</v>
      </c>
      <c r="AF20" s="67">
        <f t="shared" si="25"/>
        <v>0</v>
      </c>
      <c r="AG20" s="67">
        <f t="shared" si="25"/>
        <v>0</v>
      </c>
      <c r="AH20" s="67">
        <f t="shared" si="25"/>
        <v>0</v>
      </c>
      <c r="AI20" s="67">
        <f t="shared" si="25"/>
        <v>0</v>
      </c>
      <c r="AJ20" s="67">
        <f t="shared" si="25"/>
        <v>0</v>
      </c>
      <c r="AK20" s="67">
        <f t="shared" si="25"/>
        <v>0</v>
      </c>
      <c r="AL20" s="67">
        <f t="shared" si="25"/>
        <v>0</v>
      </c>
      <c r="AM20" s="67">
        <f t="shared" si="25"/>
        <v>0</v>
      </c>
      <c r="AN20" s="67">
        <f t="shared" si="25"/>
        <v>0</v>
      </c>
      <c r="AO20" s="67">
        <f t="shared" si="25"/>
        <v>0</v>
      </c>
      <c r="AP20" s="67">
        <f t="shared" si="25"/>
        <v>0</v>
      </c>
      <c r="AQ20" s="67">
        <f t="shared" si="25"/>
        <v>0</v>
      </c>
      <c r="AR20" s="67">
        <f t="shared" si="25"/>
        <v>0</v>
      </c>
      <c r="AS20" s="67">
        <f t="shared" si="25"/>
        <v>0</v>
      </c>
      <c r="AT20" s="67">
        <f t="shared" si="25"/>
        <v>0</v>
      </c>
      <c r="AU20" s="67">
        <f t="shared" si="25"/>
        <v>0</v>
      </c>
      <c r="AV20" s="67">
        <f t="shared" si="25"/>
        <v>0</v>
      </c>
      <c r="AW20" s="67">
        <f t="shared" si="25"/>
        <v>0</v>
      </c>
      <c r="AX20" s="67">
        <f t="shared" si="25"/>
        <v>0</v>
      </c>
      <c r="AY20" s="67">
        <f t="shared" si="5"/>
        <v>0</v>
      </c>
      <c r="AZ20" s="67"/>
      <c r="BA20" s="67"/>
      <c r="BB20" s="67">
        <f t="shared" si="18"/>
        <v>0</v>
      </c>
      <c r="BC20" s="67">
        <f t="shared" si="19"/>
        <v>0</v>
      </c>
      <c r="BD20" s="67">
        <f t="shared" si="10"/>
        <v>0</v>
      </c>
      <c r="BE20" s="67"/>
      <c r="BF20" s="23"/>
      <c r="BO20" s="69"/>
      <c r="EN20" s="61">
        <v>176</v>
      </c>
      <c r="EO20" s="61" t="s">
        <v>376</v>
      </c>
      <c r="FR20" s="217"/>
      <c r="HP20" s="23">
        <f t="shared" si="6"/>
        <v>176</v>
      </c>
      <c r="HQ20" s="23"/>
    </row>
    <row r="21" spans="1:225" s="61" customFormat="1" ht="16.5">
      <c r="A21" s="61" t="s">
        <v>138</v>
      </c>
      <c r="B21" s="62">
        <v>27</v>
      </c>
      <c r="D21" s="14">
        <v>19</v>
      </c>
      <c r="E21" s="61">
        <v>3</v>
      </c>
      <c r="F21" s="171" t="s">
        <v>143</v>
      </c>
      <c r="G21" s="61" t="s">
        <v>168</v>
      </c>
      <c r="H21" s="64">
        <v>36521</v>
      </c>
      <c r="I21" s="61" t="s">
        <v>111</v>
      </c>
      <c r="J21" s="61" t="s">
        <v>112</v>
      </c>
      <c r="K21" s="62"/>
      <c r="L21" s="61" t="s">
        <v>118</v>
      </c>
      <c r="N21" s="61" t="str">
        <f t="shared" si="21"/>
        <v>27R</v>
      </c>
      <c r="O21" s="61" t="str">
        <f t="shared" si="22"/>
        <v>27RBase</v>
      </c>
      <c r="Q21" s="23">
        <f t="shared" si="2"/>
        <v>0</v>
      </c>
      <c r="R21" s="23">
        <f t="shared" si="3"/>
        <v>0</v>
      </c>
      <c r="S21" s="23"/>
      <c r="T21" s="70">
        <v>37147</v>
      </c>
      <c r="U21" s="67"/>
      <c r="V21" s="68">
        <v>0</v>
      </c>
      <c r="W21" s="67">
        <f t="shared" ref="W21:AX21" si="26">V21</f>
        <v>0</v>
      </c>
      <c r="X21" s="67">
        <f t="shared" si="26"/>
        <v>0</v>
      </c>
      <c r="Y21" s="67">
        <f t="shared" si="26"/>
        <v>0</v>
      </c>
      <c r="Z21" s="67">
        <f t="shared" si="26"/>
        <v>0</v>
      </c>
      <c r="AA21" s="67">
        <f t="shared" si="26"/>
        <v>0</v>
      </c>
      <c r="AB21" s="67">
        <f t="shared" si="26"/>
        <v>0</v>
      </c>
      <c r="AC21" s="67">
        <f t="shared" si="26"/>
        <v>0</v>
      </c>
      <c r="AD21" s="67">
        <f t="shared" si="26"/>
        <v>0</v>
      </c>
      <c r="AE21" s="67">
        <f t="shared" si="26"/>
        <v>0</v>
      </c>
      <c r="AF21" s="67">
        <f t="shared" si="26"/>
        <v>0</v>
      </c>
      <c r="AG21" s="67">
        <f t="shared" si="26"/>
        <v>0</v>
      </c>
      <c r="AH21" s="67">
        <f t="shared" si="26"/>
        <v>0</v>
      </c>
      <c r="AI21" s="67">
        <f t="shared" si="26"/>
        <v>0</v>
      </c>
      <c r="AJ21" s="67">
        <f t="shared" si="26"/>
        <v>0</v>
      </c>
      <c r="AK21" s="67">
        <f t="shared" si="26"/>
        <v>0</v>
      </c>
      <c r="AL21" s="67">
        <f t="shared" si="26"/>
        <v>0</v>
      </c>
      <c r="AM21" s="67">
        <f t="shared" si="26"/>
        <v>0</v>
      </c>
      <c r="AN21" s="67">
        <f t="shared" si="26"/>
        <v>0</v>
      </c>
      <c r="AO21" s="67">
        <f t="shared" si="26"/>
        <v>0</v>
      </c>
      <c r="AP21" s="67">
        <f t="shared" si="26"/>
        <v>0</v>
      </c>
      <c r="AQ21" s="67">
        <f t="shared" si="26"/>
        <v>0</v>
      </c>
      <c r="AR21" s="67">
        <f t="shared" si="26"/>
        <v>0</v>
      </c>
      <c r="AS21" s="67">
        <f t="shared" si="26"/>
        <v>0</v>
      </c>
      <c r="AT21" s="67">
        <f t="shared" si="26"/>
        <v>0</v>
      </c>
      <c r="AU21" s="67">
        <f t="shared" si="26"/>
        <v>0</v>
      </c>
      <c r="AV21" s="67">
        <f t="shared" si="26"/>
        <v>0</v>
      </c>
      <c r="AW21" s="67">
        <f t="shared" si="26"/>
        <v>0</v>
      </c>
      <c r="AX21" s="67">
        <f t="shared" si="26"/>
        <v>0</v>
      </c>
      <c r="AY21" s="67">
        <f t="shared" si="5"/>
        <v>0</v>
      </c>
      <c r="AZ21" s="67"/>
      <c r="BA21" s="67"/>
      <c r="BB21" s="67">
        <f t="shared" si="18"/>
        <v>0</v>
      </c>
      <c r="BC21" s="67">
        <f t="shared" si="19"/>
        <v>0</v>
      </c>
      <c r="BD21" s="67">
        <f t="shared" si="10"/>
        <v>0</v>
      </c>
      <c r="BE21" s="67"/>
      <c r="BF21" s="23"/>
      <c r="BO21" s="69"/>
      <c r="EM21" s="71"/>
      <c r="FR21" s="217"/>
      <c r="HP21" s="23">
        <f t="shared" si="6"/>
        <v>0</v>
      </c>
      <c r="HQ21" s="23"/>
    </row>
    <row r="22" spans="1:225" s="179" customFormat="1" ht="16.5">
      <c r="A22" s="179" t="s">
        <v>138</v>
      </c>
      <c r="B22" s="180">
        <v>27</v>
      </c>
      <c r="D22" s="179">
        <v>16</v>
      </c>
      <c r="E22" s="179">
        <v>3</v>
      </c>
      <c r="F22" s="179" t="s">
        <v>144</v>
      </c>
      <c r="G22" s="181" t="s">
        <v>168</v>
      </c>
      <c r="H22" s="182">
        <v>36521</v>
      </c>
      <c r="I22" s="179" t="s">
        <v>111</v>
      </c>
      <c r="J22" s="179" t="s">
        <v>112</v>
      </c>
      <c r="K22" s="180"/>
      <c r="L22" s="179" t="s">
        <v>118</v>
      </c>
      <c r="M22" s="181"/>
      <c r="N22" s="179" t="str">
        <f t="shared" si="21"/>
        <v>27R</v>
      </c>
      <c r="O22" s="179" t="str">
        <f t="shared" si="22"/>
        <v>27RBase</v>
      </c>
      <c r="Q22" s="183">
        <f t="shared" si="2"/>
        <v>0</v>
      </c>
      <c r="R22" s="184">
        <f t="shared" si="3"/>
        <v>0</v>
      </c>
      <c r="S22" s="184"/>
      <c r="T22" s="185">
        <v>66917</v>
      </c>
      <c r="U22" s="185"/>
      <c r="V22" s="186">
        <v>0</v>
      </c>
      <c r="W22" s="185">
        <v>0</v>
      </c>
      <c r="X22" s="185">
        <f>W22</f>
        <v>0</v>
      </c>
      <c r="Y22" s="185">
        <f t="shared" ref="Y22:AY22" si="27">X22</f>
        <v>0</v>
      </c>
      <c r="Z22" s="185">
        <f t="shared" si="27"/>
        <v>0</v>
      </c>
      <c r="AA22" s="185">
        <f t="shared" si="27"/>
        <v>0</v>
      </c>
      <c r="AB22" s="185">
        <f t="shared" si="27"/>
        <v>0</v>
      </c>
      <c r="AC22" s="185">
        <f t="shared" si="27"/>
        <v>0</v>
      </c>
      <c r="AD22" s="185">
        <f t="shared" si="27"/>
        <v>0</v>
      </c>
      <c r="AE22" s="185">
        <f t="shared" si="27"/>
        <v>0</v>
      </c>
      <c r="AF22" s="185">
        <f t="shared" si="27"/>
        <v>0</v>
      </c>
      <c r="AG22" s="185">
        <f t="shared" si="27"/>
        <v>0</v>
      </c>
      <c r="AH22" s="185">
        <f t="shared" si="27"/>
        <v>0</v>
      </c>
      <c r="AI22" s="185">
        <f t="shared" si="27"/>
        <v>0</v>
      </c>
      <c r="AJ22" s="185">
        <f t="shared" si="27"/>
        <v>0</v>
      </c>
      <c r="AK22" s="185">
        <f t="shared" si="27"/>
        <v>0</v>
      </c>
      <c r="AL22" s="185">
        <f t="shared" si="27"/>
        <v>0</v>
      </c>
      <c r="AM22" s="185">
        <f t="shared" si="27"/>
        <v>0</v>
      </c>
      <c r="AN22" s="185">
        <f t="shared" si="27"/>
        <v>0</v>
      </c>
      <c r="AO22" s="185">
        <f t="shared" si="27"/>
        <v>0</v>
      </c>
      <c r="AP22" s="185">
        <f t="shared" si="27"/>
        <v>0</v>
      </c>
      <c r="AQ22" s="185">
        <f t="shared" si="27"/>
        <v>0</v>
      </c>
      <c r="AR22" s="185">
        <f t="shared" si="27"/>
        <v>0</v>
      </c>
      <c r="AS22" s="185">
        <f t="shared" si="27"/>
        <v>0</v>
      </c>
      <c r="AT22" s="185">
        <f t="shared" si="27"/>
        <v>0</v>
      </c>
      <c r="AU22" s="185">
        <f t="shared" si="27"/>
        <v>0</v>
      </c>
      <c r="AV22" s="185">
        <f t="shared" si="27"/>
        <v>0</v>
      </c>
      <c r="AW22" s="185">
        <f t="shared" si="27"/>
        <v>0</v>
      </c>
      <c r="AX22" s="185">
        <f t="shared" si="27"/>
        <v>0</v>
      </c>
      <c r="AY22" s="185">
        <f t="shared" si="27"/>
        <v>0</v>
      </c>
      <c r="AZ22" s="185"/>
      <c r="BA22" s="185"/>
      <c r="BB22" s="187">
        <f>SUM(V22:AZ22)</f>
        <v>0</v>
      </c>
      <c r="BC22" s="191">
        <f>+BB22/30</f>
        <v>0</v>
      </c>
      <c r="BD22" s="188">
        <f t="shared" si="10"/>
        <v>0</v>
      </c>
      <c r="BE22" s="185"/>
      <c r="BF22" s="184"/>
      <c r="BO22" s="189"/>
      <c r="BW22" s="179" t="s">
        <v>145</v>
      </c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218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P22" s="184">
        <f t="shared" si="6"/>
        <v>0</v>
      </c>
      <c r="HQ22" s="184"/>
    </row>
    <row r="23" spans="1:225" s="179" customFormat="1" ht="16.5">
      <c r="A23" s="179" t="s">
        <v>138</v>
      </c>
      <c r="B23" s="180">
        <v>27</v>
      </c>
      <c r="D23" s="179">
        <v>16</v>
      </c>
      <c r="E23" s="179">
        <v>3</v>
      </c>
      <c r="F23" s="179" t="s">
        <v>144</v>
      </c>
      <c r="G23" s="181" t="s">
        <v>168</v>
      </c>
      <c r="H23" s="182">
        <v>36521</v>
      </c>
      <c r="I23" s="179" t="s">
        <v>111</v>
      </c>
      <c r="J23" s="179" t="s">
        <v>112</v>
      </c>
      <c r="K23" s="180"/>
      <c r="L23" s="179" t="s">
        <v>118</v>
      </c>
      <c r="M23" s="181"/>
      <c r="N23" s="179" t="str">
        <f t="shared" si="21"/>
        <v>27R</v>
      </c>
      <c r="O23" s="179" t="str">
        <f t="shared" si="22"/>
        <v>27RBase</v>
      </c>
      <c r="Q23" s="183">
        <f t="shared" si="2"/>
        <v>0</v>
      </c>
      <c r="R23" s="184">
        <f t="shared" si="3"/>
        <v>0</v>
      </c>
      <c r="S23" s="184"/>
      <c r="T23" s="185">
        <v>66917</v>
      </c>
      <c r="U23" s="185"/>
      <c r="V23" s="186">
        <v>0</v>
      </c>
      <c r="W23" s="185">
        <f>V23</f>
        <v>0</v>
      </c>
      <c r="X23" s="185">
        <f>W23</f>
        <v>0</v>
      </c>
      <c r="Y23" s="185">
        <f t="shared" ref="Y23:AY23" si="28">X23</f>
        <v>0</v>
      </c>
      <c r="Z23" s="185">
        <f t="shared" si="28"/>
        <v>0</v>
      </c>
      <c r="AA23" s="185">
        <f t="shared" si="28"/>
        <v>0</v>
      </c>
      <c r="AB23" s="185">
        <f t="shared" si="28"/>
        <v>0</v>
      </c>
      <c r="AC23" s="185">
        <f t="shared" si="28"/>
        <v>0</v>
      </c>
      <c r="AD23" s="185">
        <f t="shared" si="28"/>
        <v>0</v>
      </c>
      <c r="AE23" s="185">
        <f t="shared" si="28"/>
        <v>0</v>
      </c>
      <c r="AF23" s="185">
        <f t="shared" si="28"/>
        <v>0</v>
      </c>
      <c r="AG23" s="185">
        <f t="shared" si="28"/>
        <v>0</v>
      </c>
      <c r="AH23" s="185">
        <f t="shared" si="28"/>
        <v>0</v>
      </c>
      <c r="AI23" s="185">
        <f t="shared" si="28"/>
        <v>0</v>
      </c>
      <c r="AJ23" s="185">
        <f t="shared" si="28"/>
        <v>0</v>
      </c>
      <c r="AK23" s="185">
        <f t="shared" si="28"/>
        <v>0</v>
      </c>
      <c r="AL23" s="185">
        <f t="shared" si="28"/>
        <v>0</v>
      </c>
      <c r="AM23" s="185">
        <f t="shared" si="28"/>
        <v>0</v>
      </c>
      <c r="AN23" s="185">
        <f t="shared" si="28"/>
        <v>0</v>
      </c>
      <c r="AO23" s="185">
        <f t="shared" si="28"/>
        <v>0</v>
      </c>
      <c r="AP23" s="185">
        <f t="shared" si="28"/>
        <v>0</v>
      </c>
      <c r="AQ23" s="185">
        <f t="shared" si="28"/>
        <v>0</v>
      </c>
      <c r="AR23" s="185">
        <f t="shared" si="28"/>
        <v>0</v>
      </c>
      <c r="AS23" s="185">
        <f t="shared" si="28"/>
        <v>0</v>
      </c>
      <c r="AT23" s="185">
        <f t="shared" si="28"/>
        <v>0</v>
      </c>
      <c r="AU23" s="185">
        <f t="shared" si="28"/>
        <v>0</v>
      </c>
      <c r="AV23" s="185">
        <f t="shared" si="28"/>
        <v>0</v>
      </c>
      <c r="AW23" s="185">
        <f t="shared" si="28"/>
        <v>0</v>
      </c>
      <c r="AX23" s="185">
        <f t="shared" si="28"/>
        <v>0</v>
      </c>
      <c r="AY23" s="185">
        <f t="shared" si="28"/>
        <v>0</v>
      </c>
      <c r="AZ23" s="185"/>
      <c r="BA23" s="185"/>
      <c r="BB23" s="187">
        <f>SUM(V23:AZ23)</f>
        <v>0</v>
      </c>
      <c r="BC23" s="191">
        <f>+BB23/30</f>
        <v>0</v>
      </c>
      <c r="BD23" s="188">
        <f t="shared" si="10"/>
        <v>0</v>
      </c>
      <c r="BE23" s="185"/>
      <c r="BF23" s="184"/>
      <c r="BO23" s="189"/>
      <c r="BW23" s="179" t="s">
        <v>145</v>
      </c>
      <c r="EM23" s="18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218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1"/>
      <c r="GM23" s="71"/>
      <c r="GN23" s="71"/>
      <c r="GO23" s="71"/>
      <c r="GP23" s="71"/>
      <c r="GQ23" s="71"/>
      <c r="GR23" s="71"/>
      <c r="GS23" s="71"/>
      <c r="GT23" s="71"/>
      <c r="GU23" s="71"/>
      <c r="GV23" s="71"/>
      <c r="GW23" s="71"/>
      <c r="GX23" s="71"/>
      <c r="GY23" s="71"/>
      <c r="GZ23" s="71"/>
      <c r="HA23" s="71"/>
      <c r="HB23" s="71"/>
      <c r="HC23" s="71"/>
      <c r="HD23" s="71"/>
      <c r="HP23" s="184">
        <f t="shared" si="6"/>
        <v>0</v>
      </c>
      <c r="HQ23" s="184"/>
    </row>
    <row r="24" spans="1:225" s="71" customFormat="1" ht="16.5">
      <c r="A24" s="71" t="s">
        <v>138</v>
      </c>
      <c r="B24" s="72">
        <v>27</v>
      </c>
      <c r="D24" s="71">
        <v>19</v>
      </c>
      <c r="E24" s="71">
        <v>3</v>
      </c>
      <c r="F24" s="71" t="s">
        <v>144</v>
      </c>
      <c r="G24" s="61" t="s">
        <v>168</v>
      </c>
      <c r="H24" s="73">
        <v>36521</v>
      </c>
      <c r="I24" s="71" t="s">
        <v>111</v>
      </c>
      <c r="J24" s="71" t="s">
        <v>112</v>
      </c>
      <c r="K24" s="72"/>
      <c r="L24" s="71" t="s">
        <v>118</v>
      </c>
      <c r="M24" s="54"/>
      <c r="N24" s="71" t="str">
        <f>CONCATENATE(B24,J24)</f>
        <v>27R</v>
      </c>
      <c r="O24" s="71" t="str">
        <f>CONCATENATE(B24,J24,I24)</f>
        <v>27RBase</v>
      </c>
      <c r="Q24" s="15">
        <f>+BC24</f>
        <v>0</v>
      </c>
      <c r="R24" s="74">
        <f t="shared" si="3"/>
        <v>0</v>
      </c>
      <c r="S24" s="74"/>
      <c r="T24" s="75">
        <v>66917</v>
      </c>
      <c r="U24" s="75"/>
      <c r="V24" s="76">
        <v>0</v>
      </c>
      <c r="W24" s="75">
        <f>V24</f>
        <v>0</v>
      </c>
      <c r="X24" s="75">
        <f>W24</f>
        <v>0</v>
      </c>
      <c r="Y24" s="75">
        <f t="shared" ref="Y24:AY24" si="29">X24</f>
        <v>0</v>
      </c>
      <c r="Z24" s="75">
        <f t="shared" si="29"/>
        <v>0</v>
      </c>
      <c r="AA24" s="75">
        <f t="shared" si="29"/>
        <v>0</v>
      </c>
      <c r="AB24" s="75">
        <f t="shared" si="29"/>
        <v>0</v>
      </c>
      <c r="AC24" s="75">
        <f t="shared" si="29"/>
        <v>0</v>
      </c>
      <c r="AD24" s="75">
        <f t="shared" si="29"/>
        <v>0</v>
      </c>
      <c r="AE24" s="75">
        <f t="shared" si="29"/>
        <v>0</v>
      </c>
      <c r="AF24" s="75">
        <f t="shared" si="29"/>
        <v>0</v>
      </c>
      <c r="AG24" s="75">
        <f t="shared" si="29"/>
        <v>0</v>
      </c>
      <c r="AH24" s="75">
        <f t="shared" si="29"/>
        <v>0</v>
      </c>
      <c r="AI24" s="75">
        <f t="shared" si="29"/>
        <v>0</v>
      </c>
      <c r="AJ24" s="75">
        <f t="shared" si="29"/>
        <v>0</v>
      </c>
      <c r="AK24" s="75">
        <f t="shared" si="29"/>
        <v>0</v>
      </c>
      <c r="AL24" s="75">
        <f t="shared" si="29"/>
        <v>0</v>
      </c>
      <c r="AM24" s="75">
        <f t="shared" si="29"/>
        <v>0</v>
      </c>
      <c r="AN24" s="75">
        <f t="shared" si="29"/>
        <v>0</v>
      </c>
      <c r="AO24" s="75">
        <f t="shared" si="29"/>
        <v>0</v>
      </c>
      <c r="AP24" s="75">
        <f t="shared" si="29"/>
        <v>0</v>
      </c>
      <c r="AQ24" s="75">
        <f t="shared" si="29"/>
        <v>0</v>
      </c>
      <c r="AR24" s="75">
        <f t="shared" si="29"/>
        <v>0</v>
      </c>
      <c r="AS24" s="75">
        <f t="shared" si="29"/>
        <v>0</v>
      </c>
      <c r="AT24" s="75">
        <f t="shared" si="29"/>
        <v>0</v>
      </c>
      <c r="AU24" s="75">
        <f t="shared" si="29"/>
        <v>0</v>
      </c>
      <c r="AV24" s="75">
        <f t="shared" si="29"/>
        <v>0</v>
      </c>
      <c r="AW24" s="75">
        <f t="shared" si="29"/>
        <v>0</v>
      </c>
      <c r="AX24" s="75">
        <f t="shared" si="29"/>
        <v>0</v>
      </c>
      <c r="AY24" s="75">
        <f t="shared" si="29"/>
        <v>0</v>
      </c>
      <c r="AZ24" s="75"/>
      <c r="BA24" s="75"/>
      <c r="BB24" s="16">
        <f>SUM(V24:AZ24)</f>
        <v>0</v>
      </c>
      <c r="BC24" s="190">
        <f>+BB24/30</f>
        <v>0</v>
      </c>
      <c r="BD24" s="67">
        <f>MAX(V24:AZ24)</f>
        <v>0</v>
      </c>
      <c r="BE24" s="75"/>
      <c r="BF24" s="74"/>
      <c r="BO24" s="77"/>
      <c r="BW24" s="71" t="s">
        <v>145</v>
      </c>
      <c r="EM24" s="78"/>
      <c r="FH24" s="61"/>
      <c r="FI24" s="61"/>
      <c r="FJ24" s="61"/>
      <c r="FK24" s="61"/>
      <c r="FL24" s="61"/>
      <c r="FM24" s="61"/>
      <c r="FN24" s="61"/>
      <c r="FO24" s="61"/>
      <c r="FP24" s="61"/>
      <c r="FQ24" s="61"/>
      <c r="FR24" s="217"/>
      <c r="FS24" s="61"/>
      <c r="FT24" s="61"/>
      <c r="FU24" s="61"/>
      <c r="FV24" s="61"/>
      <c r="FW24" s="61"/>
      <c r="FX24" s="61"/>
      <c r="FY24" s="61"/>
      <c r="FZ24" s="61"/>
      <c r="GA24" s="61"/>
      <c r="GB24" s="61"/>
      <c r="GC24" s="61"/>
      <c r="GD24" s="61"/>
      <c r="GE24" s="61"/>
      <c r="GF24" s="61"/>
      <c r="GG24" s="61"/>
      <c r="GH24" s="61"/>
      <c r="GI24" s="61"/>
      <c r="GJ24" s="61"/>
      <c r="GK24" s="61"/>
      <c r="GL24" s="61"/>
      <c r="GM24" s="61"/>
      <c r="GN24" s="61"/>
      <c r="GO24" s="61"/>
      <c r="GP24" s="61"/>
      <c r="GQ24" s="61"/>
      <c r="GR24" s="61"/>
      <c r="GS24" s="61"/>
      <c r="GT24" s="61"/>
      <c r="GU24" s="61"/>
      <c r="GV24" s="61"/>
      <c r="GW24" s="61"/>
      <c r="GX24" s="61"/>
      <c r="GY24" s="61"/>
      <c r="GZ24" s="61"/>
      <c r="HA24" s="61"/>
      <c r="HB24" s="61"/>
      <c r="HC24" s="61"/>
      <c r="HD24" s="61"/>
      <c r="HP24" s="74">
        <f t="shared" si="6"/>
        <v>0</v>
      </c>
      <c r="HQ24" s="74"/>
    </row>
    <row r="25" spans="1:225" s="61" customFormat="1" ht="15.75">
      <c r="A25" s="61" t="s">
        <v>138</v>
      </c>
      <c r="B25" s="62">
        <v>27</v>
      </c>
      <c r="D25" s="14">
        <v>19</v>
      </c>
      <c r="E25" s="61">
        <v>3</v>
      </c>
      <c r="F25" s="172" t="s">
        <v>284</v>
      </c>
      <c r="G25" s="61" t="s">
        <v>285</v>
      </c>
      <c r="H25" s="64">
        <v>36521</v>
      </c>
      <c r="I25" s="61" t="s">
        <v>111</v>
      </c>
      <c r="J25" s="61" t="s">
        <v>112</v>
      </c>
      <c r="K25" s="62"/>
      <c r="L25" s="61" t="s">
        <v>118</v>
      </c>
      <c r="N25" s="61" t="str">
        <f>CONCATENATE(B25,J25)</f>
        <v>27R</v>
      </c>
      <c r="O25" s="61" t="str">
        <f>CONCATENATE(B25,J25,I25)</f>
        <v>27RBase</v>
      </c>
      <c r="Q25" s="23">
        <f t="shared" si="2"/>
        <v>0</v>
      </c>
      <c r="R25" s="23">
        <f t="shared" si="3"/>
        <v>0</v>
      </c>
      <c r="S25" s="23"/>
      <c r="T25" s="67">
        <v>66917</v>
      </c>
      <c r="U25" s="67"/>
      <c r="V25" s="68">
        <v>0</v>
      </c>
      <c r="W25" s="67">
        <f t="shared" ref="W25:AX25" si="30">V25</f>
        <v>0</v>
      </c>
      <c r="X25" s="67">
        <f t="shared" si="30"/>
        <v>0</v>
      </c>
      <c r="Y25" s="67">
        <f t="shared" si="30"/>
        <v>0</v>
      </c>
      <c r="Z25" s="67">
        <f t="shared" si="30"/>
        <v>0</v>
      </c>
      <c r="AA25" s="67">
        <f t="shared" si="30"/>
        <v>0</v>
      </c>
      <c r="AB25" s="67">
        <f t="shared" si="30"/>
        <v>0</v>
      </c>
      <c r="AC25" s="67">
        <f t="shared" si="30"/>
        <v>0</v>
      </c>
      <c r="AD25" s="67">
        <f t="shared" si="30"/>
        <v>0</v>
      </c>
      <c r="AE25" s="67">
        <f t="shared" si="30"/>
        <v>0</v>
      </c>
      <c r="AF25" s="67">
        <f t="shared" si="30"/>
        <v>0</v>
      </c>
      <c r="AG25" s="67">
        <f t="shared" si="30"/>
        <v>0</v>
      </c>
      <c r="AH25" s="67">
        <f t="shared" si="30"/>
        <v>0</v>
      </c>
      <c r="AI25" s="67">
        <f t="shared" si="30"/>
        <v>0</v>
      </c>
      <c r="AJ25" s="67">
        <f t="shared" si="30"/>
        <v>0</v>
      </c>
      <c r="AK25" s="67">
        <f t="shared" si="30"/>
        <v>0</v>
      </c>
      <c r="AL25" s="67">
        <f t="shared" si="30"/>
        <v>0</v>
      </c>
      <c r="AM25" s="67">
        <f t="shared" si="30"/>
        <v>0</v>
      </c>
      <c r="AN25" s="67">
        <f t="shared" si="30"/>
        <v>0</v>
      </c>
      <c r="AO25" s="67">
        <f t="shared" si="30"/>
        <v>0</v>
      </c>
      <c r="AP25" s="67">
        <f t="shared" si="30"/>
        <v>0</v>
      </c>
      <c r="AQ25" s="67">
        <f t="shared" si="30"/>
        <v>0</v>
      </c>
      <c r="AR25" s="67">
        <f t="shared" si="30"/>
        <v>0</v>
      </c>
      <c r="AS25" s="67">
        <f t="shared" si="30"/>
        <v>0</v>
      </c>
      <c r="AT25" s="67">
        <f t="shared" si="30"/>
        <v>0</v>
      </c>
      <c r="AU25" s="67">
        <f t="shared" si="30"/>
        <v>0</v>
      </c>
      <c r="AV25" s="67">
        <f t="shared" si="30"/>
        <v>0</v>
      </c>
      <c r="AW25" s="67">
        <f t="shared" si="30"/>
        <v>0</v>
      </c>
      <c r="AX25" s="67">
        <f t="shared" si="30"/>
        <v>0</v>
      </c>
      <c r="AY25" s="67">
        <f t="shared" ref="AY25:AY33" si="31">AX25</f>
        <v>0</v>
      </c>
      <c r="AZ25" s="67"/>
      <c r="BA25" s="67"/>
      <c r="BB25" s="67">
        <f>SUM(V25:AZ25)</f>
        <v>0</v>
      </c>
      <c r="BC25" s="190">
        <f>+BB25/30</f>
        <v>0</v>
      </c>
      <c r="BD25" s="67">
        <f t="shared" si="10"/>
        <v>0</v>
      </c>
      <c r="BE25" s="67"/>
      <c r="BF25" s="23"/>
      <c r="BM25" s="61">
        <v>33</v>
      </c>
      <c r="BO25" s="69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219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  <c r="GH25" s="78"/>
      <c r="GI25" s="78"/>
      <c r="GJ25" s="78"/>
      <c r="GK25" s="78"/>
      <c r="GL25" s="78"/>
      <c r="GM25" s="78"/>
      <c r="GN25" s="78"/>
      <c r="GO25" s="78"/>
      <c r="GP25" s="78"/>
      <c r="GQ25" s="78"/>
      <c r="GR25" s="78"/>
      <c r="GS25" s="78"/>
      <c r="GT25" s="78"/>
      <c r="GU25" s="78"/>
      <c r="GV25" s="78"/>
      <c r="GW25" s="78"/>
      <c r="GX25" s="78"/>
      <c r="GY25" s="78"/>
      <c r="GZ25" s="78"/>
      <c r="HA25" s="78"/>
      <c r="HB25" s="78"/>
      <c r="HC25" s="78"/>
      <c r="HD25" s="78"/>
      <c r="HP25" s="23">
        <f t="shared" si="6"/>
        <v>33</v>
      </c>
      <c r="HQ25" s="15" t="s">
        <v>305</v>
      </c>
    </row>
    <row r="26" spans="1:225" s="78" customFormat="1" ht="15.75">
      <c r="A26" s="78" t="s">
        <v>148</v>
      </c>
      <c r="B26" s="79" t="s">
        <v>149</v>
      </c>
      <c r="D26" s="80">
        <v>25</v>
      </c>
      <c r="E26" s="78">
        <v>4</v>
      </c>
      <c r="F26" s="78" t="s">
        <v>150</v>
      </c>
      <c r="G26" s="61" t="s">
        <v>135</v>
      </c>
      <c r="H26" s="81">
        <v>36336</v>
      </c>
      <c r="I26" s="78" t="s">
        <v>111</v>
      </c>
      <c r="J26" s="78" t="s">
        <v>112</v>
      </c>
      <c r="K26" s="79"/>
      <c r="L26" s="78" t="s">
        <v>113</v>
      </c>
      <c r="M26" s="54" t="s">
        <v>293</v>
      </c>
      <c r="N26" s="78" t="str">
        <f t="shared" si="21"/>
        <v>25ER</v>
      </c>
      <c r="O26" s="78" t="str">
        <f t="shared" si="22"/>
        <v>25ERBase</v>
      </c>
      <c r="Q26" s="82">
        <f t="shared" ref="Q26:Q35" si="32">+BC26</f>
        <v>0</v>
      </c>
      <c r="R26" s="82">
        <f t="shared" si="3"/>
        <v>0</v>
      </c>
      <c r="S26" s="82"/>
      <c r="T26" s="83">
        <v>37147</v>
      </c>
      <c r="U26" s="83"/>
      <c r="V26" s="84">
        <v>0</v>
      </c>
      <c r="W26" s="83">
        <f t="shared" ref="W26:AX26" si="33">V26</f>
        <v>0</v>
      </c>
      <c r="X26" s="83">
        <f t="shared" si="33"/>
        <v>0</v>
      </c>
      <c r="Y26" s="83">
        <f t="shared" si="33"/>
        <v>0</v>
      </c>
      <c r="Z26" s="83">
        <f t="shared" si="33"/>
        <v>0</v>
      </c>
      <c r="AA26" s="83">
        <f t="shared" si="33"/>
        <v>0</v>
      </c>
      <c r="AB26" s="83">
        <f t="shared" si="33"/>
        <v>0</v>
      </c>
      <c r="AC26" s="83">
        <f t="shared" si="33"/>
        <v>0</v>
      </c>
      <c r="AD26" s="83">
        <f t="shared" si="33"/>
        <v>0</v>
      </c>
      <c r="AE26" s="83">
        <f t="shared" si="33"/>
        <v>0</v>
      </c>
      <c r="AF26" s="83">
        <f t="shared" si="33"/>
        <v>0</v>
      </c>
      <c r="AG26" s="83">
        <f t="shared" si="33"/>
        <v>0</v>
      </c>
      <c r="AH26" s="83">
        <f t="shared" si="33"/>
        <v>0</v>
      </c>
      <c r="AI26" s="83">
        <f t="shared" si="33"/>
        <v>0</v>
      </c>
      <c r="AJ26" s="83">
        <f t="shared" si="33"/>
        <v>0</v>
      </c>
      <c r="AK26" s="83">
        <f t="shared" si="33"/>
        <v>0</v>
      </c>
      <c r="AL26" s="83">
        <f t="shared" si="33"/>
        <v>0</v>
      </c>
      <c r="AM26" s="83">
        <f t="shared" si="33"/>
        <v>0</v>
      </c>
      <c r="AN26" s="83">
        <f t="shared" si="33"/>
        <v>0</v>
      </c>
      <c r="AO26" s="83">
        <f t="shared" si="33"/>
        <v>0</v>
      </c>
      <c r="AP26" s="83">
        <f t="shared" si="33"/>
        <v>0</v>
      </c>
      <c r="AQ26" s="83">
        <f t="shared" si="33"/>
        <v>0</v>
      </c>
      <c r="AR26" s="83">
        <f t="shared" si="33"/>
        <v>0</v>
      </c>
      <c r="AS26" s="83">
        <f t="shared" si="33"/>
        <v>0</v>
      </c>
      <c r="AT26" s="83">
        <f t="shared" si="33"/>
        <v>0</v>
      </c>
      <c r="AU26" s="83">
        <f t="shared" si="33"/>
        <v>0</v>
      </c>
      <c r="AV26" s="83">
        <f t="shared" si="33"/>
        <v>0</v>
      </c>
      <c r="AW26" s="83">
        <f t="shared" si="33"/>
        <v>0</v>
      </c>
      <c r="AX26" s="83">
        <f t="shared" si="33"/>
        <v>0</v>
      </c>
      <c r="AY26" s="83">
        <f t="shared" si="31"/>
        <v>0</v>
      </c>
      <c r="AZ26" s="83"/>
      <c r="BA26" s="83"/>
      <c r="BB26" s="83">
        <f>SUM(V26:AZ26)</f>
        <v>0</v>
      </c>
      <c r="BC26" s="83">
        <f>+BB26/30</f>
        <v>0</v>
      </c>
      <c r="BD26" s="83">
        <f t="shared" si="10"/>
        <v>0</v>
      </c>
      <c r="BE26" s="83"/>
      <c r="BF26" s="82"/>
      <c r="BO26" s="85"/>
      <c r="ED26" s="78">
        <v>2904</v>
      </c>
      <c r="EE26" s="78" t="s">
        <v>163</v>
      </c>
      <c r="FP26" s="78" t="s">
        <v>367</v>
      </c>
      <c r="FR26" s="219"/>
      <c r="HP26" s="82">
        <f t="shared" si="6"/>
        <v>2904</v>
      </c>
      <c r="HQ26" s="82"/>
    </row>
    <row r="27" spans="1:225" s="78" customFormat="1" ht="15.75">
      <c r="A27" s="78" t="s">
        <v>148</v>
      </c>
      <c r="B27" s="79" t="s">
        <v>149</v>
      </c>
      <c r="D27" s="80">
        <v>25</v>
      </c>
      <c r="E27" s="78">
        <v>4</v>
      </c>
      <c r="F27" s="78" t="s">
        <v>115</v>
      </c>
      <c r="G27" s="61" t="s">
        <v>135</v>
      </c>
      <c r="H27" s="81">
        <v>36336</v>
      </c>
      <c r="I27" s="78" t="s">
        <v>111</v>
      </c>
      <c r="J27" s="78" t="s">
        <v>112</v>
      </c>
      <c r="K27" s="79"/>
      <c r="L27" s="78" t="s">
        <v>113</v>
      </c>
      <c r="M27" s="61"/>
      <c r="N27" s="78" t="str">
        <f t="shared" si="21"/>
        <v>25ER</v>
      </c>
      <c r="O27" s="78" t="str">
        <f t="shared" si="22"/>
        <v>25ERBase</v>
      </c>
      <c r="Q27" s="82">
        <f t="shared" si="32"/>
        <v>0</v>
      </c>
      <c r="R27" s="82">
        <f t="shared" si="3"/>
        <v>0</v>
      </c>
      <c r="S27" s="82"/>
      <c r="T27" s="83">
        <v>37147</v>
      </c>
      <c r="U27" s="83"/>
      <c r="V27" s="84">
        <v>0</v>
      </c>
      <c r="W27" s="83">
        <f t="shared" ref="W27:AX27" si="34">V27</f>
        <v>0</v>
      </c>
      <c r="X27" s="83">
        <f t="shared" si="34"/>
        <v>0</v>
      </c>
      <c r="Y27" s="83">
        <f t="shared" si="34"/>
        <v>0</v>
      </c>
      <c r="Z27" s="83">
        <f t="shared" si="34"/>
        <v>0</v>
      </c>
      <c r="AA27" s="83">
        <f t="shared" si="34"/>
        <v>0</v>
      </c>
      <c r="AB27" s="83">
        <f t="shared" si="34"/>
        <v>0</v>
      </c>
      <c r="AC27" s="83">
        <f t="shared" si="34"/>
        <v>0</v>
      </c>
      <c r="AD27" s="83">
        <f t="shared" si="34"/>
        <v>0</v>
      </c>
      <c r="AE27" s="83">
        <f t="shared" si="34"/>
        <v>0</v>
      </c>
      <c r="AF27" s="83">
        <f t="shared" si="34"/>
        <v>0</v>
      </c>
      <c r="AG27" s="83">
        <f t="shared" si="34"/>
        <v>0</v>
      </c>
      <c r="AH27" s="83">
        <f t="shared" si="34"/>
        <v>0</v>
      </c>
      <c r="AI27" s="83">
        <f t="shared" si="34"/>
        <v>0</v>
      </c>
      <c r="AJ27" s="83">
        <f t="shared" si="34"/>
        <v>0</v>
      </c>
      <c r="AK27" s="83">
        <f t="shared" si="34"/>
        <v>0</v>
      </c>
      <c r="AL27" s="83">
        <f t="shared" si="34"/>
        <v>0</v>
      </c>
      <c r="AM27" s="83">
        <f t="shared" si="34"/>
        <v>0</v>
      </c>
      <c r="AN27" s="83">
        <f t="shared" si="34"/>
        <v>0</v>
      </c>
      <c r="AO27" s="83">
        <f t="shared" si="34"/>
        <v>0</v>
      </c>
      <c r="AP27" s="83">
        <f t="shared" si="34"/>
        <v>0</v>
      </c>
      <c r="AQ27" s="83">
        <f t="shared" si="34"/>
        <v>0</v>
      </c>
      <c r="AR27" s="83">
        <f t="shared" si="34"/>
        <v>0</v>
      </c>
      <c r="AS27" s="83">
        <f t="shared" si="34"/>
        <v>0</v>
      </c>
      <c r="AT27" s="83">
        <f t="shared" si="34"/>
        <v>0</v>
      </c>
      <c r="AU27" s="83">
        <f t="shared" si="34"/>
        <v>0</v>
      </c>
      <c r="AV27" s="83">
        <f t="shared" si="34"/>
        <v>0</v>
      </c>
      <c r="AW27" s="83">
        <f t="shared" si="34"/>
        <v>0</v>
      </c>
      <c r="AX27" s="83">
        <f t="shared" si="34"/>
        <v>0</v>
      </c>
      <c r="AY27" s="83">
        <f t="shared" si="31"/>
        <v>0</v>
      </c>
      <c r="AZ27" s="83"/>
      <c r="BA27" s="83"/>
      <c r="BB27" s="83">
        <f t="shared" ref="BB27:BB35" si="35">SUM(V27:AZ27)</f>
        <v>0</v>
      </c>
      <c r="BC27" s="83">
        <f t="shared" ref="BC27:BC35" si="36">+BB27/30</f>
        <v>0</v>
      </c>
      <c r="BD27" s="83">
        <f t="shared" si="10"/>
        <v>0</v>
      </c>
      <c r="BE27" s="83"/>
      <c r="BF27" s="82"/>
      <c r="BO27" s="85"/>
      <c r="EC27" s="78" t="s">
        <v>125</v>
      </c>
      <c r="ED27" s="78">
        <v>1523</v>
      </c>
      <c r="EE27" s="78" t="s">
        <v>151</v>
      </c>
      <c r="EI27" s="78" t="s">
        <v>316</v>
      </c>
      <c r="EO27" s="78" t="s">
        <v>341</v>
      </c>
      <c r="FP27" s="78">
        <v>996</v>
      </c>
      <c r="FR27" s="219"/>
      <c r="HO27" s="78" t="s">
        <v>152</v>
      </c>
      <c r="HP27" s="82">
        <f t="shared" si="6"/>
        <v>2519</v>
      </c>
      <c r="HQ27" s="82"/>
    </row>
    <row r="28" spans="1:225" s="78" customFormat="1" ht="15.75">
      <c r="A28" s="78" t="s">
        <v>148</v>
      </c>
      <c r="B28" s="79" t="s">
        <v>149</v>
      </c>
      <c r="D28" s="80">
        <v>25</v>
      </c>
      <c r="E28" s="78">
        <v>4</v>
      </c>
      <c r="F28" s="78" t="s">
        <v>154</v>
      </c>
      <c r="G28" s="61" t="s">
        <v>135</v>
      </c>
      <c r="H28" s="81">
        <v>36336</v>
      </c>
      <c r="I28" s="78" t="s">
        <v>111</v>
      </c>
      <c r="J28" s="78" t="s">
        <v>112</v>
      </c>
      <c r="K28" s="79"/>
      <c r="L28" s="78" t="s">
        <v>113</v>
      </c>
      <c r="M28" s="61"/>
      <c r="N28" s="78" t="str">
        <f t="shared" si="21"/>
        <v>25ER</v>
      </c>
      <c r="O28" s="78" t="str">
        <f t="shared" si="22"/>
        <v>25ERBase</v>
      </c>
      <c r="Q28" s="82">
        <f t="shared" si="32"/>
        <v>0</v>
      </c>
      <c r="R28" s="82">
        <f t="shared" si="3"/>
        <v>0</v>
      </c>
      <c r="S28" s="82"/>
      <c r="T28" s="83">
        <v>37147</v>
      </c>
      <c r="U28" s="83"/>
      <c r="V28" s="84">
        <v>0</v>
      </c>
      <c r="W28" s="83">
        <f t="shared" ref="W28:AX28" si="37">V28</f>
        <v>0</v>
      </c>
      <c r="X28" s="83">
        <f t="shared" si="37"/>
        <v>0</v>
      </c>
      <c r="Y28" s="83">
        <f t="shared" si="37"/>
        <v>0</v>
      </c>
      <c r="Z28" s="83">
        <f t="shared" si="37"/>
        <v>0</v>
      </c>
      <c r="AA28" s="83">
        <f t="shared" si="37"/>
        <v>0</v>
      </c>
      <c r="AB28" s="83">
        <f t="shared" si="37"/>
        <v>0</v>
      </c>
      <c r="AC28" s="83">
        <f t="shared" si="37"/>
        <v>0</v>
      </c>
      <c r="AD28" s="83">
        <f t="shared" si="37"/>
        <v>0</v>
      </c>
      <c r="AE28" s="83">
        <f t="shared" si="37"/>
        <v>0</v>
      </c>
      <c r="AF28" s="83">
        <f t="shared" si="37"/>
        <v>0</v>
      </c>
      <c r="AG28" s="83">
        <f t="shared" si="37"/>
        <v>0</v>
      </c>
      <c r="AH28" s="83">
        <f t="shared" si="37"/>
        <v>0</v>
      </c>
      <c r="AI28" s="83">
        <f t="shared" si="37"/>
        <v>0</v>
      </c>
      <c r="AJ28" s="83">
        <f t="shared" si="37"/>
        <v>0</v>
      </c>
      <c r="AK28" s="83">
        <f t="shared" si="37"/>
        <v>0</v>
      </c>
      <c r="AL28" s="83">
        <f t="shared" si="37"/>
        <v>0</v>
      </c>
      <c r="AM28" s="83">
        <f t="shared" si="37"/>
        <v>0</v>
      </c>
      <c r="AN28" s="83">
        <f t="shared" si="37"/>
        <v>0</v>
      </c>
      <c r="AO28" s="83">
        <f t="shared" si="37"/>
        <v>0</v>
      </c>
      <c r="AP28" s="83">
        <f t="shared" si="37"/>
        <v>0</v>
      </c>
      <c r="AQ28" s="83">
        <f t="shared" si="37"/>
        <v>0</v>
      </c>
      <c r="AR28" s="83">
        <f t="shared" si="37"/>
        <v>0</v>
      </c>
      <c r="AS28" s="83">
        <f t="shared" si="37"/>
        <v>0</v>
      </c>
      <c r="AT28" s="83">
        <f t="shared" si="37"/>
        <v>0</v>
      </c>
      <c r="AU28" s="83">
        <f t="shared" si="37"/>
        <v>0</v>
      </c>
      <c r="AV28" s="83">
        <f t="shared" si="37"/>
        <v>0</v>
      </c>
      <c r="AW28" s="83">
        <f t="shared" si="37"/>
        <v>0</v>
      </c>
      <c r="AX28" s="83">
        <f t="shared" si="37"/>
        <v>0</v>
      </c>
      <c r="AY28" s="83">
        <f t="shared" si="31"/>
        <v>0</v>
      </c>
      <c r="AZ28" s="83"/>
      <c r="BA28" s="83"/>
      <c r="BB28" s="83">
        <f t="shared" si="35"/>
        <v>0</v>
      </c>
      <c r="BC28" s="83">
        <f t="shared" si="36"/>
        <v>0</v>
      </c>
      <c r="BD28" s="83">
        <f t="shared" si="10"/>
        <v>0</v>
      </c>
      <c r="BE28" s="83"/>
      <c r="BF28" s="82"/>
      <c r="BO28" s="85"/>
      <c r="FR28" s="219"/>
      <c r="HP28" s="82">
        <f t="shared" si="6"/>
        <v>0</v>
      </c>
      <c r="HQ28" s="86" t="s">
        <v>155</v>
      </c>
    </row>
    <row r="29" spans="1:225" s="78" customFormat="1" ht="15.75">
      <c r="A29" s="78" t="s">
        <v>148</v>
      </c>
      <c r="B29" s="79" t="s">
        <v>149</v>
      </c>
      <c r="D29" s="80">
        <v>25</v>
      </c>
      <c r="E29" s="78">
        <v>4</v>
      </c>
      <c r="F29" s="78" t="s">
        <v>156</v>
      </c>
      <c r="G29" s="61" t="s">
        <v>157</v>
      </c>
      <c r="H29" s="81">
        <v>36495</v>
      </c>
      <c r="I29" s="78" t="s">
        <v>111</v>
      </c>
      <c r="J29" s="78" t="s">
        <v>122</v>
      </c>
      <c r="K29" s="79"/>
      <c r="L29" s="78" t="s">
        <v>113</v>
      </c>
      <c r="M29" s="54"/>
      <c r="N29" s="78" t="str">
        <f t="shared" si="21"/>
        <v>25EW</v>
      </c>
      <c r="O29" s="78" t="str">
        <f t="shared" si="22"/>
        <v>25EWBase</v>
      </c>
      <c r="Q29" s="82">
        <f t="shared" si="32"/>
        <v>0</v>
      </c>
      <c r="R29" s="82">
        <f t="shared" si="3"/>
        <v>0</v>
      </c>
      <c r="S29" s="82"/>
      <c r="T29" s="83">
        <v>37147</v>
      </c>
      <c r="U29" s="83"/>
      <c r="V29" s="84">
        <v>0</v>
      </c>
      <c r="W29" s="83">
        <f t="shared" ref="W29:AX29" si="38">V29</f>
        <v>0</v>
      </c>
      <c r="X29" s="83">
        <f t="shared" si="38"/>
        <v>0</v>
      </c>
      <c r="Y29" s="83">
        <f t="shared" si="38"/>
        <v>0</v>
      </c>
      <c r="Z29" s="83">
        <f t="shared" si="38"/>
        <v>0</v>
      </c>
      <c r="AA29" s="83">
        <f t="shared" si="38"/>
        <v>0</v>
      </c>
      <c r="AB29" s="83">
        <f t="shared" si="38"/>
        <v>0</v>
      </c>
      <c r="AC29" s="83">
        <f t="shared" si="38"/>
        <v>0</v>
      </c>
      <c r="AD29" s="83">
        <f t="shared" si="38"/>
        <v>0</v>
      </c>
      <c r="AE29" s="83">
        <f t="shared" si="38"/>
        <v>0</v>
      </c>
      <c r="AF29" s="83">
        <f t="shared" si="38"/>
        <v>0</v>
      </c>
      <c r="AG29" s="83">
        <f t="shared" si="38"/>
        <v>0</v>
      </c>
      <c r="AH29" s="83">
        <f t="shared" si="38"/>
        <v>0</v>
      </c>
      <c r="AI29" s="83">
        <f t="shared" si="38"/>
        <v>0</v>
      </c>
      <c r="AJ29" s="83">
        <f t="shared" si="38"/>
        <v>0</v>
      </c>
      <c r="AK29" s="83">
        <f t="shared" si="38"/>
        <v>0</v>
      </c>
      <c r="AL29" s="83">
        <f t="shared" si="38"/>
        <v>0</v>
      </c>
      <c r="AM29" s="83">
        <f t="shared" si="38"/>
        <v>0</v>
      </c>
      <c r="AN29" s="83">
        <f t="shared" si="38"/>
        <v>0</v>
      </c>
      <c r="AO29" s="83">
        <f t="shared" si="38"/>
        <v>0</v>
      </c>
      <c r="AP29" s="83">
        <f t="shared" si="38"/>
        <v>0</v>
      </c>
      <c r="AQ29" s="83">
        <f t="shared" si="38"/>
        <v>0</v>
      </c>
      <c r="AR29" s="83">
        <f t="shared" si="38"/>
        <v>0</v>
      </c>
      <c r="AS29" s="83">
        <f t="shared" si="38"/>
        <v>0</v>
      </c>
      <c r="AT29" s="83">
        <f t="shared" si="38"/>
        <v>0</v>
      </c>
      <c r="AU29" s="83">
        <f t="shared" si="38"/>
        <v>0</v>
      </c>
      <c r="AV29" s="83">
        <f t="shared" si="38"/>
        <v>0</v>
      </c>
      <c r="AW29" s="83">
        <f t="shared" si="38"/>
        <v>0</v>
      </c>
      <c r="AX29" s="83">
        <f t="shared" si="38"/>
        <v>0</v>
      </c>
      <c r="AY29" s="83">
        <f t="shared" si="31"/>
        <v>0</v>
      </c>
      <c r="AZ29" s="83"/>
      <c r="BA29" s="83"/>
      <c r="BB29" s="83">
        <f t="shared" si="35"/>
        <v>0</v>
      </c>
      <c r="BC29" s="83">
        <f t="shared" si="36"/>
        <v>0</v>
      </c>
      <c r="BD29" s="83">
        <f t="shared" si="10"/>
        <v>0</v>
      </c>
      <c r="BE29" s="83"/>
      <c r="BF29" s="82"/>
      <c r="BO29" s="85"/>
      <c r="EE29" s="78" t="s">
        <v>162</v>
      </c>
      <c r="FR29" s="219"/>
      <c r="HP29" s="82">
        <f t="shared" si="6"/>
        <v>0</v>
      </c>
      <c r="HQ29" s="82"/>
    </row>
    <row r="30" spans="1:225" s="78" customFormat="1" ht="15.75">
      <c r="A30" s="78" t="s">
        <v>159</v>
      </c>
      <c r="B30" s="79" t="s">
        <v>160</v>
      </c>
      <c r="D30" s="80">
        <v>25</v>
      </c>
      <c r="E30" s="78">
        <v>4</v>
      </c>
      <c r="F30" s="78" t="s">
        <v>115</v>
      </c>
      <c r="G30" s="61" t="s">
        <v>129</v>
      </c>
      <c r="H30" s="81">
        <v>36336</v>
      </c>
      <c r="I30" s="78" t="s">
        <v>111</v>
      </c>
      <c r="J30" s="78" t="s">
        <v>112</v>
      </c>
      <c r="K30" s="79"/>
      <c r="L30" s="78" t="s">
        <v>113</v>
      </c>
      <c r="M30" s="54"/>
      <c r="N30" s="78" t="str">
        <f t="shared" ref="N30:N51" si="39">CONCATENATE(B30,J30)</f>
        <v>19ER</v>
      </c>
      <c r="O30" s="78" t="str">
        <f t="shared" ref="O30:O51" si="40">CONCATENATE(B30,J30,I30)</f>
        <v>19ERBase</v>
      </c>
      <c r="Q30" s="82">
        <f t="shared" si="32"/>
        <v>0</v>
      </c>
      <c r="R30" s="82">
        <f t="shared" ref="R30:R51" si="41">+Q30</f>
        <v>0</v>
      </c>
      <c r="S30" s="82"/>
      <c r="T30" s="83">
        <v>37147</v>
      </c>
      <c r="U30" s="83"/>
      <c r="V30" s="84">
        <v>0</v>
      </c>
      <c r="W30" s="83">
        <f t="shared" ref="W30:AX30" si="42">V30</f>
        <v>0</v>
      </c>
      <c r="X30" s="83">
        <f t="shared" si="42"/>
        <v>0</v>
      </c>
      <c r="Y30" s="83">
        <f t="shared" si="42"/>
        <v>0</v>
      </c>
      <c r="Z30" s="83">
        <f t="shared" si="42"/>
        <v>0</v>
      </c>
      <c r="AA30" s="83">
        <f t="shared" si="42"/>
        <v>0</v>
      </c>
      <c r="AB30" s="83">
        <f t="shared" si="42"/>
        <v>0</v>
      </c>
      <c r="AC30" s="83">
        <f t="shared" si="42"/>
        <v>0</v>
      </c>
      <c r="AD30" s="83">
        <f t="shared" si="42"/>
        <v>0</v>
      </c>
      <c r="AE30" s="83">
        <f t="shared" si="42"/>
        <v>0</v>
      </c>
      <c r="AF30" s="83">
        <f t="shared" si="42"/>
        <v>0</v>
      </c>
      <c r="AG30" s="83">
        <f t="shared" si="42"/>
        <v>0</v>
      </c>
      <c r="AH30" s="83">
        <f t="shared" si="42"/>
        <v>0</v>
      </c>
      <c r="AI30" s="83">
        <f t="shared" si="42"/>
        <v>0</v>
      </c>
      <c r="AJ30" s="83">
        <f t="shared" si="42"/>
        <v>0</v>
      </c>
      <c r="AK30" s="83">
        <f t="shared" si="42"/>
        <v>0</v>
      </c>
      <c r="AL30" s="83">
        <f t="shared" si="42"/>
        <v>0</v>
      </c>
      <c r="AM30" s="83">
        <f t="shared" si="42"/>
        <v>0</v>
      </c>
      <c r="AN30" s="83">
        <f t="shared" si="42"/>
        <v>0</v>
      </c>
      <c r="AO30" s="83">
        <f t="shared" si="42"/>
        <v>0</v>
      </c>
      <c r="AP30" s="83">
        <f t="shared" si="42"/>
        <v>0</v>
      </c>
      <c r="AQ30" s="83">
        <f t="shared" si="42"/>
        <v>0</v>
      </c>
      <c r="AR30" s="83">
        <f t="shared" si="42"/>
        <v>0</v>
      </c>
      <c r="AS30" s="83">
        <f t="shared" si="42"/>
        <v>0</v>
      </c>
      <c r="AT30" s="83">
        <f t="shared" si="42"/>
        <v>0</v>
      </c>
      <c r="AU30" s="83">
        <f t="shared" si="42"/>
        <v>0</v>
      </c>
      <c r="AV30" s="83">
        <f t="shared" si="42"/>
        <v>0</v>
      </c>
      <c r="AW30" s="83">
        <f t="shared" si="42"/>
        <v>0</v>
      </c>
      <c r="AX30" s="83">
        <f t="shared" si="42"/>
        <v>0</v>
      </c>
      <c r="AY30" s="83">
        <f t="shared" si="31"/>
        <v>0</v>
      </c>
      <c r="AZ30" s="83"/>
      <c r="BA30" s="83"/>
      <c r="BB30" s="83">
        <f t="shared" si="35"/>
        <v>0</v>
      </c>
      <c r="BC30" s="83">
        <f t="shared" si="36"/>
        <v>0</v>
      </c>
      <c r="BD30" s="83">
        <f t="shared" si="10"/>
        <v>0</v>
      </c>
      <c r="BE30" s="83"/>
      <c r="BF30" s="82"/>
      <c r="BO30" s="85"/>
      <c r="CG30" s="78" t="s">
        <v>178</v>
      </c>
      <c r="CX30" s="78">
        <v>14</v>
      </c>
      <c r="DJ30" s="78">
        <v>10</v>
      </c>
      <c r="DN30" s="78">
        <v>38</v>
      </c>
      <c r="DO30" s="78" t="s">
        <v>216</v>
      </c>
      <c r="EC30" s="78" t="s">
        <v>131</v>
      </c>
      <c r="EX30" s="78">
        <v>1</v>
      </c>
      <c r="FP30" s="78">
        <v>1273</v>
      </c>
      <c r="FR30" s="219"/>
      <c r="HO30" s="78" t="s">
        <v>153</v>
      </c>
      <c r="HP30" s="82">
        <f t="shared" si="6"/>
        <v>1336</v>
      </c>
      <c r="HQ30" s="82"/>
    </row>
    <row r="31" spans="1:225" s="78" customFormat="1" ht="15.75">
      <c r="A31" s="78" t="s">
        <v>159</v>
      </c>
      <c r="B31" s="79" t="s">
        <v>160</v>
      </c>
      <c r="D31" s="80">
        <v>25</v>
      </c>
      <c r="E31" s="78">
        <v>4</v>
      </c>
      <c r="F31" s="78" t="s">
        <v>150</v>
      </c>
      <c r="G31" s="61" t="s">
        <v>129</v>
      </c>
      <c r="H31" s="81">
        <v>36336</v>
      </c>
      <c r="I31" s="78" t="s">
        <v>111</v>
      </c>
      <c r="J31" s="78" t="s">
        <v>112</v>
      </c>
      <c r="K31" s="79"/>
      <c r="L31" s="78" t="s">
        <v>113</v>
      </c>
      <c r="M31" s="54"/>
      <c r="N31" s="78" t="str">
        <f t="shared" si="39"/>
        <v>19ER</v>
      </c>
      <c r="O31" s="78" t="str">
        <f t="shared" si="40"/>
        <v>19ERBase</v>
      </c>
      <c r="Q31" s="82">
        <f t="shared" si="32"/>
        <v>0</v>
      </c>
      <c r="R31" s="82">
        <f t="shared" si="41"/>
        <v>0</v>
      </c>
      <c r="S31" s="82"/>
      <c r="T31" s="83">
        <v>37147</v>
      </c>
      <c r="U31" s="83"/>
      <c r="V31" s="84">
        <v>0</v>
      </c>
      <c r="W31" s="83">
        <f t="shared" ref="W31:AX31" si="43">V31</f>
        <v>0</v>
      </c>
      <c r="X31" s="83">
        <f t="shared" si="43"/>
        <v>0</v>
      </c>
      <c r="Y31" s="83">
        <f t="shared" si="43"/>
        <v>0</v>
      </c>
      <c r="Z31" s="83">
        <f t="shared" si="43"/>
        <v>0</v>
      </c>
      <c r="AA31" s="83">
        <f t="shared" si="43"/>
        <v>0</v>
      </c>
      <c r="AB31" s="83">
        <f t="shared" si="43"/>
        <v>0</v>
      </c>
      <c r="AC31" s="83">
        <f t="shared" si="43"/>
        <v>0</v>
      </c>
      <c r="AD31" s="83">
        <f t="shared" si="43"/>
        <v>0</v>
      </c>
      <c r="AE31" s="83">
        <f t="shared" si="43"/>
        <v>0</v>
      </c>
      <c r="AF31" s="83">
        <f t="shared" si="43"/>
        <v>0</v>
      </c>
      <c r="AG31" s="83">
        <f t="shared" si="43"/>
        <v>0</v>
      </c>
      <c r="AH31" s="83">
        <f t="shared" si="43"/>
        <v>0</v>
      </c>
      <c r="AI31" s="83">
        <f t="shared" si="43"/>
        <v>0</v>
      </c>
      <c r="AJ31" s="83">
        <f t="shared" si="43"/>
        <v>0</v>
      </c>
      <c r="AK31" s="83">
        <f t="shared" si="43"/>
        <v>0</v>
      </c>
      <c r="AL31" s="83">
        <f t="shared" si="43"/>
        <v>0</v>
      </c>
      <c r="AM31" s="83">
        <f t="shared" si="43"/>
        <v>0</v>
      </c>
      <c r="AN31" s="83">
        <f t="shared" si="43"/>
        <v>0</v>
      </c>
      <c r="AO31" s="83">
        <f t="shared" si="43"/>
        <v>0</v>
      </c>
      <c r="AP31" s="83">
        <f t="shared" si="43"/>
        <v>0</v>
      </c>
      <c r="AQ31" s="83">
        <f t="shared" si="43"/>
        <v>0</v>
      </c>
      <c r="AR31" s="83">
        <f t="shared" si="43"/>
        <v>0</v>
      </c>
      <c r="AS31" s="83">
        <f t="shared" si="43"/>
        <v>0</v>
      </c>
      <c r="AT31" s="83">
        <f t="shared" si="43"/>
        <v>0</v>
      </c>
      <c r="AU31" s="83">
        <f t="shared" si="43"/>
        <v>0</v>
      </c>
      <c r="AV31" s="83">
        <f t="shared" si="43"/>
        <v>0</v>
      </c>
      <c r="AW31" s="83">
        <f t="shared" si="43"/>
        <v>0</v>
      </c>
      <c r="AX31" s="83">
        <f t="shared" si="43"/>
        <v>0</v>
      </c>
      <c r="AY31" s="83">
        <f t="shared" si="31"/>
        <v>0</v>
      </c>
      <c r="AZ31" s="83"/>
      <c r="BA31" s="83"/>
      <c r="BB31" s="83">
        <f t="shared" si="35"/>
        <v>0</v>
      </c>
      <c r="BC31" s="83">
        <f t="shared" si="36"/>
        <v>0</v>
      </c>
      <c r="BD31" s="83">
        <f t="shared" si="10"/>
        <v>0</v>
      </c>
      <c r="BE31" s="83"/>
      <c r="BF31" s="82"/>
      <c r="BO31" s="85"/>
      <c r="CF31" s="78">
        <v>92</v>
      </c>
      <c r="CG31" s="78" t="s">
        <v>313</v>
      </c>
      <c r="CP31" s="78">
        <v>1</v>
      </c>
      <c r="CQ31" s="78" t="s">
        <v>131</v>
      </c>
      <c r="CX31" s="78">
        <v>20</v>
      </c>
      <c r="CY31" s="78" t="s">
        <v>131</v>
      </c>
      <c r="DK31" s="78" t="s">
        <v>181</v>
      </c>
      <c r="DO31" s="78" t="s">
        <v>114</v>
      </c>
      <c r="EY31" s="78" t="s">
        <v>162</v>
      </c>
      <c r="FR31" s="219"/>
      <c r="HP31" s="82">
        <f t="shared" si="6"/>
        <v>113</v>
      </c>
      <c r="HQ31" s="82"/>
    </row>
    <row r="32" spans="1:225" s="78" customFormat="1" ht="15.75">
      <c r="A32" s="78" t="s">
        <v>317</v>
      </c>
      <c r="B32" s="79">
        <v>634197</v>
      </c>
      <c r="D32" s="80">
        <v>21</v>
      </c>
      <c r="E32" s="78">
        <v>4</v>
      </c>
      <c r="F32" s="78" t="s">
        <v>164</v>
      </c>
      <c r="G32" s="61" t="s">
        <v>197</v>
      </c>
      <c r="H32" s="81">
        <v>36465</v>
      </c>
      <c r="I32" s="78" t="s">
        <v>111</v>
      </c>
      <c r="J32" s="78" t="s">
        <v>122</v>
      </c>
      <c r="K32" s="79"/>
      <c r="L32" s="78" t="s">
        <v>113</v>
      </c>
      <c r="M32" s="61"/>
      <c r="N32" s="78" t="str">
        <f>CONCATENATE(B32,J32)</f>
        <v>634197W</v>
      </c>
      <c r="O32" s="78" t="str">
        <f>CONCATENATE(B32,J32,I32)</f>
        <v>634197WBase</v>
      </c>
      <c r="Q32" s="82">
        <f>+BC32</f>
        <v>0</v>
      </c>
      <c r="R32" s="82">
        <f t="shared" si="41"/>
        <v>0</v>
      </c>
      <c r="S32" s="82"/>
      <c r="T32" s="83">
        <v>37147</v>
      </c>
      <c r="U32" s="83"/>
      <c r="V32" s="84">
        <v>0</v>
      </c>
      <c r="W32" s="83">
        <f t="shared" ref="W32:AX33" si="44">V32</f>
        <v>0</v>
      </c>
      <c r="X32" s="83">
        <f t="shared" si="44"/>
        <v>0</v>
      </c>
      <c r="Y32" s="83">
        <f t="shared" si="44"/>
        <v>0</v>
      </c>
      <c r="Z32" s="83">
        <f t="shared" si="44"/>
        <v>0</v>
      </c>
      <c r="AA32" s="83">
        <f t="shared" si="44"/>
        <v>0</v>
      </c>
      <c r="AB32" s="83">
        <f t="shared" si="44"/>
        <v>0</v>
      </c>
      <c r="AC32" s="83">
        <f t="shared" si="44"/>
        <v>0</v>
      </c>
      <c r="AD32" s="83">
        <f t="shared" si="44"/>
        <v>0</v>
      </c>
      <c r="AE32" s="83">
        <f t="shared" si="44"/>
        <v>0</v>
      </c>
      <c r="AF32" s="83">
        <f t="shared" si="44"/>
        <v>0</v>
      </c>
      <c r="AG32" s="83">
        <f t="shared" si="44"/>
        <v>0</v>
      </c>
      <c r="AH32" s="83">
        <f t="shared" si="44"/>
        <v>0</v>
      </c>
      <c r="AI32" s="83">
        <f t="shared" si="44"/>
        <v>0</v>
      </c>
      <c r="AJ32" s="83">
        <f t="shared" si="44"/>
        <v>0</v>
      </c>
      <c r="AK32" s="83">
        <f t="shared" si="44"/>
        <v>0</v>
      </c>
      <c r="AL32" s="83">
        <f t="shared" si="44"/>
        <v>0</v>
      </c>
      <c r="AM32" s="83">
        <f t="shared" si="44"/>
        <v>0</v>
      </c>
      <c r="AN32" s="83">
        <f t="shared" si="44"/>
        <v>0</v>
      </c>
      <c r="AO32" s="83">
        <f t="shared" si="44"/>
        <v>0</v>
      </c>
      <c r="AP32" s="83">
        <f t="shared" si="44"/>
        <v>0</v>
      </c>
      <c r="AQ32" s="83">
        <f t="shared" si="44"/>
        <v>0</v>
      </c>
      <c r="AR32" s="83">
        <f t="shared" si="44"/>
        <v>0</v>
      </c>
      <c r="AS32" s="83">
        <f t="shared" si="44"/>
        <v>0</v>
      </c>
      <c r="AT32" s="83">
        <f t="shared" si="44"/>
        <v>0</v>
      </c>
      <c r="AU32" s="83">
        <f t="shared" si="44"/>
        <v>0</v>
      </c>
      <c r="AV32" s="83">
        <f t="shared" si="44"/>
        <v>0</v>
      </c>
      <c r="AW32" s="83">
        <f t="shared" si="44"/>
        <v>0</v>
      </c>
      <c r="AX32" s="83">
        <f t="shared" si="44"/>
        <v>0</v>
      </c>
      <c r="AY32" s="83">
        <f t="shared" si="31"/>
        <v>0</v>
      </c>
      <c r="AZ32" s="83"/>
      <c r="BA32" s="83"/>
      <c r="BB32" s="83">
        <f t="shared" si="35"/>
        <v>0</v>
      </c>
      <c r="BC32" s="83">
        <f t="shared" si="36"/>
        <v>0</v>
      </c>
      <c r="BD32" s="83">
        <f t="shared" si="10"/>
        <v>0</v>
      </c>
      <c r="BE32" s="83"/>
      <c r="BF32" s="82"/>
      <c r="BO32" s="85"/>
      <c r="EH32" s="78">
        <v>40</v>
      </c>
      <c r="EI32" s="78" t="s">
        <v>315</v>
      </c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22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P32" s="82">
        <f t="shared" si="6"/>
        <v>40</v>
      </c>
      <c r="HQ32" s="82"/>
    </row>
    <row r="33" spans="1:225" s="78" customFormat="1" ht="15.75">
      <c r="A33" s="78" t="s">
        <v>164</v>
      </c>
      <c r="B33" s="79">
        <v>56</v>
      </c>
      <c r="D33" s="80">
        <v>25</v>
      </c>
      <c r="E33" s="78">
        <v>4</v>
      </c>
      <c r="F33" s="78" t="s">
        <v>164</v>
      </c>
      <c r="G33" s="61" t="s">
        <v>197</v>
      </c>
      <c r="H33" s="81">
        <v>36465</v>
      </c>
      <c r="I33" s="78" t="s">
        <v>111</v>
      </c>
      <c r="J33" s="78" t="s">
        <v>122</v>
      </c>
      <c r="K33" s="79"/>
      <c r="L33" s="78" t="s">
        <v>113</v>
      </c>
      <c r="M33" s="61"/>
      <c r="N33" s="78" t="str">
        <f>CONCATENATE(B33,J33)</f>
        <v>56W</v>
      </c>
      <c r="O33" s="78" t="str">
        <f>CONCATENATE(B33,J33,I33)</f>
        <v>56WBase</v>
      </c>
      <c r="Q33" s="82">
        <f>+BC33</f>
        <v>0</v>
      </c>
      <c r="R33" s="82">
        <f t="shared" si="41"/>
        <v>0</v>
      </c>
      <c r="S33" s="82"/>
      <c r="T33" s="83">
        <v>37147</v>
      </c>
      <c r="U33" s="83"/>
      <c r="V33" s="84">
        <v>0</v>
      </c>
      <c r="W33" s="83">
        <f t="shared" si="44"/>
        <v>0</v>
      </c>
      <c r="X33" s="83">
        <f t="shared" si="44"/>
        <v>0</v>
      </c>
      <c r="Y33" s="83">
        <f t="shared" si="44"/>
        <v>0</v>
      </c>
      <c r="Z33" s="83">
        <f t="shared" si="44"/>
        <v>0</v>
      </c>
      <c r="AA33" s="83">
        <f t="shared" si="44"/>
        <v>0</v>
      </c>
      <c r="AB33" s="83">
        <f t="shared" si="44"/>
        <v>0</v>
      </c>
      <c r="AC33" s="83">
        <f t="shared" si="44"/>
        <v>0</v>
      </c>
      <c r="AD33" s="83">
        <f t="shared" si="44"/>
        <v>0</v>
      </c>
      <c r="AE33" s="83">
        <f t="shared" si="44"/>
        <v>0</v>
      </c>
      <c r="AF33" s="83">
        <f t="shared" si="44"/>
        <v>0</v>
      </c>
      <c r="AG33" s="83">
        <f t="shared" si="44"/>
        <v>0</v>
      </c>
      <c r="AH33" s="83">
        <f t="shared" si="44"/>
        <v>0</v>
      </c>
      <c r="AI33" s="83">
        <f t="shared" si="44"/>
        <v>0</v>
      </c>
      <c r="AJ33" s="83">
        <f t="shared" si="44"/>
        <v>0</v>
      </c>
      <c r="AK33" s="83">
        <f t="shared" si="44"/>
        <v>0</v>
      </c>
      <c r="AL33" s="83">
        <f t="shared" si="44"/>
        <v>0</v>
      </c>
      <c r="AM33" s="83">
        <f t="shared" si="44"/>
        <v>0</v>
      </c>
      <c r="AN33" s="83">
        <f t="shared" si="44"/>
        <v>0</v>
      </c>
      <c r="AO33" s="83">
        <f t="shared" si="44"/>
        <v>0</v>
      </c>
      <c r="AP33" s="83">
        <f t="shared" si="44"/>
        <v>0</v>
      </c>
      <c r="AQ33" s="83">
        <f t="shared" si="44"/>
        <v>0</v>
      </c>
      <c r="AR33" s="83">
        <f t="shared" si="44"/>
        <v>0</v>
      </c>
      <c r="AS33" s="83">
        <f t="shared" si="44"/>
        <v>0</v>
      </c>
      <c r="AT33" s="83">
        <f t="shared" si="44"/>
        <v>0</v>
      </c>
      <c r="AU33" s="83">
        <f t="shared" si="44"/>
        <v>0</v>
      </c>
      <c r="AV33" s="83">
        <f t="shared" si="44"/>
        <v>0</v>
      </c>
      <c r="AW33" s="83">
        <f t="shared" si="44"/>
        <v>0</v>
      </c>
      <c r="AX33" s="83">
        <f t="shared" si="44"/>
        <v>0</v>
      </c>
      <c r="AY33" s="83">
        <f t="shared" si="31"/>
        <v>0</v>
      </c>
      <c r="AZ33" s="83"/>
      <c r="BA33" s="83"/>
      <c r="BB33" s="83">
        <f t="shared" si="35"/>
        <v>0</v>
      </c>
      <c r="BC33" s="83">
        <f t="shared" si="36"/>
        <v>0</v>
      </c>
      <c r="BD33" s="83">
        <f t="shared" si="10"/>
        <v>0</v>
      </c>
      <c r="BE33" s="83"/>
      <c r="BF33" s="82"/>
      <c r="BO33" s="85"/>
      <c r="EH33" s="78">
        <v>2960</v>
      </c>
      <c r="EI33" s="78" t="s">
        <v>147</v>
      </c>
      <c r="FR33" s="219"/>
      <c r="HP33" s="82">
        <f t="shared" si="6"/>
        <v>2960</v>
      </c>
      <c r="HQ33" s="82"/>
    </row>
    <row r="34" spans="1:225" s="80" customFormat="1" ht="15.75">
      <c r="A34" s="80" t="s">
        <v>166</v>
      </c>
      <c r="B34" s="87">
        <v>54</v>
      </c>
      <c r="D34" s="80">
        <v>21</v>
      </c>
      <c r="E34" s="80">
        <v>4</v>
      </c>
      <c r="F34" s="80" t="s">
        <v>115</v>
      </c>
      <c r="G34" s="14" t="s">
        <v>135</v>
      </c>
      <c r="H34" s="88">
        <v>36336</v>
      </c>
      <c r="I34" s="80" t="s">
        <v>111</v>
      </c>
      <c r="J34" s="80" t="s">
        <v>112</v>
      </c>
      <c r="K34" s="65"/>
      <c r="L34" s="80" t="s">
        <v>118</v>
      </c>
      <c r="M34" s="89" t="s">
        <v>294</v>
      </c>
      <c r="N34" s="80" t="str">
        <f t="shared" si="39"/>
        <v>54R</v>
      </c>
      <c r="O34" s="80" t="str">
        <f t="shared" si="40"/>
        <v>54RBase</v>
      </c>
      <c r="Q34" s="86">
        <f t="shared" si="32"/>
        <v>0</v>
      </c>
      <c r="R34" s="86">
        <f t="shared" si="41"/>
        <v>0</v>
      </c>
      <c r="S34" s="86"/>
      <c r="T34" s="90">
        <v>37147</v>
      </c>
      <c r="U34" s="90"/>
      <c r="V34" s="91">
        <v>0</v>
      </c>
      <c r="W34" s="90">
        <f t="shared" ref="W34:W39" si="45">V34</f>
        <v>0</v>
      </c>
      <c r="X34" s="90">
        <f t="shared" ref="X34:AY34" si="46">W34</f>
        <v>0</v>
      </c>
      <c r="Y34" s="90">
        <f t="shared" si="46"/>
        <v>0</v>
      </c>
      <c r="Z34" s="90">
        <f t="shared" si="46"/>
        <v>0</v>
      </c>
      <c r="AA34" s="90">
        <f t="shared" si="46"/>
        <v>0</v>
      </c>
      <c r="AB34" s="90">
        <f t="shared" si="46"/>
        <v>0</v>
      </c>
      <c r="AC34" s="90">
        <f t="shared" si="46"/>
        <v>0</v>
      </c>
      <c r="AD34" s="90">
        <f t="shared" si="46"/>
        <v>0</v>
      </c>
      <c r="AE34" s="90">
        <f t="shared" si="46"/>
        <v>0</v>
      </c>
      <c r="AF34" s="90">
        <f t="shared" si="46"/>
        <v>0</v>
      </c>
      <c r="AG34" s="90">
        <f t="shared" si="46"/>
        <v>0</v>
      </c>
      <c r="AH34" s="90">
        <f t="shared" si="46"/>
        <v>0</v>
      </c>
      <c r="AI34" s="90">
        <f t="shared" si="46"/>
        <v>0</v>
      </c>
      <c r="AJ34" s="90">
        <f t="shared" si="46"/>
        <v>0</v>
      </c>
      <c r="AK34" s="90">
        <f t="shared" si="46"/>
        <v>0</v>
      </c>
      <c r="AL34" s="90">
        <f t="shared" si="46"/>
        <v>0</v>
      </c>
      <c r="AM34" s="90">
        <f t="shared" si="46"/>
        <v>0</v>
      </c>
      <c r="AN34" s="90">
        <f t="shared" si="46"/>
        <v>0</v>
      </c>
      <c r="AO34" s="90">
        <f t="shared" si="46"/>
        <v>0</v>
      </c>
      <c r="AP34" s="90">
        <f t="shared" si="46"/>
        <v>0</v>
      </c>
      <c r="AQ34" s="90">
        <f t="shared" si="46"/>
        <v>0</v>
      </c>
      <c r="AR34" s="90">
        <f t="shared" si="46"/>
        <v>0</v>
      </c>
      <c r="AS34" s="90">
        <f t="shared" si="46"/>
        <v>0</v>
      </c>
      <c r="AT34" s="90">
        <f t="shared" si="46"/>
        <v>0</v>
      </c>
      <c r="AU34" s="90">
        <f t="shared" si="46"/>
        <v>0</v>
      </c>
      <c r="AV34" s="90">
        <f t="shared" si="46"/>
        <v>0</v>
      </c>
      <c r="AW34" s="90">
        <f t="shared" si="46"/>
        <v>0</v>
      </c>
      <c r="AX34" s="90">
        <f t="shared" si="46"/>
        <v>0</v>
      </c>
      <c r="AY34" s="90">
        <f t="shared" si="46"/>
        <v>0</v>
      </c>
      <c r="AZ34" s="90"/>
      <c r="BA34" s="90"/>
      <c r="BB34" s="83">
        <f t="shared" si="35"/>
        <v>0</v>
      </c>
      <c r="BC34" s="83">
        <f t="shared" si="36"/>
        <v>0</v>
      </c>
      <c r="BD34" s="83">
        <f t="shared" si="10"/>
        <v>0</v>
      </c>
      <c r="BE34" s="90"/>
      <c r="BF34" s="86"/>
      <c r="BO34" s="92"/>
      <c r="EI34" s="80" t="s">
        <v>318</v>
      </c>
      <c r="FH34" s="61"/>
      <c r="FI34" s="61"/>
      <c r="FJ34" s="61"/>
      <c r="FK34" s="61"/>
      <c r="FL34" s="61"/>
      <c r="FM34" s="61"/>
      <c r="FN34" s="61"/>
      <c r="FO34" s="61"/>
      <c r="FP34" s="61"/>
      <c r="FQ34" s="61"/>
      <c r="FR34" s="217"/>
      <c r="FS34" s="61"/>
      <c r="FT34" s="61"/>
      <c r="FU34" s="61"/>
      <c r="FV34" s="61"/>
      <c r="FW34" s="61"/>
      <c r="FX34" s="61"/>
      <c r="FY34" s="61"/>
      <c r="FZ34" s="61"/>
      <c r="GA34" s="61"/>
      <c r="GB34" s="61"/>
      <c r="GC34" s="61"/>
      <c r="GD34" s="61"/>
      <c r="GE34" s="61"/>
      <c r="GF34" s="61"/>
      <c r="GG34" s="61"/>
      <c r="GH34" s="61"/>
      <c r="GI34" s="61"/>
      <c r="GJ34" s="61"/>
      <c r="GK34" s="61"/>
      <c r="GL34" s="61"/>
      <c r="GM34" s="61"/>
      <c r="GN34" s="61"/>
      <c r="GO34" s="61"/>
      <c r="GP34" s="61"/>
      <c r="GQ34" s="61"/>
      <c r="GR34" s="61"/>
      <c r="GS34" s="61"/>
      <c r="GT34" s="61"/>
      <c r="GU34" s="61"/>
      <c r="GV34" s="61"/>
      <c r="GW34" s="61"/>
      <c r="GX34" s="61"/>
      <c r="GY34" s="61"/>
      <c r="GZ34" s="61"/>
      <c r="HA34" s="61"/>
      <c r="HB34" s="61"/>
      <c r="HC34" s="61"/>
      <c r="HD34" s="61"/>
      <c r="HP34" s="86">
        <f t="shared" si="6"/>
        <v>0</v>
      </c>
      <c r="HQ34" s="86"/>
    </row>
    <row r="35" spans="1:225" s="78" customFormat="1" ht="15.75">
      <c r="A35" s="78" t="s">
        <v>167</v>
      </c>
      <c r="B35" s="79">
        <v>88</v>
      </c>
      <c r="D35" s="80"/>
      <c r="E35" s="78">
        <v>4</v>
      </c>
      <c r="F35" s="78" t="s">
        <v>115</v>
      </c>
      <c r="G35" s="61" t="s">
        <v>168</v>
      </c>
      <c r="H35" s="81">
        <v>36336</v>
      </c>
      <c r="I35" s="78" t="s">
        <v>111</v>
      </c>
      <c r="J35" s="78" t="s">
        <v>112</v>
      </c>
      <c r="K35" s="65"/>
      <c r="L35" s="78" t="s">
        <v>118</v>
      </c>
      <c r="M35" s="54"/>
      <c r="N35" s="78" t="str">
        <f t="shared" si="39"/>
        <v>88R</v>
      </c>
      <c r="O35" s="78" t="str">
        <f t="shared" si="40"/>
        <v>88RBase</v>
      </c>
      <c r="Q35" s="82">
        <f t="shared" si="32"/>
        <v>0</v>
      </c>
      <c r="R35" s="82">
        <f t="shared" si="41"/>
        <v>0</v>
      </c>
      <c r="S35" s="82"/>
      <c r="T35" s="83">
        <v>37147</v>
      </c>
      <c r="U35" s="83"/>
      <c r="V35" s="84">
        <v>0</v>
      </c>
      <c r="W35" s="83">
        <f t="shared" si="45"/>
        <v>0</v>
      </c>
      <c r="X35" s="83">
        <f t="shared" ref="X35:AA46" si="47">W35</f>
        <v>0</v>
      </c>
      <c r="Y35" s="83">
        <f t="shared" si="47"/>
        <v>0</v>
      </c>
      <c r="Z35" s="83">
        <f t="shared" si="47"/>
        <v>0</v>
      </c>
      <c r="AA35" s="83">
        <f t="shared" si="47"/>
        <v>0</v>
      </c>
      <c r="AB35" s="83">
        <f t="shared" ref="AB35:AD45" si="48">AA35</f>
        <v>0</v>
      </c>
      <c r="AC35" s="83">
        <f t="shared" si="48"/>
        <v>0</v>
      </c>
      <c r="AD35" s="83">
        <f t="shared" si="48"/>
        <v>0</v>
      </c>
      <c r="AE35" s="83">
        <f t="shared" ref="AE35:AH46" si="49">AD35</f>
        <v>0</v>
      </c>
      <c r="AF35" s="83">
        <f t="shared" si="49"/>
        <v>0</v>
      </c>
      <c r="AG35" s="83">
        <f t="shared" si="49"/>
        <v>0</v>
      </c>
      <c r="AH35" s="83">
        <f t="shared" si="49"/>
        <v>0</v>
      </c>
      <c r="AI35" s="83">
        <f t="shared" ref="AI35:AK45" si="50">AH35</f>
        <v>0</v>
      </c>
      <c r="AJ35" s="83">
        <f t="shared" si="50"/>
        <v>0</v>
      </c>
      <c r="AK35" s="83">
        <f t="shared" si="50"/>
        <v>0</v>
      </c>
      <c r="AL35" s="83">
        <f t="shared" ref="AL35:AO46" si="51">AK35</f>
        <v>0</v>
      </c>
      <c r="AM35" s="83">
        <f t="shared" si="51"/>
        <v>0</v>
      </c>
      <c r="AN35" s="83">
        <f t="shared" si="51"/>
        <v>0</v>
      </c>
      <c r="AO35" s="83">
        <f t="shared" si="51"/>
        <v>0</v>
      </c>
      <c r="AP35" s="83">
        <f t="shared" ref="AP35:AR45" si="52">AO35</f>
        <v>0</v>
      </c>
      <c r="AQ35" s="83">
        <f t="shared" si="52"/>
        <v>0</v>
      </c>
      <c r="AR35" s="83">
        <f t="shared" si="52"/>
        <v>0</v>
      </c>
      <c r="AS35" s="83">
        <f t="shared" ref="AS35:AV44" si="53">AR35</f>
        <v>0</v>
      </c>
      <c r="AT35" s="83">
        <f t="shared" si="53"/>
        <v>0</v>
      </c>
      <c r="AU35" s="83">
        <f t="shared" si="53"/>
        <v>0</v>
      </c>
      <c r="AV35" s="83">
        <f t="shared" si="53"/>
        <v>0</v>
      </c>
      <c r="AW35" s="83">
        <f t="shared" ref="AW35:AX44" si="54">AV35</f>
        <v>0</v>
      </c>
      <c r="AX35" s="83">
        <f t="shared" si="54"/>
        <v>0</v>
      </c>
      <c r="AY35" s="83">
        <f t="shared" ref="AY35:AY49" si="55">AX35</f>
        <v>0</v>
      </c>
      <c r="AZ35" s="83"/>
      <c r="BA35" s="83"/>
      <c r="BB35" s="83">
        <f t="shared" si="35"/>
        <v>0</v>
      </c>
      <c r="BC35" s="83">
        <f t="shared" si="36"/>
        <v>0</v>
      </c>
      <c r="BD35" s="83">
        <f t="shared" si="10"/>
        <v>0</v>
      </c>
      <c r="BE35" s="83"/>
      <c r="BF35" s="82"/>
      <c r="BO35" s="85"/>
      <c r="EM35" s="61"/>
      <c r="FH35" s="61"/>
      <c r="FI35" s="61"/>
      <c r="FJ35" s="61"/>
      <c r="FK35" s="61"/>
      <c r="FL35" s="61"/>
      <c r="FM35" s="61"/>
      <c r="FN35" s="61"/>
      <c r="FO35" s="61"/>
      <c r="FP35" s="61"/>
      <c r="FQ35" s="61"/>
      <c r="FR35" s="217"/>
      <c r="FS35" s="61"/>
      <c r="FT35" s="61"/>
      <c r="FU35" s="61"/>
      <c r="FV35" s="61"/>
      <c r="FW35" s="61"/>
      <c r="FX35" s="61"/>
      <c r="FY35" s="61"/>
      <c r="FZ35" s="61"/>
      <c r="GA35" s="61"/>
      <c r="GB35" s="61"/>
      <c r="GC35" s="61"/>
      <c r="GD35" s="61"/>
      <c r="GE35" s="61"/>
      <c r="GF35" s="61"/>
      <c r="GG35" s="61"/>
      <c r="GH35" s="61"/>
      <c r="GI35" s="61"/>
      <c r="GJ35" s="61"/>
      <c r="GK35" s="61"/>
      <c r="GL35" s="61"/>
      <c r="GM35" s="61"/>
      <c r="GN35" s="61"/>
      <c r="GO35" s="61"/>
      <c r="GP35" s="61"/>
      <c r="GQ35" s="61"/>
      <c r="GR35" s="61"/>
      <c r="GS35" s="61"/>
      <c r="GT35" s="61"/>
      <c r="GU35" s="61"/>
      <c r="GV35" s="61"/>
      <c r="GW35" s="61"/>
      <c r="GX35" s="61"/>
      <c r="GY35" s="61"/>
      <c r="GZ35" s="61"/>
      <c r="HA35" s="61"/>
      <c r="HB35" s="61"/>
      <c r="HC35" s="61"/>
      <c r="HD35" s="61"/>
      <c r="HP35" s="82">
        <f t="shared" si="6"/>
        <v>0</v>
      </c>
      <c r="HQ35" s="82"/>
    </row>
    <row r="36" spans="1:225" s="61" customFormat="1" ht="15.75">
      <c r="A36" s="61" t="s">
        <v>169</v>
      </c>
      <c r="B36" s="62" t="s">
        <v>170</v>
      </c>
      <c r="D36" s="14">
        <v>2</v>
      </c>
      <c r="E36" s="61">
        <v>5</v>
      </c>
      <c r="F36" s="61" t="s">
        <v>365</v>
      </c>
      <c r="G36" s="61" t="s">
        <v>129</v>
      </c>
      <c r="H36" s="64">
        <v>36459</v>
      </c>
      <c r="I36" s="61" t="s">
        <v>111</v>
      </c>
      <c r="J36" s="61" t="s">
        <v>112</v>
      </c>
      <c r="K36" s="62"/>
      <c r="L36" s="61" t="s">
        <v>113</v>
      </c>
      <c r="M36" s="54"/>
      <c r="N36" s="61" t="str">
        <f t="shared" si="39"/>
        <v>23NR</v>
      </c>
      <c r="O36" s="61" t="str">
        <f t="shared" si="40"/>
        <v>23NRBase</v>
      </c>
      <c r="Q36" s="23">
        <f t="shared" ref="Q36:Q58" si="56">+BC36</f>
        <v>0</v>
      </c>
      <c r="R36" s="23">
        <f t="shared" si="41"/>
        <v>0</v>
      </c>
      <c r="S36" s="23"/>
      <c r="T36" s="67">
        <v>37147</v>
      </c>
      <c r="U36" s="67"/>
      <c r="V36" s="68">
        <v>0</v>
      </c>
      <c r="W36" s="67">
        <f t="shared" si="45"/>
        <v>0</v>
      </c>
      <c r="X36" s="67">
        <f t="shared" si="47"/>
        <v>0</v>
      </c>
      <c r="Y36" s="67">
        <f t="shared" si="47"/>
        <v>0</v>
      </c>
      <c r="Z36" s="67">
        <f t="shared" si="47"/>
        <v>0</v>
      </c>
      <c r="AA36" s="67">
        <f t="shared" si="47"/>
        <v>0</v>
      </c>
      <c r="AB36" s="67">
        <f t="shared" si="48"/>
        <v>0</v>
      </c>
      <c r="AC36" s="67">
        <f t="shared" si="48"/>
        <v>0</v>
      </c>
      <c r="AD36" s="67">
        <f t="shared" si="48"/>
        <v>0</v>
      </c>
      <c r="AE36" s="67">
        <f t="shared" si="49"/>
        <v>0</v>
      </c>
      <c r="AF36" s="67">
        <f t="shared" si="49"/>
        <v>0</v>
      </c>
      <c r="AG36" s="67">
        <f t="shared" si="49"/>
        <v>0</v>
      </c>
      <c r="AH36" s="67">
        <f t="shared" si="49"/>
        <v>0</v>
      </c>
      <c r="AI36" s="67">
        <f t="shared" si="50"/>
        <v>0</v>
      </c>
      <c r="AJ36" s="67">
        <f t="shared" si="50"/>
        <v>0</v>
      </c>
      <c r="AK36" s="67">
        <f t="shared" si="50"/>
        <v>0</v>
      </c>
      <c r="AL36" s="67">
        <f t="shared" si="51"/>
        <v>0</v>
      </c>
      <c r="AM36" s="67">
        <f t="shared" si="51"/>
        <v>0</v>
      </c>
      <c r="AN36" s="67">
        <f t="shared" si="51"/>
        <v>0</v>
      </c>
      <c r="AO36" s="67">
        <f t="shared" si="51"/>
        <v>0</v>
      </c>
      <c r="AP36" s="67">
        <f t="shared" si="52"/>
        <v>0</v>
      </c>
      <c r="AQ36" s="67">
        <f t="shared" si="52"/>
        <v>0</v>
      </c>
      <c r="AR36" s="67">
        <f t="shared" si="52"/>
        <v>0</v>
      </c>
      <c r="AS36" s="67">
        <f t="shared" si="53"/>
        <v>0</v>
      </c>
      <c r="AT36" s="67">
        <f t="shared" si="53"/>
        <v>0</v>
      </c>
      <c r="AU36" s="67">
        <f t="shared" si="53"/>
        <v>0</v>
      </c>
      <c r="AV36" s="67">
        <f t="shared" si="53"/>
        <v>0</v>
      </c>
      <c r="AW36" s="67">
        <f t="shared" si="54"/>
        <v>0</v>
      </c>
      <c r="AX36" s="67">
        <f t="shared" si="54"/>
        <v>0</v>
      </c>
      <c r="AY36" s="67">
        <f t="shared" si="55"/>
        <v>0</v>
      </c>
      <c r="AZ36" s="67"/>
      <c r="BA36" s="67"/>
      <c r="BB36" s="67">
        <f t="shared" ref="BB36:BB60" si="57">SUM(V36:AZ36)</f>
        <v>0</v>
      </c>
      <c r="BC36" s="67">
        <f>+BB36/30</f>
        <v>0</v>
      </c>
      <c r="BD36" s="137">
        <f t="shared" si="10"/>
        <v>0</v>
      </c>
      <c r="BE36" s="67"/>
      <c r="BF36" s="23"/>
      <c r="BK36" s="61">
        <v>1999</v>
      </c>
      <c r="BO36" s="69"/>
      <c r="BQ36" s="61" t="s">
        <v>335</v>
      </c>
      <c r="FR36" s="217"/>
      <c r="HP36" s="23">
        <f t="shared" si="6"/>
        <v>1999</v>
      </c>
      <c r="HQ36" s="23"/>
    </row>
    <row r="37" spans="1:225" s="61" customFormat="1" ht="15.75">
      <c r="A37" s="61" t="s">
        <v>169</v>
      </c>
      <c r="B37" s="62" t="s">
        <v>170</v>
      </c>
      <c r="D37" s="14">
        <v>7</v>
      </c>
      <c r="E37" s="61">
        <v>5</v>
      </c>
      <c r="F37" s="61" t="s">
        <v>365</v>
      </c>
      <c r="G37" s="61" t="s">
        <v>129</v>
      </c>
      <c r="H37" s="64">
        <v>36459</v>
      </c>
      <c r="I37" s="61" t="s">
        <v>111</v>
      </c>
      <c r="J37" s="61" t="s">
        <v>112</v>
      </c>
      <c r="K37" s="62"/>
      <c r="L37" s="61" t="s">
        <v>113</v>
      </c>
      <c r="N37" s="61" t="str">
        <f t="shared" si="39"/>
        <v>23NR</v>
      </c>
      <c r="O37" s="61" t="str">
        <f t="shared" si="40"/>
        <v>23NRBase</v>
      </c>
      <c r="Q37" s="23">
        <f t="shared" si="56"/>
        <v>0</v>
      </c>
      <c r="R37" s="23">
        <f t="shared" si="41"/>
        <v>0</v>
      </c>
      <c r="S37" s="23"/>
      <c r="T37" s="67">
        <v>37147</v>
      </c>
      <c r="U37" s="67"/>
      <c r="V37" s="68">
        <v>0</v>
      </c>
      <c r="W37" s="67">
        <f t="shared" si="45"/>
        <v>0</v>
      </c>
      <c r="X37" s="67">
        <f t="shared" si="47"/>
        <v>0</v>
      </c>
      <c r="Y37" s="67">
        <f t="shared" si="47"/>
        <v>0</v>
      </c>
      <c r="Z37" s="67">
        <f t="shared" si="47"/>
        <v>0</v>
      </c>
      <c r="AA37" s="67">
        <f t="shared" si="47"/>
        <v>0</v>
      </c>
      <c r="AB37" s="67">
        <f t="shared" si="48"/>
        <v>0</v>
      </c>
      <c r="AC37" s="67">
        <f t="shared" si="48"/>
        <v>0</v>
      </c>
      <c r="AD37" s="67">
        <f t="shared" si="48"/>
        <v>0</v>
      </c>
      <c r="AE37" s="67">
        <f t="shared" si="49"/>
        <v>0</v>
      </c>
      <c r="AF37" s="67">
        <f t="shared" si="49"/>
        <v>0</v>
      </c>
      <c r="AG37" s="67">
        <f t="shared" si="49"/>
        <v>0</v>
      </c>
      <c r="AH37" s="67">
        <f t="shared" si="49"/>
        <v>0</v>
      </c>
      <c r="AI37" s="67">
        <f t="shared" si="50"/>
        <v>0</v>
      </c>
      <c r="AJ37" s="67">
        <f t="shared" si="50"/>
        <v>0</v>
      </c>
      <c r="AK37" s="67">
        <f t="shared" si="50"/>
        <v>0</v>
      </c>
      <c r="AL37" s="67">
        <f t="shared" si="51"/>
        <v>0</v>
      </c>
      <c r="AM37" s="67">
        <f t="shared" si="51"/>
        <v>0</v>
      </c>
      <c r="AN37" s="67">
        <f t="shared" si="51"/>
        <v>0</v>
      </c>
      <c r="AO37" s="67">
        <f t="shared" si="51"/>
        <v>0</v>
      </c>
      <c r="AP37" s="67">
        <f t="shared" si="52"/>
        <v>0</v>
      </c>
      <c r="AQ37" s="67">
        <f t="shared" si="52"/>
        <v>0</v>
      </c>
      <c r="AR37" s="67">
        <f t="shared" si="52"/>
        <v>0</v>
      </c>
      <c r="AS37" s="67">
        <f t="shared" si="53"/>
        <v>0</v>
      </c>
      <c r="AT37" s="67">
        <f t="shared" si="53"/>
        <v>0</v>
      </c>
      <c r="AU37" s="67">
        <f t="shared" si="53"/>
        <v>0</v>
      </c>
      <c r="AV37" s="67">
        <f t="shared" si="53"/>
        <v>0</v>
      </c>
      <c r="AW37" s="67">
        <f t="shared" si="54"/>
        <v>0</v>
      </c>
      <c r="AX37" s="67">
        <f t="shared" si="54"/>
        <v>0</v>
      </c>
      <c r="AY37" s="67">
        <f t="shared" si="55"/>
        <v>0</v>
      </c>
      <c r="AZ37" s="67"/>
      <c r="BA37" s="67"/>
      <c r="BB37" s="67">
        <f t="shared" si="57"/>
        <v>0</v>
      </c>
      <c r="BC37" s="67">
        <f t="shared" ref="BC37:BC72" si="58">+BB37/30</f>
        <v>0</v>
      </c>
      <c r="BD37" s="137">
        <f t="shared" si="10"/>
        <v>0</v>
      </c>
      <c r="BE37" s="67"/>
      <c r="BF37" s="23"/>
      <c r="BJ37" s="61" t="s">
        <v>321</v>
      </c>
      <c r="BK37" s="61">
        <v>442</v>
      </c>
      <c r="BO37" s="69" t="s">
        <v>333</v>
      </c>
      <c r="EU37" s="61" t="s">
        <v>181</v>
      </c>
      <c r="FH37" s="174"/>
      <c r="FI37" s="174"/>
      <c r="FJ37" s="174"/>
      <c r="FK37" s="174"/>
      <c r="FL37" s="174"/>
      <c r="FM37" s="174"/>
      <c r="FN37" s="174"/>
      <c r="FO37" s="174"/>
      <c r="FP37" s="174"/>
      <c r="FQ37" s="174"/>
      <c r="FR37" s="221"/>
      <c r="FS37" s="174"/>
      <c r="FT37" s="174"/>
      <c r="FU37" s="174"/>
      <c r="FV37" s="174"/>
      <c r="FW37" s="174"/>
      <c r="FX37" s="174"/>
      <c r="FY37" s="174"/>
      <c r="FZ37" s="174"/>
      <c r="GA37" s="174"/>
      <c r="GB37" s="174"/>
      <c r="GC37" s="174"/>
      <c r="GD37" s="174"/>
      <c r="GE37" s="174"/>
      <c r="GF37" s="174"/>
      <c r="GG37" s="174"/>
      <c r="GH37" s="174"/>
      <c r="GI37" s="174"/>
      <c r="GJ37" s="174"/>
      <c r="GK37" s="174"/>
      <c r="GL37" s="174"/>
      <c r="GM37" s="174"/>
      <c r="GN37" s="174"/>
      <c r="GO37" s="174"/>
      <c r="GP37" s="174"/>
      <c r="GQ37" s="174"/>
      <c r="GR37" s="174"/>
      <c r="GS37" s="174"/>
      <c r="GT37" s="174"/>
      <c r="GU37" s="174"/>
      <c r="GV37" s="174"/>
      <c r="GW37" s="174"/>
      <c r="GX37" s="174"/>
      <c r="GY37" s="174"/>
      <c r="GZ37" s="174"/>
      <c r="HA37" s="174"/>
      <c r="HB37" s="174"/>
      <c r="HC37" s="174"/>
      <c r="HD37" s="174"/>
      <c r="HP37" s="23">
        <f t="shared" si="6"/>
        <v>442</v>
      </c>
      <c r="HQ37" s="23"/>
    </row>
    <row r="38" spans="1:225" s="61" customFormat="1" ht="15.75">
      <c r="A38" s="61" t="s">
        <v>169</v>
      </c>
      <c r="B38" s="62" t="s">
        <v>170</v>
      </c>
      <c r="D38" s="14">
        <v>2</v>
      </c>
      <c r="E38" s="61">
        <v>5</v>
      </c>
      <c r="F38" s="61" t="s">
        <v>150</v>
      </c>
      <c r="G38" s="61" t="s">
        <v>129</v>
      </c>
      <c r="H38" s="64">
        <v>36459</v>
      </c>
      <c r="I38" s="61" t="s">
        <v>111</v>
      </c>
      <c r="J38" s="61" t="s">
        <v>112</v>
      </c>
      <c r="K38" s="62"/>
      <c r="L38" s="61" t="s">
        <v>113</v>
      </c>
      <c r="M38" s="54"/>
      <c r="N38" s="61" t="str">
        <f t="shared" si="39"/>
        <v>23NR</v>
      </c>
      <c r="O38" s="61" t="str">
        <f t="shared" si="40"/>
        <v>23NRBase</v>
      </c>
      <c r="Q38" s="23">
        <f t="shared" si="56"/>
        <v>0</v>
      </c>
      <c r="R38" s="23">
        <f t="shared" si="41"/>
        <v>0</v>
      </c>
      <c r="S38" s="23"/>
      <c r="T38" s="67">
        <v>37147</v>
      </c>
      <c r="U38" s="67"/>
      <c r="V38" s="68">
        <v>0</v>
      </c>
      <c r="W38" s="67">
        <f t="shared" si="45"/>
        <v>0</v>
      </c>
      <c r="X38" s="67">
        <f t="shared" si="47"/>
        <v>0</v>
      </c>
      <c r="Y38" s="67">
        <f t="shared" si="47"/>
        <v>0</v>
      </c>
      <c r="Z38" s="67">
        <f t="shared" si="47"/>
        <v>0</v>
      </c>
      <c r="AA38" s="67">
        <f t="shared" si="47"/>
        <v>0</v>
      </c>
      <c r="AB38" s="67">
        <f t="shared" si="48"/>
        <v>0</v>
      </c>
      <c r="AC38" s="67">
        <f t="shared" si="48"/>
        <v>0</v>
      </c>
      <c r="AD38" s="67">
        <f t="shared" si="48"/>
        <v>0</v>
      </c>
      <c r="AE38" s="67">
        <f t="shared" si="49"/>
        <v>0</v>
      </c>
      <c r="AF38" s="67">
        <f t="shared" si="49"/>
        <v>0</v>
      </c>
      <c r="AG38" s="67">
        <f t="shared" si="49"/>
        <v>0</v>
      </c>
      <c r="AH38" s="67">
        <f t="shared" si="49"/>
        <v>0</v>
      </c>
      <c r="AI38" s="67">
        <f t="shared" si="50"/>
        <v>0</v>
      </c>
      <c r="AJ38" s="67">
        <f t="shared" si="50"/>
        <v>0</v>
      </c>
      <c r="AK38" s="67">
        <f t="shared" si="50"/>
        <v>0</v>
      </c>
      <c r="AL38" s="67">
        <f t="shared" si="51"/>
        <v>0</v>
      </c>
      <c r="AM38" s="67">
        <f t="shared" si="51"/>
        <v>0</v>
      </c>
      <c r="AN38" s="67">
        <f t="shared" si="51"/>
        <v>0</v>
      </c>
      <c r="AO38" s="67">
        <f t="shared" si="51"/>
        <v>0</v>
      </c>
      <c r="AP38" s="67">
        <f t="shared" si="52"/>
        <v>0</v>
      </c>
      <c r="AQ38" s="67">
        <f t="shared" si="52"/>
        <v>0</v>
      </c>
      <c r="AR38" s="67">
        <f t="shared" si="52"/>
        <v>0</v>
      </c>
      <c r="AS38" s="67">
        <f t="shared" si="53"/>
        <v>0</v>
      </c>
      <c r="AT38" s="67">
        <f t="shared" si="53"/>
        <v>0</v>
      </c>
      <c r="AU38" s="67">
        <f t="shared" si="53"/>
        <v>0</v>
      </c>
      <c r="AV38" s="67">
        <f t="shared" si="53"/>
        <v>0</v>
      </c>
      <c r="AW38" s="67">
        <f t="shared" si="54"/>
        <v>0</v>
      </c>
      <c r="AX38" s="67">
        <f t="shared" si="54"/>
        <v>0</v>
      </c>
      <c r="AY38" s="67">
        <f t="shared" si="55"/>
        <v>0</v>
      </c>
      <c r="AZ38" s="67"/>
      <c r="BA38" s="67"/>
      <c r="BB38" s="67">
        <f t="shared" si="57"/>
        <v>0</v>
      </c>
      <c r="BC38" s="67">
        <f t="shared" si="58"/>
        <v>0</v>
      </c>
      <c r="BD38" s="137">
        <f t="shared" si="10"/>
        <v>0</v>
      </c>
      <c r="BE38" s="67"/>
      <c r="BF38" s="23"/>
      <c r="BO38" s="69"/>
      <c r="BP38" s="61">
        <v>3339</v>
      </c>
      <c r="FH38" s="174"/>
      <c r="FI38" s="174"/>
      <c r="FJ38" s="174"/>
      <c r="FK38" s="174"/>
      <c r="FL38" s="174"/>
      <c r="FM38" s="174"/>
      <c r="FN38" s="174"/>
      <c r="FO38" s="174"/>
      <c r="FP38" s="174"/>
      <c r="FQ38" s="174"/>
      <c r="FR38" s="221"/>
      <c r="FS38" s="174"/>
      <c r="FT38" s="174"/>
      <c r="FU38" s="174"/>
      <c r="FV38" s="174"/>
      <c r="FW38" s="174"/>
      <c r="FX38" s="174"/>
      <c r="FY38" s="174"/>
      <c r="FZ38" s="174"/>
      <c r="GA38" s="174"/>
      <c r="GB38" s="174"/>
      <c r="GC38" s="174"/>
      <c r="GD38" s="174"/>
      <c r="GE38" s="174"/>
      <c r="GF38" s="174"/>
      <c r="GG38" s="174"/>
      <c r="GH38" s="174"/>
      <c r="GI38" s="174"/>
      <c r="GJ38" s="174"/>
      <c r="GK38" s="174"/>
      <c r="GL38" s="174"/>
      <c r="GM38" s="174"/>
      <c r="GN38" s="174"/>
      <c r="GO38" s="174"/>
      <c r="GP38" s="174"/>
      <c r="GQ38" s="174"/>
      <c r="GR38" s="174"/>
      <c r="GS38" s="174"/>
      <c r="GT38" s="174"/>
      <c r="GU38" s="174"/>
      <c r="GV38" s="174"/>
      <c r="GW38" s="174"/>
      <c r="GX38" s="174"/>
      <c r="GY38" s="174"/>
      <c r="GZ38" s="174"/>
      <c r="HA38" s="174"/>
      <c r="HB38" s="174"/>
      <c r="HC38" s="174"/>
      <c r="HD38" s="174"/>
      <c r="HP38" s="23">
        <f t="shared" si="6"/>
        <v>3339</v>
      </c>
      <c r="HQ38" s="23"/>
    </row>
    <row r="39" spans="1:225" s="61" customFormat="1" ht="15.75">
      <c r="A39" s="61" t="s">
        <v>169</v>
      </c>
      <c r="B39" s="62" t="s">
        <v>170</v>
      </c>
      <c r="D39" s="14">
        <v>7</v>
      </c>
      <c r="E39" s="61">
        <v>5</v>
      </c>
      <c r="F39" s="61" t="s">
        <v>150</v>
      </c>
      <c r="G39" s="61" t="s">
        <v>129</v>
      </c>
      <c r="H39" s="64">
        <v>36459</v>
      </c>
      <c r="I39" s="61" t="s">
        <v>111</v>
      </c>
      <c r="J39" s="61" t="s">
        <v>112</v>
      </c>
      <c r="K39" s="62"/>
      <c r="L39" s="61" t="s">
        <v>113</v>
      </c>
      <c r="M39" s="54"/>
      <c r="N39" s="61" t="str">
        <f t="shared" si="39"/>
        <v>23NR</v>
      </c>
      <c r="O39" s="61" t="str">
        <f t="shared" si="40"/>
        <v>23NRBase</v>
      </c>
      <c r="Q39" s="23">
        <f t="shared" si="56"/>
        <v>0</v>
      </c>
      <c r="R39" s="23">
        <f t="shared" si="41"/>
        <v>0</v>
      </c>
      <c r="S39" s="23"/>
      <c r="T39" s="67">
        <v>37147</v>
      </c>
      <c r="U39" s="67"/>
      <c r="V39" s="68">
        <v>0</v>
      </c>
      <c r="W39" s="67">
        <f t="shared" si="45"/>
        <v>0</v>
      </c>
      <c r="X39" s="67">
        <f t="shared" si="47"/>
        <v>0</v>
      </c>
      <c r="Y39" s="67">
        <f t="shared" si="47"/>
        <v>0</v>
      </c>
      <c r="Z39" s="67">
        <f t="shared" si="47"/>
        <v>0</v>
      </c>
      <c r="AA39" s="67">
        <f t="shared" si="47"/>
        <v>0</v>
      </c>
      <c r="AB39" s="67">
        <f t="shared" si="48"/>
        <v>0</v>
      </c>
      <c r="AC39" s="67">
        <f t="shared" si="48"/>
        <v>0</v>
      </c>
      <c r="AD39" s="67">
        <f t="shared" si="48"/>
        <v>0</v>
      </c>
      <c r="AE39" s="67">
        <f t="shared" si="49"/>
        <v>0</v>
      </c>
      <c r="AF39" s="67">
        <f t="shared" si="49"/>
        <v>0</v>
      </c>
      <c r="AG39" s="67">
        <f t="shared" si="49"/>
        <v>0</v>
      </c>
      <c r="AH39" s="67">
        <f t="shared" si="49"/>
        <v>0</v>
      </c>
      <c r="AI39" s="67">
        <f t="shared" si="50"/>
        <v>0</v>
      </c>
      <c r="AJ39" s="67">
        <f t="shared" si="50"/>
        <v>0</v>
      </c>
      <c r="AK39" s="67">
        <f t="shared" si="50"/>
        <v>0</v>
      </c>
      <c r="AL39" s="67">
        <f t="shared" si="51"/>
        <v>0</v>
      </c>
      <c r="AM39" s="67">
        <f t="shared" si="51"/>
        <v>0</v>
      </c>
      <c r="AN39" s="67">
        <f t="shared" si="51"/>
        <v>0</v>
      </c>
      <c r="AO39" s="67">
        <f t="shared" si="51"/>
        <v>0</v>
      </c>
      <c r="AP39" s="67">
        <f t="shared" si="52"/>
        <v>0</v>
      </c>
      <c r="AQ39" s="67">
        <f t="shared" si="52"/>
        <v>0</v>
      </c>
      <c r="AR39" s="67">
        <f t="shared" si="52"/>
        <v>0</v>
      </c>
      <c r="AS39" s="67">
        <f t="shared" si="53"/>
        <v>0</v>
      </c>
      <c r="AT39" s="67">
        <f t="shared" si="53"/>
        <v>0</v>
      </c>
      <c r="AU39" s="67">
        <f t="shared" si="53"/>
        <v>0</v>
      </c>
      <c r="AV39" s="67">
        <f t="shared" si="53"/>
        <v>0</v>
      </c>
      <c r="AW39" s="67">
        <f t="shared" si="54"/>
        <v>0</v>
      </c>
      <c r="AX39" s="67">
        <f t="shared" si="54"/>
        <v>0</v>
      </c>
      <c r="AY39" s="67">
        <f t="shared" si="55"/>
        <v>0</v>
      </c>
      <c r="AZ39" s="67"/>
      <c r="BA39" s="67"/>
      <c r="BB39" s="67">
        <f t="shared" si="57"/>
        <v>0</v>
      </c>
      <c r="BC39" s="67">
        <f t="shared" si="58"/>
        <v>0</v>
      </c>
      <c r="BD39" s="137">
        <f t="shared" si="10"/>
        <v>0</v>
      </c>
      <c r="BE39" s="67"/>
      <c r="BF39" s="23"/>
      <c r="BN39" s="61">
        <v>1321</v>
      </c>
      <c r="BO39" s="69"/>
      <c r="FR39" s="217"/>
      <c r="HP39" s="23">
        <f t="shared" si="6"/>
        <v>1321</v>
      </c>
      <c r="HQ39" s="23"/>
    </row>
    <row r="40" spans="1:225" s="61" customFormat="1" ht="15.75">
      <c r="A40" s="61" t="s">
        <v>173</v>
      </c>
      <c r="B40" s="62">
        <v>18</v>
      </c>
      <c r="D40" s="14">
        <v>11</v>
      </c>
      <c r="E40" s="61">
        <v>6</v>
      </c>
      <c r="F40" s="61" t="s">
        <v>115</v>
      </c>
      <c r="G40" s="61" t="s">
        <v>348</v>
      </c>
      <c r="H40" s="64">
        <v>36336</v>
      </c>
      <c r="I40" s="61" t="s">
        <v>111</v>
      </c>
      <c r="J40" s="61" t="s">
        <v>112</v>
      </c>
      <c r="K40" s="62"/>
      <c r="L40" s="61" t="s">
        <v>113</v>
      </c>
      <c r="M40" s="66"/>
      <c r="N40" s="61" t="str">
        <f t="shared" si="39"/>
        <v>18R</v>
      </c>
      <c r="O40" s="61" t="str">
        <f t="shared" si="40"/>
        <v>18RBase</v>
      </c>
      <c r="Q40" s="23">
        <f t="shared" si="56"/>
        <v>0</v>
      </c>
      <c r="R40" s="23">
        <f t="shared" si="41"/>
        <v>0</v>
      </c>
      <c r="S40" s="23"/>
      <c r="T40" s="67">
        <v>37147</v>
      </c>
      <c r="U40" s="67"/>
      <c r="V40" s="68">
        <v>0</v>
      </c>
      <c r="W40" s="67">
        <f t="shared" ref="W40:W57" si="59">V40</f>
        <v>0</v>
      </c>
      <c r="X40" s="67">
        <f t="shared" si="47"/>
        <v>0</v>
      </c>
      <c r="Y40" s="67">
        <f t="shared" si="47"/>
        <v>0</v>
      </c>
      <c r="Z40" s="67">
        <f t="shared" si="47"/>
        <v>0</v>
      </c>
      <c r="AA40" s="67">
        <f t="shared" si="47"/>
        <v>0</v>
      </c>
      <c r="AB40" s="67">
        <f t="shared" si="48"/>
        <v>0</v>
      </c>
      <c r="AC40" s="67">
        <f t="shared" si="48"/>
        <v>0</v>
      </c>
      <c r="AD40" s="67">
        <f t="shared" si="48"/>
        <v>0</v>
      </c>
      <c r="AE40" s="67">
        <f t="shared" si="49"/>
        <v>0</v>
      </c>
      <c r="AF40" s="67">
        <f t="shared" si="49"/>
        <v>0</v>
      </c>
      <c r="AG40" s="67">
        <f t="shared" si="49"/>
        <v>0</v>
      </c>
      <c r="AH40" s="67">
        <f t="shared" si="49"/>
        <v>0</v>
      </c>
      <c r="AI40" s="67">
        <f t="shared" si="50"/>
        <v>0</v>
      </c>
      <c r="AJ40" s="67">
        <f t="shared" si="50"/>
        <v>0</v>
      </c>
      <c r="AK40" s="67">
        <f t="shared" si="50"/>
        <v>0</v>
      </c>
      <c r="AL40" s="67">
        <f t="shared" si="51"/>
        <v>0</v>
      </c>
      <c r="AM40" s="67">
        <f t="shared" si="51"/>
        <v>0</v>
      </c>
      <c r="AN40" s="67">
        <f t="shared" si="51"/>
        <v>0</v>
      </c>
      <c r="AO40" s="67">
        <f t="shared" si="51"/>
        <v>0</v>
      </c>
      <c r="AP40" s="67">
        <f t="shared" si="52"/>
        <v>0</v>
      </c>
      <c r="AQ40" s="67">
        <f t="shared" si="52"/>
        <v>0</v>
      </c>
      <c r="AR40" s="67">
        <f t="shared" si="52"/>
        <v>0</v>
      </c>
      <c r="AS40" s="67">
        <f t="shared" si="53"/>
        <v>0</v>
      </c>
      <c r="AT40" s="67">
        <f t="shared" si="53"/>
        <v>0</v>
      </c>
      <c r="AU40" s="67">
        <f t="shared" si="53"/>
        <v>0</v>
      </c>
      <c r="AV40" s="67">
        <f t="shared" si="53"/>
        <v>0</v>
      </c>
      <c r="AW40" s="67">
        <f t="shared" si="54"/>
        <v>0</v>
      </c>
      <c r="AX40" s="67">
        <f t="shared" si="54"/>
        <v>0</v>
      </c>
      <c r="AY40" s="67">
        <f t="shared" si="55"/>
        <v>0</v>
      </c>
      <c r="AZ40" s="67"/>
      <c r="BA40" s="67"/>
      <c r="BB40" s="67">
        <f t="shared" si="57"/>
        <v>0</v>
      </c>
      <c r="BC40" s="67">
        <f t="shared" si="58"/>
        <v>0</v>
      </c>
      <c r="BD40" s="137">
        <f t="shared" si="10"/>
        <v>0</v>
      </c>
      <c r="BE40" s="67"/>
      <c r="BF40" s="23"/>
      <c r="BO40" s="69"/>
      <c r="CM40" s="61" t="s">
        <v>327</v>
      </c>
      <c r="FR40" s="217"/>
      <c r="HP40" s="23">
        <f t="shared" ref="HP40:HP71" si="60">SUM(BG40:HO40)-V40</f>
        <v>0</v>
      </c>
      <c r="HQ40" s="23"/>
    </row>
    <row r="41" spans="1:225" s="61" customFormat="1" ht="15.75">
      <c r="A41" s="61" t="s">
        <v>173</v>
      </c>
      <c r="B41" s="62">
        <v>18</v>
      </c>
      <c r="D41" s="14">
        <v>12</v>
      </c>
      <c r="E41" s="61">
        <v>6</v>
      </c>
      <c r="F41" s="61" t="s">
        <v>115</v>
      </c>
      <c r="G41" s="61" t="s">
        <v>348</v>
      </c>
      <c r="H41" s="64">
        <v>36336</v>
      </c>
      <c r="I41" s="61" t="s">
        <v>111</v>
      </c>
      <c r="J41" s="61" t="s">
        <v>112</v>
      </c>
      <c r="K41" s="62"/>
      <c r="L41" s="61" t="s">
        <v>113</v>
      </c>
      <c r="M41" s="66"/>
      <c r="N41" s="61" t="str">
        <f t="shared" si="39"/>
        <v>18R</v>
      </c>
      <c r="O41" s="61" t="str">
        <f t="shared" si="40"/>
        <v>18RBase</v>
      </c>
      <c r="Q41" s="23">
        <f t="shared" si="56"/>
        <v>0</v>
      </c>
      <c r="R41" s="23">
        <f t="shared" si="41"/>
        <v>0</v>
      </c>
      <c r="S41" s="23"/>
      <c r="T41" s="67">
        <v>37147</v>
      </c>
      <c r="U41" s="67"/>
      <c r="V41" s="68">
        <v>0</v>
      </c>
      <c r="W41" s="67">
        <f t="shared" si="59"/>
        <v>0</v>
      </c>
      <c r="X41" s="67">
        <f t="shared" si="47"/>
        <v>0</v>
      </c>
      <c r="Y41" s="67">
        <f t="shared" si="47"/>
        <v>0</v>
      </c>
      <c r="Z41" s="67">
        <f t="shared" si="47"/>
        <v>0</v>
      </c>
      <c r="AA41" s="67">
        <f t="shared" si="47"/>
        <v>0</v>
      </c>
      <c r="AB41" s="67">
        <f t="shared" si="48"/>
        <v>0</v>
      </c>
      <c r="AC41" s="67">
        <f t="shared" si="48"/>
        <v>0</v>
      </c>
      <c r="AD41" s="67">
        <f t="shared" si="48"/>
        <v>0</v>
      </c>
      <c r="AE41" s="67">
        <f t="shared" si="49"/>
        <v>0</v>
      </c>
      <c r="AF41" s="67">
        <f t="shared" si="49"/>
        <v>0</v>
      </c>
      <c r="AG41" s="67">
        <f t="shared" si="49"/>
        <v>0</v>
      </c>
      <c r="AH41" s="67">
        <f t="shared" si="49"/>
        <v>0</v>
      </c>
      <c r="AI41" s="67">
        <f t="shared" si="50"/>
        <v>0</v>
      </c>
      <c r="AJ41" s="67">
        <f t="shared" si="50"/>
        <v>0</v>
      </c>
      <c r="AK41" s="67">
        <f t="shared" si="50"/>
        <v>0</v>
      </c>
      <c r="AL41" s="67">
        <f t="shared" si="51"/>
        <v>0</v>
      </c>
      <c r="AM41" s="67">
        <f t="shared" si="51"/>
        <v>0</v>
      </c>
      <c r="AN41" s="67">
        <f t="shared" si="51"/>
        <v>0</v>
      </c>
      <c r="AO41" s="67">
        <f t="shared" si="51"/>
        <v>0</v>
      </c>
      <c r="AP41" s="67">
        <f t="shared" si="52"/>
        <v>0</v>
      </c>
      <c r="AQ41" s="67">
        <f t="shared" si="52"/>
        <v>0</v>
      </c>
      <c r="AR41" s="67">
        <f t="shared" si="52"/>
        <v>0</v>
      </c>
      <c r="AS41" s="67">
        <f t="shared" si="53"/>
        <v>0</v>
      </c>
      <c r="AT41" s="67">
        <f t="shared" si="53"/>
        <v>0</v>
      </c>
      <c r="AU41" s="67">
        <f t="shared" si="53"/>
        <v>0</v>
      </c>
      <c r="AV41" s="67">
        <f t="shared" si="53"/>
        <v>0</v>
      </c>
      <c r="AW41" s="67">
        <f t="shared" si="54"/>
        <v>0</v>
      </c>
      <c r="AX41" s="67">
        <f t="shared" si="54"/>
        <v>0</v>
      </c>
      <c r="AY41" s="67">
        <f t="shared" si="55"/>
        <v>0</v>
      </c>
      <c r="AZ41" s="67"/>
      <c r="BA41" s="67"/>
      <c r="BB41" s="67">
        <f t="shared" si="57"/>
        <v>0</v>
      </c>
      <c r="BC41" s="67">
        <f t="shared" si="58"/>
        <v>0</v>
      </c>
      <c r="BD41" s="137">
        <f t="shared" si="10"/>
        <v>0</v>
      </c>
      <c r="BE41" s="67"/>
      <c r="BF41" s="23"/>
      <c r="BO41" s="69"/>
      <c r="CM41" s="61" t="s">
        <v>322</v>
      </c>
      <c r="FR41" s="217"/>
      <c r="HP41" s="23">
        <f t="shared" si="60"/>
        <v>0</v>
      </c>
      <c r="HQ41" s="23"/>
    </row>
    <row r="42" spans="1:225" s="61" customFormat="1" ht="15.75">
      <c r="A42" s="61" t="s">
        <v>173</v>
      </c>
      <c r="B42" s="62">
        <v>18</v>
      </c>
      <c r="D42" s="14">
        <v>12</v>
      </c>
      <c r="E42" s="61">
        <v>6</v>
      </c>
      <c r="F42" s="61" t="s">
        <v>174</v>
      </c>
      <c r="G42" s="61" t="s">
        <v>179</v>
      </c>
      <c r="H42" s="64">
        <v>36434</v>
      </c>
      <c r="I42" s="61" t="s">
        <v>111</v>
      </c>
      <c r="J42" s="61" t="s">
        <v>122</v>
      </c>
      <c r="K42" s="62"/>
      <c r="L42" s="61" t="s">
        <v>113</v>
      </c>
      <c r="N42" s="61" t="str">
        <f t="shared" si="39"/>
        <v>18W</v>
      </c>
      <c r="O42" s="61" t="str">
        <f t="shared" si="40"/>
        <v>18WBase</v>
      </c>
      <c r="Q42" s="23">
        <f t="shared" si="56"/>
        <v>0</v>
      </c>
      <c r="R42" s="23">
        <f t="shared" si="41"/>
        <v>0</v>
      </c>
      <c r="S42" s="23"/>
      <c r="T42" s="67">
        <v>37147</v>
      </c>
      <c r="U42" s="67"/>
      <c r="V42" s="68">
        <v>0</v>
      </c>
      <c r="W42" s="67">
        <f t="shared" si="59"/>
        <v>0</v>
      </c>
      <c r="X42" s="67">
        <f t="shared" si="47"/>
        <v>0</v>
      </c>
      <c r="Y42" s="67">
        <f t="shared" si="47"/>
        <v>0</v>
      </c>
      <c r="Z42" s="67">
        <f t="shared" si="47"/>
        <v>0</v>
      </c>
      <c r="AA42" s="67">
        <f t="shared" si="47"/>
        <v>0</v>
      </c>
      <c r="AB42" s="67">
        <f t="shared" si="48"/>
        <v>0</v>
      </c>
      <c r="AC42" s="67">
        <f t="shared" si="48"/>
        <v>0</v>
      </c>
      <c r="AD42" s="67">
        <f t="shared" si="48"/>
        <v>0</v>
      </c>
      <c r="AE42" s="67">
        <f t="shared" si="49"/>
        <v>0</v>
      </c>
      <c r="AF42" s="67">
        <f t="shared" si="49"/>
        <v>0</v>
      </c>
      <c r="AG42" s="67">
        <f t="shared" si="49"/>
        <v>0</v>
      </c>
      <c r="AH42" s="67">
        <f t="shared" si="49"/>
        <v>0</v>
      </c>
      <c r="AI42" s="67">
        <f t="shared" si="50"/>
        <v>0</v>
      </c>
      <c r="AJ42" s="67">
        <f t="shared" si="50"/>
        <v>0</v>
      </c>
      <c r="AK42" s="67">
        <f t="shared" si="50"/>
        <v>0</v>
      </c>
      <c r="AL42" s="67">
        <f t="shared" si="51"/>
        <v>0</v>
      </c>
      <c r="AM42" s="67">
        <f t="shared" si="51"/>
        <v>0</v>
      </c>
      <c r="AN42" s="67">
        <f t="shared" si="51"/>
        <v>0</v>
      </c>
      <c r="AO42" s="67">
        <f t="shared" si="51"/>
        <v>0</v>
      </c>
      <c r="AP42" s="67">
        <f t="shared" si="52"/>
        <v>0</v>
      </c>
      <c r="AQ42" s="67">
        <f t="shared" si="52"/>
        <v>0</v>
      </c>
      <c r="AR42" s="67">
        <f t="shared" si="52"/>
        <v>0</v>
      </c>
      <c r="AS42" s="67">
        <f t="shared" si="53"/>
        <v>0</v>
      </c>
      <c r="AT42" s="67">
        <f t="shared" si="53"/>
        <v>0</v>
      </c>
      <c r="AU42" s="67">
        <f t="shared" si="53"/>
        <v>0</v>
      </c>
      <c r="AV42" s="67">
        <f t="shared" si="53"/>
        <v>0</v>
      </c>
      <c r="AW42" s="67">
        <f t="shared" si="54"/>
        <v>0</v>
      </c>
      <c r="AX42" s="67">
        <f t="shared" si="54"/>
        <v>0</v>
      </c>
      <c r="AY42" s="67">
        <f t="shared" si="55"/>
        <v>0</v>
      </c>
      <c r="AZ42" s="67"/>
      <c r="BA42" s="67"/>
      <c r="BB42" s="67">
        <f t="shared" si="57"/>
        <v>0</v>
      </c>
      <c r="BC42" s="67">
        <f t="shared" si="58"/>
        <v>0</v>
      </c>
      <c r="BD42" s="137">
        <f t="shared" si="10"/>
        <v>0</v>
      </c>
      <c r="BE42" s="67"/>
      <c r="BF42" s="23"/>
      <c r="BO42" s="69"/>
      <c r="CM42" s="61" t="s">
        <v>323</v>
      </c>
      <c r="DX42" s="61">
        <v>110</v>
      </c>
      <c r="FR42" s="217"/>
      <c r="HP42" s="23">
        <f t="shared" si="60"/>
        <v>110</v>
      </c>
      <c r="HQ42" s="23"/>
    </row>
    <row r="43" spans="1:225" s="61" customFormat="1" ht="15.75">
      <c r="A43" s="61" t="s">
        <v>175</v>
      </c>
      <c r="B43" s="62">
        <v>73</v>
      </c>
      <c r="D43" s="14">
        <v>10</v>
      </c>
      <c r="E43" s="61">
        <v>6</v>
      </c>
      <c r="F43" s="210" t="s">
        <v>365</v>
      </c>
      <c r="G43" s="61" t="s">
        <v>168</v>
      </c>
      <c r="H43" s="64">
        <v>36521</v>
      </c>
      <c r="I43" s="61" t="s">
        <v>111</v>
      </c>
      <c r="J43" s="61" t="s">
        <v>112</v>
      </c>
      <c r="K43" s="62"/>
      <c r="L43" s="61" t="s">
        <v>113</v>
      </c>
      <c r="M43" s="54"/>
      <c r="N43" s="61" t="str">
        <f t="shared" si="39"/>
        <v>73R</v>
      </c>
      <c r="O43" s="61" t="str">
        <f t="shared" si="40"/>
        <v>73RBase</v>
      </c>
      <c r="Q43" s="23">
        <f t="shared" si="56"/>
        <v>0</v>
      </c>
      <c r="R43" s="23">
        <f t="shared" si="41"/>
        <v>0</v>
      </c>
      <c r="S43" s="23"/>
      <c r="T43" s="67">
        <v>37147</v>
      </c>
      <c r="U43" s="67"/>
      <c r="V43" s="68">
        <v>0</v>
      </c>
      <c r="W43" s="67">
        <f t="shared" si="59"/>
        <v>0</v>
      </c>
      <c r="X43" s="67">
        <f t="shared" si="47"/>
        <v>0</v>
      </c>
      <c r="Y43" s="67">
        <f t="shared" si="47"/>
        <v>0</v>
      </c>
      <c r="Z43" s="67">
        <f t="shared" si="47"/>
        <v>0</v>
      </c>
      <c r="AA43" s="67">
        <f t="shared" si="47"/>
        <v>0</v>
      </c>
      <c r="AB43" s="67">
        <f t="shared" si="48"/>
        <v>0</v>
      </c>
      <c r="AC43" s="67">
        <f t="shared" si="48"/>
        <v>0</v>
      </c>
      <c r="AD43" s="67">
        <f t="shared" si="48"/>
        <v>0</v>
      </c>
      <c r="AE43" s="67">
        <f t="shared" si="49"/>
        <v>0</v>
      </c>
      <c r="AF43" s="67">
        <f t="shared" si="49"/>
        <v>0</v>
      </c>
      <c r="AG43" s="67">
        <f t="shared" si="49"/>
        <v>0</v>
      </c>
      <c r="AH43" s="67">
        <f t="shared" si="49"/>
        <v>0</v>
      </c>
      <c r="AI43" s="67">
        <f t="shared" si="50"/>
        <v>0</v>
      </c>
      <c r="AJ43" s="67">
        <f t="shared" si="50"/>
        <v>0</v>
      </c>
      <c r="AK43" s="67">
        <f t="shared" si="50"/>
        <v>0</v>
      </c>
      <c r="AL43" s="67">
        <f t="shared" si="51"/>
        <v>0</v>
      </c>
      <c r="AM43" s="67">
        <f t="shared" si="51"/>
        <v>0</v>
      </c>
      <c r="AN43" s="67">
        <f t="shared" si="51"/>
        <v>0</v>
      </c>
      <c r="AO43" s="67">
        <f t="shared" si="51"/>
        <v>0</v>
      </c>
      <c r="AP43" s="67">
        <f t="shared" si="52"/>
        <v>0</v>
      </c>
      <c r="AQ43" s="67">
        <f t="shared" si="52"/>
        <v>0</v>
      </c>
      <c r="AR43" s="67">
        <f t="shared" si="52"/>
        <v>0</v>
      </c>
      <c r="AS43" s="67">
        <f t="shared" si="53"/>
        <v>0</v>
      </c>
      <c r="AT43" s="67">
        <f t="shared" si="53"/>
        <v>0</v>
      </c>
      <c r="AU43" s="67">
        <f t="shared" si="53"/>
        <v>0</v>
      </c>
      <c r="AV43" s="67">
        <f t="shared" si="53"/>
        <v>0</v>
      </c>
      <c r="AW43" s="67">
        <f t="shared" si="54"/>
        <v>0</v>
      </c>
      <c r="AX43" s="67">
        <f t="shared" si="54"/>
        <v>0</v>
      </c>
      <c r="AY43" s="67">
        <f t="shared" si="55"/>
        <v>0</v>
      </c>
      <c r="AZ43" s="67"/>
      <c r="BA43" s="67"/>
      <c r="BB43" s="67">
        <f t="shared" si="57"/>
        <v>0</v>
      </c>
      <c r="BC43" s="67">
        <f t="shared" si="58"/>
        <v>0</v>
      </c>
      <c r="BD43" s="137">
        <f t="shared" si="10"/>
        <v>0</v>
      </c>
      <c r="BE43" s="67"/>
      <c r="BF43" s="23"/>
      <c r="BO43" s="69"/>
      <c r="FR43" s="217"/>
      <c r="HP43" s="23">
        <f t="shared" si="60"/>
        <v>0</v>
      </c>
      <c r="HQ43" s="23"/>
    </row>
    <row r="44" spans="1:225" s="61" customFormat="1" ht="15.75">
      <c r="A44" s="61" t="s">
        <v>176</v>
      </c>
      <c r="B44" s="62">
        <v>23</v>
      </c>
      <c r="D44" s="14">
        <v>1</v>
      </c>
      <c r="E44" s="61">
        <v>7</v>
      </c>
      <c r="F44" s="61" t="s">
        <v>365</v>
      </c>
      <c r="G44" s="61" t="s">
        <v>129</v>
      </c>
      <c r="H44" s="64">
        <v>36459</v>
      </c>
      <c r="I44" s="61" t="s">
        <v>111</v>
      </c>
      <c r="J44" s="61" t="s">
        <v>112</v>
      </c>
      <c r="K44" s="62"/>
      <c r="L44" s="61" t="s">
        <v>113</v>
      </c>
      <c r="M44" s="54"/>
      <c r="N44" s="61" t="str">
        <f t="shared" si="39"/>
        <v>23R</v>
      </c>
      <c r="O44" s="61" t="str">
        <f t="shared" si="40"/>
        <v>23RBase</v>
      </c>
      <c r="Q44" s="23">
        <f t="shared" si="56"/>
        <v>0</v>
      </c>
      <c r="R44" s="23">
        <f t="shared" si="41"/>
        <v>0</v>
      </c>
      <c r="S44" s="23"/>
      <c r="T44" s="67">
        <v>37147</v>
      </c>
      <c r="U44" s="67"/>
      <c r="V44" s="68">
        <v>0</v>
      </c>
      <c r="W44" s="67">
        <f t="shared" si="59"/>
        <v>0</v>
      </c>
      <c r="X44" s="67">
        <f t="shared" si="47"/>
        <v>0</v>
      </c>
      <c r="Y44" s="67">
        <f t="shared" si="47"/>
        <v>0</v>
      </c>
      <c r="Z44" s="67">
        <f t="shared" si="47"/>
        <v>0</v>
      </c>
      <c r="AA44" s="67">
        <f t="shared" si="47"/>
        <v>0</v>
      </c>
      <c r="AB44" s="67">
        <f t="shared" si="48"/>
        <v>0</v>
      </c>
      <c r="AC44" s="67">
        <f t="shared" si="48"/>
        <v>0</v>
      </c>
      <c r="AD44" s="67">
        <f t="shared" si="48"/>
        <v>0</v>
      </c>
      <c r="AE44" s="67">
        <f t="shared" si="49"/>
        <v>0</v>
      </c>
      <c r="AF44" s="67">
        <f t="shared" si="49"/>
        <v>0</v>
      </c>
      <c r="AG44" s="67">
        <f t="shared" si="49"/>
        <v>0</v>
      </c>
      <c r="AH44" s="67">
        <f t="shared" si="49"/>
        <v>0</v>
      </c>
      <c r="AI44" s="67">
        <f t="shared" si="50"/>
        <v>0</v>
      </c>
      <c r="AJ44" s="67">
        <f t="shared" si="50"/>
        <v>0</v>
      </c>
      <c r="AK44" s="67">
        <f t="shared" si="50"/>
        <v>0</v>
      </c>
      <c r="AL44" s="67">
        <f t="shared" si="51"/>
        <v>0</v>
      </c>
      <c r="AM44" s="67">
        <f t="shared" si="51"/>
        <v>0</v>
      </c>
      <c r="AN44" s="67">
        <f t="shared" si="51"/>
        <v>0</v>
      </c>
      <c r="AO44" s="67">
        <f t="shared" si="51"/>
        <v>0</v>
      </c>
      <c r="AP44" s="67">
        <f t="shared" si="52"/>
        <v>0</v>
      </c>
      <c r="AQ44" s="67">
        <f t="shared" si="52"/>
        <v>0</v>
      </c>
      <c r="AR44" s="67">
        <f t="shared" si="52"/>
        <v>0</v>
      </c>
      <c r="AS44" s="67">
        <f t="shared" si="53"/>
        <v>0</v>
      </c>
      <c r="AT44" s="67">
        <f t="shared" si="53"/>
        <v>0</v>
      </c>
      <c r="AU44" s="67">
        <f t="shared" si="53"/>
        <v>0</v>
      </c>
      <c r="AV44" s="67">
        <f t="shared" si="53"/>
        <v>0</v>
      </c>
      <c r="AW44" s="67">
        <f t="shared" si="54"/>
        <v>0</v>
      </c>
      <c r="AX44" s="67">
        <f t="shared" si="54"/>
        <v>0</v>
      </c>
      <c r="AY44" s="67">
        <f t="shared" si="55"/>
        <v>0</v>
      </c>
      <c r="AZ44" s="67"/>
      <c r="BA44" s="67"/>
      <c r="BB44" s="67">
        <f t="shared" si="57"/>
        <v>0</v>
      </c>
      <c r="BC44" s="67">
        <f t="shared" si="58"/>
        <v>0</v>
      </c>
      <c r="BD44" s="137">
        <f t="shared" si="10"/>
        <v>0</v>
      </c>
      <c r="BE44" s="67"/>
      <c r="BF44" s="23"/>
      <c r="BO44" s="69" t="s">
        <v>334</v>
      </c>
      <c r="BQ44" s="61" t="s">
        <v>336</v>
      </c>
      <c r="BU44" s="61" t="s">
        <v>310</v>
      </c>
      <c r="EN44" s="61">
        <v>2078</v>
      </c>
      <c r="EO44" s="61" t="s">
        <v>377</v>
      </c>
      <c r="FR44" s="217"/>
      <c r="HP44" s="23">
        <f t="shared" si="60"/>
        <v>2078</v>
      </c>
      <c r="HQ44" s="23"/>
    </row>
    <row r="45" spans="1:225" s="61" customFormat="1" ht="15.75">
      <c r="A45" s="61" t="s">
        <v>176</v>
      </c>
      <c r="B45" s="62">
        <v>23</v>
      </c>
      <c r="D45" s="14">
        <v>3</v>
      </c>
      <c r="E45" s="61">
        <v>7</v>
      </c>
      <c r="F45" s="61" t="s">
        <v>365</v>
      </c>
      <c r="G45" s="61" t="s">
        <v>129</v>
      </c>
      <c r="H45" s="64">
        <v>36459</v>
      </c>
      <c r="I45" s="93" t="s">
        <v>177</v>
      </c>
      <c r="J45" s="61" t="s">
        <v>112</v>
      </c>
      <c r="K45" s="62"/>
      <c r="L45" s="61" t="s">
        <v>113</v>
      </c>
      <c r="N45" s="61" t="str">
        <f t="shared" si="39"/>
        <v>23R</v>
      </c>
      <c r="O45" s="61" t="str">
        <f t="shared" si="40"/>
        <v>23RSwing</v>
      </c>
      <c r="Q45" s="23">
        <f t="shared" si="56"/>
        <v>0</v>
      </c>
      <c r="R45" s="23">
        <f t="shared" si="41"/>
        <v>0</v>
      </c>
      <c r="S45" s="23"/>
      <c r="T45" s="67">
        <v>37147</v>
      </c>
      <c r="U45" s="67"/>
      <c r="V45" s="68">
        <v>0</v>
      </c>
      <c r="W45" s="67">
        <f t="shared" si="59"/>
        <v>0</v>
      </c>
      <c r="X45" s="67">
        <f t="shared" si="47"/>
        <v>0</v>
      </c>
      <c r="Y45" s="67">
        <f t="shared" si="47"/>
        <v>0</v>
      </c>
      <c r="Z45" s="67">
        <f t="shared" si="47"/>
        <v>0</v>
      </c>
      <c r="AA45" s="67">
        <f t="shared" si="47"/>
        <v>0</v>
      </c>
      <c r="AB45" s="67">
        <f t="shared" si="48"/>
        <v>0</v>
      </c>
      <c r="AC45" s="67">
        <f t="shared" si="48"/>
        <v>0</v>
      </c>
      <c r="AD45" s="67">
        <f t="shared" si="48"/>
        <v>0</v>
      </c>
      <c r="AE45" s="67">
        <f t="shared" si="49"/>
        <v>0</v>
      </c>
      <c r="AF45" s="67">
        <f t="shared" si="49"/>
        <v>0</v>
      </c>
      <c r="AG45" s="67">
        <f t="shared" si="49"/>
        <v>0</v>
      </c>
      <c r="AH45" s="67">
        <f t="shared" si="49"/>
        <v>0</v>
      </c>
      <c r="AI45" s="67">
        <f t="shared" si="50"/>
        <v>0</v>
      </c>
      <c r="AJ45" s="67">
        <f t="shared" si="50"/>
        <v>0</v>
      </c>
      <c r="AK45" s="67">
        <f t="shared" si="50"/>
        <v>0</v>
      </c>
      <c r="AL45" s="67">
        <f t="shared" si="51"/>
        <v>0</v>
      </c>
      <c r="AM45" s="67">
        <f t="shared" si="51"/>
        <v>0</v>
      </c>
      <c r="AN45" s="67">
        <f t="shared" si="51"/>
        <v>0</v>
      </c>
      <c r="AO45" s="67">
        <f t="shared" si="51"/>
        <v>0</v>
      </c>
      <c r="AP45" s="67">
        <f t="shared" si="52"/>
        <v>0</v>
      </c>
      <c r="AQ45" s="67">
        <f t="shared" si="52"/>
        <v>0</v>
      </c>
      <c r="AR45" s="67">
        <f t="shared" si="52"/>
        <v>0</v>
      </c>
      <c r="AS45" s="67">
        <f t="shared" ref="AS45:AX45" si="61">AR45</f>
        <v>0</v>
      </c>
      <c r="AT45" s="67">
        <f t="shared" si="61"/>
        <v>0</v>
      </c>
      <c r="AU45" s="67">
        <f t="shared" si="61"/>
        <v>0</v>
      </c>
      <c r="AV45" s="67">
        <f t="shared" si="61"/>
        <v>0</v>
      </c>
      <c r="AW45" s="67">
        <f t="shared" si="61"/>
        <v>0</v>
      </c>
      <c r="AX45" s="67">
        <f t="shared" si="61"/>
        <v>0</v>
      </c>
      <c r="AY45" s="67">
        <f t="shared" si="55"/>
        <v>0</v>
      </c>
      <c r="AZ45" s="67"/>
      <c r="BA45" s="67"/>
      <c r="BB45" s="67">
        <f t="shared" si="57"/>
        <v>0</v>
      </c>
      <c r="BC45" s="67">
        <f t="shared" si="58"/>
        <v>0</v>
      </c>
      <c r="BD45" s="137">
        <f t="shared" si="10"/>
        <v>0</v>
      </c>
      <c r="BE45" s="67"/>
      <c r="BF45" s="23"/>
      <c r="BO45" s="69"/>
      <c r="BQ45" s="61" t="s">
        <v>337</v>
      </c>
      <c r="EN45" s="61">
        <v>377</v>
      </c>
      <c r="EO45" s="61" t="s">
        <v>378</v>
      </c>
      <c r="FR45" s="217"/>
      <c r="HP45" s="23">
        <f t="shared" si="60"/>
        <v>377</v>
      </c>
      <c r="HQ45" s="23"/>
    </row>
    <row r="46" spans="1:225" s="61" customFormat="1" ht="15.75">
      <c r="A46" s="61" t="s">
        <v>176</v>
      </c>
      <c r="B46" s="62">
        <v>23</v>
      </c>
      <c r="D46" s="14">
        <v>4</v>
      </c>
      <c r="E46" s="61">
        <v>7</v>
      </c>
      <c r="F46" s="61" t="s">
        <v>365</v>
      </c>
      <c r="G46" s="61" t="s">
        <v>129</v>
      </c>
      <c r="H46" s="64">
        <v>36459</v>
      </c>
      <c r="I46" s="61" t="s">
        <v>111</v>
      </c>
      <c r="J46" s="61" t="s">
        <v>112</v>
      </c>
      <c r="K46" s="62"/>
      <c r="L46" s="61" t="s">
        <v>113</v>
      </c>
      <c r="N46" s="61" t="str">
        <f t="shared" si="39"/>
        <v>23R</v>
      </c>
      <c r="O46" s="61" t="str">
        <f t="shared" si="40"/>
        <v>23RBase</v>
      </c>
      <c r="Q46" s="23">
        <f t="shared" si="56"/>
        <v>0</v>
      </c>
      <c r="R46" s="23">
        <f t="shared" si="41"/>
        <v>0</v>
      </c>
      <c r="S46" s="23"/>
      <c r="T46" s="67">
        <v>37147</v>
      </c>
      <c r="U46" s="67"/>
      <c r="V46" s="68">
        <v>0</v>
      </c>
      <c r="W46" s="67">
        <f t="shared" si="59"/>
        <v>0</v>
      </c>
      <c r="X46" s="67">
        <f t="shared" si="47"/>
        <v>0</v>
      </c>
      <c r="Y46" s="67">
        <f t="shared" si="47"/>
        <v>0</v>
      </c>
      <c r="Z46" s="67">
        <f t="shared" si="47"/>
        <v>0</v>
      </c>
      <c r="AA46" s="67">
        <f t="shared" si="47"/>
        <v>0</v>
      </c>
      <c r="AB46" s="67">
        <f t="shared" ref="AB46:AD57" si="62">AA46</f>
        <v>0</v>
      </c>
      <c r="AC46" s="67">
        <f t="shared" si="62"/>
        <v>0</v>
      </c>
      <c r="AD46" s="67">
        <f t="shared" si="62"/>
        <v>0</v>
      </c>
      <c r="AE46" s="67">
        <f t="shared" si="49"/>
        <v>0</v>
      </c>
      <c r="AF46" s="67">
        <f t="shared" si="49"/>
        <v>0</v>
      </c>
      <c r="AG46" s="67">
        <f t="shared" si="49"/>
        <v>0</v>
      </c>
      <c r="AH46" s="67">
        <f t="shared" si="49"/>
        <v>0</v>
      </c>
      <c r="AI46" s="67">
        <f t="shared" ref="AI46:AK57" si="63">AH46</f>
        <v>0</v>
      </c>
      <c r="AJ46" s="67">
        <f t="shared" si="63"/>
        <v>0</v>
      </c>
      <c r="AK46" s="67">
        <f t="shared" si="63"/>
        <v>0</v>
      </c>
      <c r="AL46" s="67">
        <f t="shared" si="51"/>
        <v>0</v>
      </c>
      <c r="AM46" s="67">
        <f t="shared" si="51"/>
        <v>0</v>
      </c>
      <c r="AN46" s="67">
        <f t="shared" si="51"/>
        <v>0</v>
      </c>
      <c r="AO46" s="67">
        <f t="shared" si="51"/>
        <v>0</v>
      </c>
      <c r="AP46" s="67">
        <f t="shared" ref="AP46:AR57" si="64">AO46</f>
        <v>0</v>
      </c>
      <c r="AQ46" s="67">
        <f t="shared" si="64"/>
        <v>0</v>
      </c>
      <c r="AR46" s="67">
        <f t="shared" si="64"/>
        <v>0</v>
      </c>
      <c r="AS46" s="67">
        <f t="shared" ref="AS46:AT57" si="65">AR46</f>
        <v>0</v>
      </c>
      <c r="AT46" s="67">
        <f t="shared" si="65"/>
        <v>0</v>
      </c>
      <c r="AU46" s="67">
        <f t="shared" ref="AU46:AU57" si="66">AT46</f>
        <v>0</v>
      </c>
      <c r="AV46" s="67">
        <f t="shared" ref="AV46:AV57" si="67">AU46</f>
        <v>0</v>
      </c>
      <c r="AW46" s="67">
        <f t="shared" ref="AW46:AX57" si="68">AV46</f>
        <v>0</v>
      </c>
      <c r="AX46" s="67">
        <f t="shared" si="68"/>
        <v>0</v>
      </c>
      <c r="AY46" s="67">
        <f t="shared" si="55"/>
        <v>0</v>
      </c>
      <c r="AZ46" s="67"/>
      <c r="BA46" s="67"/>
      <c r="BB46" s="67">
        <f t="shared" si="57"/>
        <v>0</v>
      </c>
      <c r="BC46" s="67">
        <f t="shared" si="58"/>
        <v>0</v>
      </c>
      <c r="BD46" s="137">
        <f t="shared" si="10"/>
        <v>0</v>
      </c>
      <c r="BE46" s="67"/>
      <c r="BF46" s="23"/>
      <c r="BO46" s="69"/>
      <c r="BQ46" s="61" t="s">
        <v>338</v>
      </c>
      <c r="BS46" s="61" t="s">
        <v>191</v>
      </c>
      <c r="BU46" s="61" t="s">
        <v>340</v>
      </c>
      <c r="EN46" s="61">
        <v>1059</v>
      </c>
      <c r="EO46" s="61" t="s">
        <v>379</v>
      </c>
      <c r="FR46" s="217"/>
      <c r="HP46" s="23">
        <f t="shared" si="60"/>
        <v>1059</v>
      </c>
      <c r="HQ46" s="23"/>
    </row>
    <row r="47" spans="1:225" s="61" customFormat="1" ht="15.75">
      <c r="A47" s="61" t="s">
        <v>176</v>
      </c>
      <c r="B47" s="62">
        <v>23</v>
      </c>
      <c r="D47" s="14">
        <v>5</v>
      </c>
      <c r="E47" s="61">
        <v>7</v>
      </c>
      <c r="F47" s="61" t="s">
        <v>365</v>
      </c>
      <c r="G47" s="61" t="s">
        <v>129</v>
      </c>
      <c r="H47" s="64">
        <v>36459</v>
      </c>
      <c r="I47" s="61" t="s">
        <v>111</v>
      </c>
      <c r="J47" s="61" t="s">
        <v>112</v>
      </c>
      <c r="K47" s="62"/>
      <c r="L47" s="61" t="s">
        <v>113</v>
      </c>
      <c r="M47" s="54"/>
      <c r="N47" s="61" t="str">
        <f t="shared" si="39"/>
        <v>23R</v>
      </c>
      <c r="O47" s="61" t="str">
        <f t="shared" si="40"/>
        <v>23RBase</v>
      </c>
      <c r="Q47" s="23">
        <f t="shared" si="56"/>
        <v>0</v>
      </c>
      <c r="R47" s="23">
        <f t="shared" si="41"/>
        <v>0</v>
      </c>
      <c r="S47" s="23"/>
      <c r="T47" s="67">
        <v>37147</v>
      </c>
      <c r="U47" s="67"/>
      <c r="V47" s="68">
        <v>0</v>
      </c>
      <c r="W47" s="67">
        <f t="shared" si="59"/>
        <v>0</v>
      </c>
      <c r="X47" s="67">
        <f t="shared" ref="X47:AA57" si="69">W47</f>
        <v>0</v>
      </c>
      <c r="Y47" s="67">
        <f t="shared" si="69"/>
        <v>0</v>
      </c>
      <c r="Z47" s="67">
        <f t="shared" si="69"/>
        <v>0</v>
      </c>
      <c r="AA47" s="67">
        <f t="shared" si="69"/>
        <v>0</v>
      </c>
      <c r="AB47" s="67">
        <f t="shared" si="62"/>
        <v>0</v>
      </c>
      <c r="AC47" s="67">
        <f t="shared" si="62"/>
        <v>0</v>
      </c>
      <c r="AD47" s="67">
        <f t="shared" si="62"/>
        <v>0</v>
      </c>
      <c r="AE47" s="67">
        <f t="shared" ref="AE47:AH57" si="70">AD47</f>
        <v>0</v>
      </c>
      <c r="AF47" s="67">
        <f t="shared" si="70"/>
        <v>0</v>
      </c>
      <c r="AG47" s="67">
        <f t="shared" si="70"/>
        <v>0</v>
      </c>
      <c r="AH47" s="67">
        <f t="shared" si="70"/>
        <v>0</v>
      </c>
      <c r="AI47" s="67">
        <f t="shared" si="63"/>
        <v>0</v>
      </c>
      <c r="AJ47" s="67">
        <f t="shared" si="63"/>
        <v>0</v>
      </c>
      <c r="AK47" s="67">
        <f t="shared" si="63"/>
        <v>0</v>
      </c>
      <c r="AL47" s="67">
        <f t="shared" ref="AL47:AO57" si="71">AK47</f>
        <v>0</v>
      </c>
      <c r="AM47" s="67">
        <f t="shared" si="71"/>
        <v>0</v>
      </c>
      <c r="AN47" s="67">
        <f t="shared" si="71"/>
        <v>0</v>
      </c>
      <c r="AO47" s="67">
        <f t="shared" si="71"/>
        <v>0</v>
      </c>
      <c r="AP47" s="67">
        <f t="shared" si="64"/>
        <v>0</v>
      </c>
      <c r="AQ47" s="67">
        <f t="shared" si="64"/>
        <v>0</v>
      </c>
      <c r="AR47" s="67">
        <f t="shared" si="64"/>
        <v>0</v>
      </c>
      <c r="AS47" s="67">
        <f t="shared" si="65"/>
        <v>0</v>
      </c>
      <c r="AT47" s="67">
        <f t="shared" si="65"/>
        <v>0</v>
      </c>
      <c r="AU47" s="67">
        <f t="shared" si="66"/>
        <v>0</v>
      </c>
      <c r="AV47" s="67">
        <f t="shared" si="67"/>
        <v>0</v>
      </c>
      <c r="AW47" s="67">
        <f t="shared" si="68"/>
        <v>0</v>
      </c>
      <c r="AX47" s="67">
        <f t="shared" si="68"/>
        <v>0</v>
      </c>
      <c r="AY47" s="67">
        <f t="shared" si="55"/>
        <v>0</v>
      </c>
      <c r="AZ47" s="67"/>
      <c r="BA47" s="67"/>
      <c r="BB47" s="67">
        <f t="shared" si="57"/>
        <v>0</v>
      </c>
      <c r="BC47" s="67">
        <f t="shared" si="58"/>
        <v>0</v>
      </c>
      <c r="BD47" s="137">
        <f t="shared" si="10"/>
        <v>0</v>
      </c>
      <c r="BE47" s="67"/>
      <c r="BF47" s="23"/>
      <c r="BO47" s="69"/>
      <c r="BQ47" s="61" t="s">
        <v>339</v>
      </c>
      <c r="EN47" s="61">
        <v>1904</v>
      </c>
      <c r="EO47" s="61" t="s">
        <v>342</v>
      </c>
      <c r="EU47" s="61" t="s">
        <v>163</v>
      </c>
      <c r="FR47" s="217"/>
      <c r="HP47" s="23">
        <f t="shared" si="60"/>
        <v>1904</v>
      </c>
      <c r="HQ47" s="23"/>
    </row>
    <row r="48" spans="1:225" s="61" customFormat="1" ht="15.75">
      <c r="A48" s="61" t="s">
        <v>176</v>
      </c>
      <c r="B48" s="62">
        <v>23</v>
      </c>
      <c r="D48" s="14">
        <v>6</v>
      </c>
      <c r="E48" s="61">
        <v>7</v>
      </c>
      <c r="F48" s="61" t="s">
        <v>365</v>
      </c>
      <c r="G48" s="61" t="s">
        <v>129</v>
      </c>
      <c r="H48" s="64">
        <v>36459</v>
      </c>
      <c r="I48" s="61" t="s">
        <v>111</v>
      </c>
      <c r="J48" s="61" t="s">
        <v>112</v>
      </c>
      <c r="K48" s="62"/>
      <c r="L48" s="61" t="s">
        <v>113</v>
      </c>
      <c r="M48" s="54"/>
      <c r="N48" s="61" t="str">
        <f t="shared" si="39"/>
        <v>23R</v>
      </c>
      <c r="O48" s="61" t="str">
        <f t="shared" si="40"/>
        <v>23RBase</v>
      </c>
      <c r="Q48" s="23">
        <f t="shared" si="56"/>
        <v>0</v>
      </c>
      <c r="R48" s="23">
        <f t="shared" si="41"/>
        <v>0</v>
      </c>
      <c r="S48" s="23"/>
      <c r="T48" s="67">
        <v>37147</v>
      </c>
      <c r="U48" s="67"/>
      <c r="V48" s="68">
        <v>0</v>
      </c>
      <c r="W48" s="67">
        <f t="shared" si="59"/>
        <v>0</v>
      </c>
      <c r="X48" s="67">
        <f t="shared" si="69"/>
        <v>0</v>
      </c>
      <c r="Y48" s="67">
        <f t="shared" si="69"/>
        <v>0</v>
      </c>
      <c r="Z48" s="67">
        <f t="shared" si="69"/>
        <v>0</v>
      </c>
      <c r="AA48" s="67">
        <f t="shared" si="69"/>
        <v>0</v>
      </c>
      <c r="AB48" s="67">
        <f t="shared" si="62"/>
        <v>0</v>
      </c>
      <c r="AC48" s="67">
        <f t="shared" si="62"/>
        <v>0</v>
      </c>
      <c r="AD48" s="67">
        <f t="shared" si="62"/>
        <v>0</v>
      </c>
      <c r="AE48" s="67">
        <f t="shared" si="70"/>
        <v>0</v>
      </c>
      <c r="AF48" s="67">
        <f t="shared" si="70"/>
        <v>0</v>
      </c>
      <c r="AG48" s="67">
        <f t="shared" si="70"/>
        <v>0</v>
      </c>
      <c r="AH48" s="67">
        <f t="shared" si="70"/>
        <v>0</v>
      </c>
      <c r="AI48" s="67">
        <f t="shared" si="63"/>
        <v>0</v>
      </c>
      <c r="AJ48" s="67">
        <f t="shared" si="63"/>
        <v>0</v>
      </c>
      <c r="AK48" s="67">
        <f t="shared" si="63"/>
        <v>0</v>
      </c>
      <c r="AL48" s="67">
        <f t="shared" si="71"/>
        <v>0</v>
      </c>
      <c r="AM48" s="67">
        <f t="shared" si="71"/>
        <v>0</v>
      </c>
      <c r="AN48" s="67">
        <f t="shared" si="71"/>
        <v>0</v>
      </c>
      <c r="AO48" s="67">
        <f t="shared" si="71"/>
        <v>0</v>
      </c>
      <c r="AP48" s="67">
        <f t="shared" si="64"/>
        <v>0</v>
      </c>
      <c r="AQ48" s="67">
        <f t="shared" si="64"/>
        <v>0</v>
      </c>
      <c r="AR48" s="67">
        <f t="shared" si="64"/>
        <v>0</v>
      </c>
      <c r="AS48" s="67">
        <f t="shared" si="65"/>
        <v>0</v>
      </c>
      <c r="AT48" s="67">
        <f t="shared" si="65"/>
        <v>0</v>
      </c>
      <c r="AU48" s="67">
        <f t="shared" si="66"/>
        <v>0</v>
      </c>
      <c r="AV48" s="67">
        <f t="shared" si="67"/>
        <v>0</v>
      </c>
      <c r="AW48" s="67">
        <f t="shared" si="68"/>
        <v>0</v>
      </c>
      <c r="AX48" s="67">
        <f t="shared" si="68"/>
        <v>0</v>
      </c>
      <c r="AY48" s="67">
        <f t="shared" si="55"/>
        <v>0</v>
      </c>
      <c r="AZ48" s="67"/>
      <c r="BA48" s="67"/>
      <c r="BB48" s="67">
        <f t="shared" si="57"/>
        <v>0</v>
      </c>
      <c r="BC48" s="67">
        <f t="shared" si="58"/>
        <v>0</v>
      </c>
      <c r="BD48" s="137">
        <f t="shared" si="10"/>
        <v>0</v>
      </c>
      <c r="BE48" s="67"/>
      <c r="BF48" s="23"/>
      <c r="BO48" s="69" t="s">
        <v>288</v>
      </c>
      <c r="EN48" s="61">
        <v>163</v>
      </c>
      <c r="EO48" s="61" t="s">
        <v>343</v>
      </c>
      <c r="FR48" s="217"/>
      <c r="HP48" s="23">
        <f t="shared" si="60"/>
        <v>163</v>
      </c>
      <c r="HQ48" s="23"/>
    </row>
    <row r="49" spans="1:225" s="61" customFormat="1" ht="15.75">
      <c r="A49" s="61" t="s">
        <v>176</v>
      </c>
      <c r="B49" s="62">
        <v>23</v>
      </c>
      <c r="D49" s="14">
        <v>8</v>
      </c>
      <c r="E49" s="61">
        <v>7</v>
      </c>
      <c r="F49" s="61" t="s">
        <v>365</v>
      </c>
      <c r="G49" s="61" t="s">
        <v>129</v>
      </c>
      <c r="H49" s="64">
        <v>36459</v>
      </c>
      <c r="I49" s="61" t="s">
        <v>111</v>
      </c>
      <c r="J49" s="61" t="s">
        <v>112</v>
      </c>
      <c r="K49" s="62"/>
      <c r="L49" s="61" t="s">
        <v>113</v>
      </c>
      <c r="M49" s="54"/>
      <c r="N49" s="61" t="str">
        <f t="shared" si="39"/>
        <v>23R</v>
      </c>
      <c r="O49" s="61" t="str">
        <f t="shared" si="40"/>
        <v>23RBase</v>
      </c>
      <c r="Q49" s="23">
        <f t="shared" si="56"/>
        <v>0</v>
      </c>
      <c r="R49" s="23">
        <f t="shared" si="41"/>
        <v>0</v>
      </c>
      <c r="S49" s="23"/>
      <c r="T49" s="67">
        <v>37147</v>
      </c>
      <c r="U49" s="67"/>
      <c r="V49" s="68">
        <v>0</v>
      </c>
      <c r="W49" s="67">
        <f t="shared" si="59"/>
        <v>0</v>
      </c>
      <c r="X49" s="67">
        <f t="shared" si="69"/>
        <v>0</v>
      </c>
      <c r="Y49" s="67">
        <f t="shared" si="69"/>
        <v>0</v>
      </c>
      <c r="Z49" s="67">
        <f t="shared" si="69"/>
        <v>0</v>
      </c>
      <c r="AA49" s="67">
        <f t="shared" si="69"/>
        <v>0</v>
      </c>
      <c r="AB49" s="67">
        <f t="shared" si="62"/>
        <v>0</v>
      </c>
      <c r="AC49" s="67">
        <f t="shared" si="62"/>
        <v>0</v>
      </c>
      <c r="AD49" s="67">
        <f t="shared" si="62"/>
        <v>0</v>
      </c>
      <c r="AE49" s="67">
        <f t="shared" si="70"/>
        <v>0</v>
      </c>
      <c r="AF49" s="67">
        <f t="shared" si="70"/>
        <v>0</v>
      </c>
      <c r="AG49" s="67">
        <f t="shared" si="70"/>
        <v>0</v>
      </c>
      <c r="AH49" s="67">
        <f t="shared" si="70"/>
        <v>0</v>
      </c>
      <c r="AI49" s="67">
        <f t="shared" si="63"/>
        <v>0</v>
      </c>
      <c r="AJ49" s="67">
        <f t="shared" si="63"/>
        <v>0</v>
      </c>
      <c r="AK49" s="67">
        <f t="shared" si="63"/>
        <v>0</v>
      </c>
      <c r="AL49" s="67">
        <f t="shared" si="71"/>
        <v>0</v>
      </c>
      <c r="AM49" s="67">
        <f t="shared" si="71"/>
        <v>0</v>
      </c>
      <c r="AN49" s="67">
        <f t="shared" si="71"/>
        <v>0</v>
      </c>
      <c r="AO49" s="67">
        <f t="shared" si="71"/>
        <v>0</v>
      </c>
      <c r="AP49" s="67">
        <f t="shared" si="64"/>
        <v>0</v>
      </c>
      <c r="AQ49" s="67">
        <f t="shared" si="64"/>
        <v>0</v>
      </c>
      <c r="AR49" s="67">
        <f t="shared" si="64"/>
        <v>0</v>
      </c>
      <c r="AS49" s="67">
        <f t="shared" si="65"/>
        <v>0</v>
      </c>
      <c r="AT49" s="67">
        <f t="shared" si="65"/>
        <v>0</v>
      </c>
      <c r="AU49" s="67">
        <f t="shared" si="66"/>
        <v>0</v>
      </c>
      <c r="AV49" s="67">
        <f t="shared" si="67"/>
        <v>0</v>
      </c>
      <c r="AW49" s="67">
        <f t="shared" si="68"/>
        <v>0</v>
      </c>
      <c r="AX49" s="67">
        <f t="shared" si="68"/>
        <v>0</v>
      </c>
      <c r="AY49" s="67">
        <f t="shared" si="55"/>
        <v>0</v>
      </c>
      <c r="AZ49" s="67"/>
      <c r="BA49" s="67"/>
      <c r="BB49" s="67">
        <f t="shared" si="57"/>
        <v>0</v>
      </c>
      <c r="BC49" s="67">
        <f t="shared" si="58"/>
        <v>0</v>
      </c>
      <c r="BD49" s="137">
        <f t="shared" si="10"/>
        <v>0</v>
      </c>
      <c r="BE49" s="67"/>
      <c r="BF49" s="23"/>
      <c r="BO49" s="69" t="s">
        <v>289</v>
      </c>
      <c r="EN49" s="61">
        <v>1201</v>
      </c>
      <c r="EO49" s="61" t="s">
        <v>344</v>
      </c>
      <c r="FR49" s="217"/>
      <c r="HP49" s="23">
        <f t="shared" si="60"/>
        <v>1201</v>
      </c>
      <c r="HQ49" s="23"/>
    </row>
    <row r="50" spans="1:225" s="61" customFormat="1" ht="15.75">
      <c r="A50" s="61" t="s">
        <v>176</v>
      </c>
      <c r="B50" s="62">
        <v>23</v>
      </c>
      <c r="D50" s="14">
        <v>9</v>
      </c>
      <c r="E50" s="61">
        <v>7</v>
      </c>
      <c r="F50" s="61" t="s">
        <v>365</v>
      </c>
      <c r="G50" s="61" t="s">
        <v>129</v>
      </c>
      <c r="H50" s="64">
        <v>36459</v>
      </c>
      <c r="I50" s="61" t="s">
        <v>111</v>
      </c>
      <c r="J50" s="61" t="s">
        <v>112</v>
      </c>
      <c r="K50" s="62"/>
      <c r="L50" s="61" t="s">
        <v>113</v>
      </c>
      <c r="N50" s="61" t="str">
        <f t="shared" si="39"/>
        <v>23R</v>
      </c>
      <c r="O50" s="61" t="str">
        <f t="shared" si="40"/>
        <v>23RBase</v>
      </c>
      <c r="Q50" s="23">
        <f t="shared" si="56"/>
        <v>0</v>
      </c>
      <c r="R50" s="23">
        <f t="shared" si="41"/>
        <v>0</v>
      </c>
      <c r="S50" s="23"/>
      <c r="T50" s="67">
        <v>37147</v>
      </c>
      <c r="U50" s="67"/>
      <c r="V50" s="68">
        <v>0</v>
      </c>
      <c r="W50" s="67">
        <f t="shared" si="59"/>
        <v>0</v>
      </c>
      <c r="X50" s="67">
        <f t="shared" si="69"/>
        <v>0</v>
      </c>
      <c r="Y50" s="67">
        <f t="shared" si="69"/>
        <v>0</v>
      </c>
      <c r="Z50" s="67">
        <f t="shared" si="69"/>
        <v>0</v>
      </c>
      <c r="AA50" s="67">
        <f t="shared" si="69"/>
        <v>0</v>
      </c>
      <c r="AB50" s="67">
        <f t="shared" si="62"/>
        <v>0</v>
      </c>
      <c r="AC50" s="67">
        <f t="shared" si="62"/>
        <v>0</v>
      </c>
      <c r="AD50" s="67">
        <f t="shared" si="62"/>
        <v>0</v>
      </c>
      <c r="AE50" s="67">
        <f t="shared" si="70"/>
        <v>0</v>
      </c>
      <c r="AF50" s="67">
        <f t="shared" si="70"/>
        <v>0</v>
      </c>
      <c r="AG50" s="67">
        <f t="shared" si="70"/>
        <v>0</v>
      </c>
      <c r="AH50" s="67">
        <f t="shared" si="70"/>
        <v>0</v>
      </c>
      <c r="AI50" s="67">
        <f t="shared" si="63"/>
        <v>0</v>
      </c>
      <c r="AJ50" s="67">
        <f t="shared" si="63"/>
        <v>0</v>
      </c>
      <c r="AK50" s="67">
        <f t="shared" si="63"/>
        <v>0</v>
      </c>
      <c r="AL50" s="67">
        <f t="shared" si="71"/>
        <v>0</v>
      </c>
      <c r="AM50" s="67">
        <f t="shared" si="71"/>
        <v>0</v>
      </c>
      <c r="AN50" s="67">
        <f t="shared" si="71"/>
        <v>0</v>
      </c>
      <c r="AO50" s="67">
        <f t="shared" si="71"/>
        <v>0</v>
      </c>
      <c r="AP50" s="67">
        <f t="shared" si="64"/>
        <v>0</v>
      </c>
      <c r="AQ50" s="67">
        <f t="shared" si="64"/>
        <v>0</v>
      </c>
      <c r="AR50" s="67">
        <f t="shared" si="64"/>
        <v>0</v>
      </c>
      <c r="AS50" s="67">
        <f t="shared" si="65"/>
        <v>0</v>
      </c>
      <c r="AT50" s="67">
        <f t="shared" si="65"/>
        <v>0</v>
      </c>
      <c r="AU50" s="67">
        <f t="shared" si="66"/>
        <v>0</v>
      </c>
      <c r="AV50" s="67">
        <f t="shared" si="67"/>
        <v>0</v>
      </c>
      <c r="AW50" s="67">
        <f t="shared" si="68"/>
        <v>0</v>
      </c>
      <c r="AX50" s="67">
        <f t="shared" si="68"/>
        <v>0</v>
      </c>
      <c r="AY50" s="67">
        <f t="shared" ref="AY50:AY57" si="72">AX50</f>
        <v>0</v>
      </c>
      <c r="AZ50" s="67"/>
      <c r="BA50" s="67"/>
      <c r="BB50" s="67">
        <f t="shared" si="57"/>
        <v>0</v>
      </c>
      <c r="BC50" s="67">
        <f t="shared" si="58"/>
        <v>0</v>
      </c>
      <c r="BD50" s="137">
        <f t="shared" si="10"/>
        <v>0</v>
      </c>
      <c r="BE50" s="67"/>
      <c r="BF50" s="23"/>
      <c r="BO50" s="94" t="s">
        <v>290</v>
      </c>
      <c r="BQ50" s="61" t="s">
        <v>291</v>
      </c>
      <c r="BV50" s="61">
        <v>2000</v>
      </c>
      <c r="BW50" s="61" t="s">
        <v>309</v>
      </c>
      <c r="EN50" s="61">
        <v>1012</v>
      </c>
      <c r="EO50" s="61" t="s">
        <v>345</v>
      </c>
      <c r="FR50" s="217"/>
      <c r="HP50" s="23">
        <f t="shared" si="60"/>
        <v>3012</v>
      </c>
      <c r="HQ50" s="23"/>
    </row>
    <row r="51" spans="1:225" s="61" customFormat="1" ht="15.75">
      <c r="A51" s="61" t="s">
        <v>176</v>
      </c>
      <c r="B51" s="62">
        <v>23</v>
      </c>
      <c r="D51" s="14">
        <v>1</v>
      </c>
      <c r="E51" s="61">
        <v>7</v>
      </c>
      <c r="F51" s="61" t="s">
        <v>150</v>
      </c>
      <c r="G51" s="61" t="s">
        <v>129</v>
      </c>
      <c r="H51" s="64">
        <v>36459</v>
      </c>
      <c r="I51" s="61" t="s">
        <v>111</v>
      </c>
      <c r="J51" s="61" t="s">
        <v>112</v>
      </c>
      <c r="K51" s="62"/>
      <c r="L51" s="61" t="s">
        <v>113</v>
      </c>
      <c r="N51" s="61" t="str">
        <f t="shared" si="39"/>
        <v>23R</v>
      </c>
      <c r="O51" s="61" t="str">
        <f t="shared" si="40"/>
        <v>23RBase</v>
      </c>
      <c r="Q51" s="23">
        <f t="shared" si="56"/>
        <v>0</v>
      </c>
      <c r="R51" s="23">
        <f t="shared" si="41"/>
        <v>0</v>
      </c>
      <c r="S51" s="23"/>
      <c r="T51" s="67">
        <v>37147</v>
      </c>
      <c r="U51" s="67"/>
      <c r="V51" s="68">
        <v>0</v>
      </c>
      <c r="W51" s="67">
        <f t="shared" si="59"/>
        <v>0</v>
      </c>
      <c r="X51" s="67">
        <f t="shared" si="69"/>
        <v>0</v>
      </c>
      <c r="Y51" s="67">
        <f t="shared" si="69"/>
        <v>0</v>
      </c>
      <c r="Z51" s="67">
        <f t="shared" si="69"/>
        <v>0</v>
      </c>
      <c r="AA51" s="67">
        <f t="shared" si="69"/>
        <v>0</v>
      </c>
      <c r="AB51" s="67">
        <f t="shared" si="62"/>
        <v>0</v>
      </c>
      <c r="AC51" s="67">
        <f t="shared" si="62"/>
        <v>0</v>
      </c>
      <c r="AD51" s="67">
        <f t="shared" si="62"/>
        <v>0</v>
      </c>
      <c r="AE51" s="67">
        <f t="shared" si="70"/>
        <v>0</v>
      </c>
      <c r="AF51" s="67">
        <f t="shared" si="70"/>
        <v>0</v>
      </c>
      <c r="AG51" s="67">
        <f t="shared" si="70"/>
        <v>0</v>
      </c>
      <c r="AH51" s="67">
        <f t="shared" si="70"/>
        <v>0</v>
      </c>
      <c r="AI51" s="67">
        <f t="shared" si="63"/>
        <v>0</v>
      </c>
      <c r="AJ51" s="67">
        <f t="shared" si="63"/>
        <v>0</v>
      </c>
      <c r="AK51" s="67">
        <f t="shared" si="63"/>
        <v>0</v>
      </c>
      <c r="AL51" s="67">
        <f t="shared" si="71"/>
        <v>0</v>
      </c>
      <c r="AM51" s="67">
        <f t="shared" si="71"/>
        <v>0</v>
      </c>
      <c r="AN51" s="67">
        <f t="shared" si="71"/>
        <v>0</v>
      </c>
      <c r="AO51" s="67">
        <f t="shared" si="71"/>
        <v>0</v>
      </c>
      <c r="AP51" s="67">
        <f t="shared" si="64"/>
        <v>0</v>
      </c>
      <c r="AQ51" s="67">
        <f t="shared" si="64"/>
        <v>0</v>
      </c>
      <c r="AR51" s="67">
        <f t="shared" si="64"/>
        <v>0</v>
      </c>
      <c r="AS51" s="67">
        <f t="shared" si="65"/>
        <v>0</v>
      </c>
      <c r="AT51" s="67">
        <f t="shared" si="65"/>
        <v>0</v>
      </c>
      <c r="AU51" s="67">
        <f t="shared" si="66"/>
        <v>0</v>
      </c>
      <c r="AV51" s="67">
        <f t="shared" si="67"/>
        <v>0</v>
      </c>
      <c r="AW51" s="67">
        <f t="shared" si="68"/>
        <v>0</v>
      </c>
      <c r="AX51" s="67">
        <f t="shared" si="68"/>
        <v>0</v>
      </c>
      <c r="AY51" s="67">
        <f t="shared" si="72"/>
        <v>0</v>
      </c>
      <c r="AZ51" s="67"/>
      <c r="BA51" s="67"/>
      <c r="BB51" s="67">
        <f t="shared" si="57"/>
        <v>0</v>
      </c>
      <c r="BC51" s="67">
        <f t="shared" si="58"/>
        <v>0</v>
      </c>
      <c r="BD51" s="137">
        <f t="shared" si="10"/>
        <v>0</v>
      </c>
      <c r="BE51" s="67"/>
      <c r="BF51" s="23"/>
      <c r="BN51" s="61">
        <v>2000</v>
      </c>
      <c r="BO51" s="69"/>
      <c r="BP51" s="61">
        <v>600</v>
      </c>
      <c r="BR51" s="61">
        <v>339</v>
      </c>
      <c r="BT51" s="61">
        <v>2000</v>
      </c>
      <c r="EN51" s="61">
        <v>509</v>
      </c>
      <c r="EO51" s="61" t="s">
        <v>380</v>
      </c>
      <c r="FR51" s="217"/>
      <c r="HP51" s="23">
        <f t="shared" si="60"/>
        <v>5448</v>
      </c>
      <c r="HQ51" s="23"/>
    </row>
    <row r="52" spans="1:225" s="61" customFormat="1" ht="15.75">
      <c r="A52" s="61" t="s">
        <v>176</v>
      </c>
      <c r="B52" s="62">
        <v>23</v>
      </c>
      <c r="D52" s="14">
        <v>3</v>
      </c>
      <c r="E52" s="61">
        <v>7</v>
      </c>
      <c r="F52" s="61" t="s">
        <v>150</v>
      </c>
      <c r="G52" s="61" t="s">
        <v>129</v>
      </c>
      <c r="H52" s="64">
        <v>36459</v>
      </c>
      <c r="I52" s="61" t="s">
        <v>111</v>
      </c>
      <c r="J52" s="61" t="s">
        <v>112</v>
      </c>
      <c r="K52" s="62"/>
      <c r="L52" s="61" t="s">
        <v>113</v>
      </c>
      <c r="M52" s="54"/>
      <c r="N52" s="61" t="str">
        <f t="shared" ref="N52:N57" si="73">CONCATENATE(B52,J52)</f>
        <v>23R</v>
      </c>
      <c r="O52" s="61" t="str">
        <f t="shared" ref="O52:O57" si="74">CONCATENATE(B52,J52,I52)</f>
        <v>23RBase</v>
      </c>
      <c r="Q52" s="23">
        <f t="shared" si="56"/>
        <v>0</v>
      </c>
      <c r="R52" s="23">
        <f t="shared" ref="R52:R57" si="75">+Q52</f>
        <v>0</v>
      </c>
      <c r="S52" s="23"/>
      <c r="T52" s="67">
        <v>37147</v>
      </c>
      <c r="U52" s="67"/>
      <c r="V52" s="68">
        <v>0</v>
      </c>
      <c r="W52" s="67">
        <f t="shared" si="59"/>
        <v>0</v>
      </c>
      <c r="X52" s="67">
        <f t="shared" si="69"/>
        <v>0</v>
      </c>
      <c r="Y52" s="67">
        <f t="shared" si="69"/>
        <v>0</v>
      </c>
      <c r="Z52" s="67">
        <f t="shared" si="69"/>
        <v>0</v>
      </c>
      <c r="AA52" s="67">
        <f t="shared" si="69"/>
        <v>0</v>
      </c>
      <c r="AB52" s="67">
        <f t="shared" si="62"/>
        <v>0</v>
      </c>
      <c r="AC52" s="67">
        <f t="shared" si="62"/>
        <v>0</v>
      </c>
      <c r="AD52" s="67">
        <f t="shared" si="62"/>
        <v>0</v>
      </c>
      <c r="AE52" s="67">
        <f t="shared" si="70"/>
        <v>0</v>
      </c>
      <c r="AF52" s="67">
        <f t="shared" si="70"/>
        <v>0</v>
      </c>
      <c r="AG52" s="67">
        <f t="shared" si="70"/>
        <v>0</v>
      </c>
      <c r="AH52" s="67">
        <f t="shared" si="70"/>
        <v>0</v>
      </c>
      <c r="AI52" s="67">
        <f t="shared" si="63"/>
        <v>0</v>
      </c>
      <c r="AJ52" s="67">
        <f t="shared" si="63"/>
        <v>0</v>
      </c>
      <c r="AK52" s="67">
        <f t="shared" si="63"/>
        <v>0</v>
      </c>
      <c r="AL52" s="67">
        <f t="shared" si="71"/>
        <v>0</v>
      </c>
      <c r="AM52" s="67">
        <f t="shared" si="71"/>
        <v>0</v>
      </c>
      <c r="AN52" s="67">
        <f t="shared" si="71"/>
        <v>0</v>
      </c>
      <c r="AO52" s="67">
        <f t="shared" si="71"/>
        <v>0</v>
      </c>
      <c r="AP52" s="67">
        <f t="shared" si="64"/>
        <v>0</v>
      </c>
      <c r="AQ52" s="67">
        <f t="shared" si="64"/>
        <v>0</v>
      </c>
      <c r="AR52" s="67">
        <f t="shared" si="64"/>
        <v>0</v>
      </c>
      <c r="AS52" s="67">
        <f t="shared" si="65"/>
        <v>0</v>
      </c>
      <c r="AT52" s="67">
        <f t="shared" si="65"/>
        <v>0</v>
      </c>
      <c r="AU52" s="67">
        <f t="shared" si="66"/>
        <v>0</v>
      </c>
      <c r="AV52" s="67">
        <f t="shared" si="67"/>
        <v>0</v>
      </c>
      <c r="AW52" s="67">
        <f t="shared" si="68"/>
        <v>0</v>
      </c>
      <c r="AX52" s="67">
        <f t="shared" si="68"/>
        <v>0</v>
      </c>
      <c r="AY52" s="67">
        <f t="shared" si="72"/>
        <v>0</v>
      </c>
      <c r="AZ52" s="67"/>
      <c r="BA52" s="67"/>
      <c r="BB52" s="67">
        <f t="shared" si="57"/>
        <v>0</v>
      </c>
      <c r="BC52" s="67">
        <f t="shared" si="58"/>
        <v>0</v>
      </c>
      <c r="BD52" s="137">
        <f t="shared" si="10"/>
        <v>0</v>
      </c>
      <c r="BE52" s="67"/>
      <c r="BF52" s="23"/>
      <c r="BN52" s="61">
        <v>0</v>
      </c>
      <c r="BO52" s="69"/>
      <c r="EN52" s="61">
        <v>804</v>
      </c>
      <c r="EO52" s="61" t="s">
        <v>381</v>
      </c>
      <c r="FR52" s="217"/>
      <c r="HP52" s="23">
        <f t="shared" si="60"/>
        <v>804</v>
      </c>
      <c r="HQ52" s="23"/>
    </row>
    <row r="53" spans="1:225" s="61" customFormat="1" ht="15.75">
      <c r="A53" s="61" t="s">
        <v>176</v>
      </c>
      <c r="B53" s="62">
        <v>23</v>
      </c>
      <c r="D53" s="14">
        <v>4</v>
      </c>
      <c r="E53" s="61">
        <v>7</v>
      </c>
      <c r="F53" s="61" t="s">
        <v>150</v>
      </c>
      <c r="G53" s="61" t="s">
        <v>129</v>
      </c>
      <c r="H53" s="64">
        <v>36459</v>
      </c>
      <c r="I53" s="61" t="s">
        <v>111</v>
      </c>
      <c r="J53" s="61" t="s">
        <v>112</v>
      </c>
      <c r="K53" s="62"/>
      <c r="L53" s="61" t="s">
        <v>113</v>
      </c>
      <c r="M53" s="54"/>
      <c r="N53" s="61" t="str">
        <f t="shared" si="73"/>
        <v>23R</v>
      </c>
      <c r="O53" s="61" t="str">
        <f t="shared" si="74"/>
        <v>23RBase</v>
      </c>
      <c r="Q53" s="23">
        <f t="shared" si="56"/>
        <v>0</v>
      </c>
      <c r="R53" s="23">
        <f t="shared" si="75"/>
        <v>0</v>
      </c>
      <c r="S53" s="23"/>
      <c r="T53" s="67">
        <v>37147</v>
      </c>
      <c r="U53" s="67"/>
      <c r="V53" s="68">
        <v>0</v>
      </c>
      <c r="W53" s="67">
        <f t="shared" si="59"/>
        <v>0</v>
      </c>
      <c r="X53" s="67">
        <f t="shared" si="69"/>
        <v>0</v>
      </c>
      <c r="Y53" s="67">
        <f t="shared" si="69"/>
        <v>0</v>
      </c>
      <c r="Z53" s="67">
        <f t="shared" si="69"/>
        <v>0</v>
      </c>
      <c r="AA53" s="67">
        <f t="shared" si="69"/>
        <v>0</v>
      </c>
      <c r="AB53" s="67">
        <f t="shared" si="62"/>
        <v>0</v>
      </c>
      <c r="AC53" s="67">
        <f t="shared" si="62"/>
        <v>0</v>
      </c>
      <c r="AD53" s="67">
        <f t="shared" si="62"/>
        <v>0</v>
      </c>
      <c r="AE53" s="67">
        <f t="shared" si="70"/>
        <v>0</v>
      </c>
      <c r="AF53" s="67">
        <f t="shared" si="70"/>
        <v>0</v>
      </c>
      <c r="AG53" s="67">
        <f t="shared" si="70"/>
        <v>0</v>
      </c>
      <c r="AH53" s="67">
        <f t="shared" si="70"/>
        <v>0</v>
      </c>
      <c r="AI53" s="67">
        <f t="shared" si="63"/>
        <v>0</v>
      </c>
      <c r="AJ53" s="67">
        <f t="shared" si="63"/>
        <v>0</v>
      </c>
      <c r="AK53" s="67">
        <f t="shared" si="63"/>
        <v>0</v>
      </c>
      <c r="AL53" s="67">
        <f t="shared" si="71"/>
        <v>0</v>
      </c>
      <c r="AM53" s="67">
        <f t="shared" si="71"/>
        <v>0</v>
      </c>
      <c r="AN53" s="67">
        <f t="shared" si="71"/>
        <v>0</v>
      </c>
      <c r="AO53" s="67">
        <f t="shared" si="71"/>
        <v>0</v>
      </c>
      <c r="AP53" s="67">
        <f t="shared" si="64"/>
        <v>0</v>
      </c>
      <c r="AQ53" s="67">
        <f t="shared" si="64"/>
        <v>0</v>
      </c>
      <c r="AR53" s="67">
        <f t="shared" si="64"/>
        <v>0</v>
      </c>
      <c r="AS53" s="67">
        <f t="shared" si="65"/>
        <v>0</v>
      </c>
      <c r="AT53" s="67">
        <f t="shared" si="65"/>
        <v>0</v>
      </c>
      <c r="AU53" s="67">
        <f t="shared" si="66"/>
        <v>0</v>
      </c>
      <c r="AV53" s="67">
        <f t="shared" si="67"/>
        <v>0</v>
      </c>
      <c r="AW53" s="67">
        <f t="shared" si="68"/>
        <v>0</v>
      </c>
      <c r="AX53" s="67">
        <f t="shared" si="68"/>
        <v>0</v>
      </c>
      <c r="AY53" s="67">
        <f t="shared" si="72"/>
        <v>0</v>
      </c>
      <c r="AZ53" s="67"/>
      <c r="BA53" s="67"/>
      <c r="BB53" s="67">
        <f t="shared" si="57"/>
        <v>0</v>
      </c>
      <c r="BC53" s="67">
        <f t="shared" si="58"/>
        <v>0</v>
      </c>
      <c r="BD53" s="137">
        <f t="shared" si="10"/>
        <v>0</v>
      </c>
      <c r="BE53" s="67"/>
      <c r="BF53" s="23"/>
      <c r="BO53" s="69"/>
      <c r="BR53" s="61">
        <v>661</v>
      </c>
      <c r="FR53" s="217"/>
      <c r="HP53" s="23">
        <f t="shared" si="60"/>
        <v>661</v>
      </c>
      <c r="HQ53" s="23"/>
    </row>
    <row r="54" spans="1:225" s="61" customFormat="1" ht="15.75">
      <c r="A54" s="61" t="s">
        <v>176</v>
      </c>
      <c r="B54" s="62">
        <v>23</v>
      </c>
      <c r="D54" s="14">
        <v>5</v>
      </c>
      <c r="E54" s="61">
        <v>7</v>
      </c>
      <c r="F54" s="61" t="s">
        <v>150</v>
      </c>
      <c r="G54" s="61" t="s">
        <v>129</v>
      </c>
      <c r="H54" s="64">
        <v>36459</v>
      </c>
      <c r="I54" s="61" t="s">
        <v>111</v>
      </c>
      <c r="J54" s="61" t="s">
        <v>112</v>
      </c>
      <c r="K54" s="62"/>
      <c r="L54" s="61" t="s">
        <v>113</v>
      </c>
      <c r="M54" s="54"/>
      <c r="N54" s="61" t="str">
        <f t="shared" si="73"/>
        <v>23R</v>
      </c>
      <c r="O54" s="61" t="str">
        <f t="shared" si="74"/>
        <v>23RBase</v>
      </c>
      <c r="Q54" s="23">
        <f t="shared" si="56"/>
        <v>0</v>
      </c>
      <c r="R54" s="23">
        <f t="shared" si="75"/>
        <v>0</v>
      </c>
      <c r="S54" s="23"/>
      <c r="T54" s="67">
        <v>37147</v>
      </c>
      <c r="U54" s="67"/>
      <c r="V54" s="68">
        <v>0</v>
      </c>
      <c r="W54" s="67">
        <f t="shared" si="59"/>
        <v>0</v>
      </c>
      <c r="X54" s="67">
        <f t="shared" si="69"/>
        <v>0</v>
      </c>
      <c r="Y54" s="67">
        <f t="shared" si="69"/>
        <v>0</v>
      </c>
      <c r="Z54" s="67">
        <f t="shared" si="69"/>
        <v>0</v>
      </c>
      <c r="AA54" s="67">
        <f t="shared" si="69"/>
        <v>0</v>
      </c>
      <c r="AB54" s="67">
        <f t="shared" si="62"/>
        <v>0</v>
      </c>
      <c r="AC54" s="67">
        <f t="shared" si="62"/>
        <v>0</v>
      </c>
      <c r="AD54" s="67">
        <f t="shared" si="62"/>
        <v>0</v>
      </c>
      <c r="AE54" s="67">
        <f t="shared" si="70"/>
        <v>0</v>
      </c>
      <c r="AF54" s="67">
        <f t="shared" si="70"/>
        <v>0</v>
      </c>
      <c r="AG54" s="67">
        <f t="shared" si="70"/>
        <v>0</v>
      </c>
      <c r="AH54" s="67">
        <f t="shared" si="70"/>
        <v>0</v>
      </c>
      <c r="AI54" s="67">
        <f t="shared" si="63"/>
        <v>0</v>
      </c>
      <c r="AJ54" s="67">
        <f t="shared" si="63"/>
        <v>0</v>
      </c>
      <c r="AK54" s="67">
        <f t="shared" si="63"/>
        <v>0</v>
      </c>
      <c r="AL54" s="67">
        <f t="shared" si="71"/>
        <v>0</v>
      </c>
      <c r="AM54" s="67">
        <f t="shared" si="71"/>
        <v>0</v>
      </c>
      <c r="AN54" s="67">
        <f t="shared" si="71"/>
        <v>0</v>
      </c>
      <c r="AO54" s="67">
        <f t="shared" si="71"/>
        <v>0</v>
      </c>
      <c r="AP54" s="67">
        <f t="shared" si="64"/>
        <v>0</v>
      </c>
      <c r="AQ54" s="67">
        <f t="shared" si="64"/>
        <v>0</v>
      </c>
      <c r="AR54" s="67">
        <f t="shared" si="64"/>
        <v>0</v>
      </c>
      <c r="AS54" s="67">
        <f t="shared" si="65"/>
        <v>0</v>
      </c>
      <c r="AT54" s="67">
        <f t="shared" si="65"/>
        <v>0</v>
      </c>
      <c r="AU54" s="67">
        <f t="shared" si="66"/>
        <v>0</v>
      </c>
      <c r="AV54" s="67">
        <f t="shared" si="67"/>
        <v>0</v>
      </c>
      <c r="AW54" s="67">
        <f t="shared" si="68"/>
        <v>0</v>
      </c>
      <c r="AX54" s="67">
        <f t="shared" si="68"/>
        <v>0</v>
      </c>
      <c r="AY54" s="67">
        <f t="shared" si="72"/>
        <v>0</v>
      </c>
      <c r="AZ54" s="67"/>
      <c r="BA54" s="67"/>
      <c r="BB54" s="67">
        <f t="shared" si="57"/>
        <v>0</v>
      </c>
      <c r="BC54" s="67">
        <f t="shared" si="58"/>
        <v>0</v>
      </c>
      <c r="BD54" s="137">
        <f t="shared" si="10"/>
        <v>0</v>
      </c>
      <c r="BE54" s="67"/>
      <c r="BF54" s="23"/>
      <c r="BI54" s="61">
        <v>600</v>
      </c>
      <c r="BN54" s="61">
        <v>679</v>
      </c>
      <c r="BO54" s="69"/>
      <c r="BP54" s="61">
        <v>4061</v>
      </c>
      <c r="FR54" s="217"/>
      <c r="HP54" s="23">
        <f t="shared" si="60"/>
        <v>5340</v>
      </c>
      <c r="HQ54" s="23"/>
    </row>
    <row r="55" spans="1:225" s="61" customFormat="1" ht="15.75">
      <c r="A55" s="61" t="s">
        <v>176</v>
      </c>
      <c r="B55" s="62">
        <v>23</v>
      </c>
      <c r="D55" s="14">
        <v>6</v>
      </c>
      <c r="E55" s="61">
        <v>7</v>
      </c>
      <c r="F55" s="61" t="s">
        <v>150</v>
      </c>
      <c r="G55" s="61" t="s">
        <v>129</v>
      </c>
      <c r="H55" s="64">
        <v>36459</v>
      </c>
      <c r="I55" s="61" t="s">
        <v>111</v>
      </c>
      <c r="J55" s="61" t="s">
        <v>112</v>
      </c>
      <c r="K55" s="62"/>
      <c r="L55" s="61" t="s">
        <v>113</v>
      </c>
      <c r="N55" s="61" t="str">
        <f t="shared" si="73"/>
        <v>23R</v>
      </c>
      <c r="O55" s="61" t="str">
        <f t="shared" si="74"/>
        <v>23RBase</v>
      </c>
      <c r="Q55" s="23">
        <f t="shared" si="56"/>
        <v>0</v>
      </c>
      <c r="R55" s="23">
        <f t="shared" si="75"/>
        <v>0</v>
      </c>
      <c r="S55" s="23"/>
      <c r="T55" s="67">
        <v>37147</v>
      </c>
      <c r="U55" s="67"/>
      <c r="V55" s="68">
        <v>0</v>
      </c>
      <c r="W55" s="67">
        <f t="shared" si="59"/>
        <v>0</v>
      </c>
      <c r="X55" s="67">
        <f t="shared" si="69"/>
        <v>0</v>
      </c>
      <c r="Y55" s="67">
        <f t="shared" si="69"/>
        <v>0</v>
      </c>
      <c r="Z55" s="67">
        <f t="shared" si="69"/>
        <v>0</v>
      </c>
      <c r="AA55" s="67">
        <f t="shared" si="69"/>
        <v>0</v>
      </c>
      <c r="AB55" s="67">
        <f t="shared" si="62"/>
        <v>0</v>
      </c>
      <c r="AC55" s="67">
        <f t="shared" si="62"/>
        <v>0</v>
      </c>
      <c r="AD55" s="67">
        <f t="shared" si="62"/>
        <v>0</v>
      </c>
      <c r="AE55" s="67">
        <f t="shared" si="70"/>
        <v>0</v>
      </c>
      <c r="AF55" s="67">
        <f t="shared" si="70"/>
        <v>0</v>
      </c>
      <c r="AG55" s="67">
        <f t="shared" si="70"/>
        <v>0</v>
      </c>
      <c r="AH55" s="67">
        <f t="shared" si="70"/>
        <v>0</v>
      </c>
      <c r="AI55" s="67">
        <f t="shared" si="63"/>
        <v>0</v>
      </c>
      <c r="AJ55" s="67">
        <f t="shared" si="63"/>
        <v>0</v>
      </c>
      <c r="AK55" s="67">
        <f t="shared" si="63"/>
        <v>0</v>
      </c>
      <c r="AL55" s="67">
        <f t="shared" si="71"/>
        <v>0</v>
      </c>
      <c r="AM55" s="67">
        <f t="shared" si="71"/>
        <v>0</v>
      </c>
      <c r="AN55" s="67">
        <f t="shared" si="71"/>
        <v>0</v>
      </c>
      <c r="AO55" s="67">
        <f t="shared" si="71"/>
        <v>0</v>
      </c>
      <c r="AP55" s="67">
        <f t="shared" si="64"/>
        <v>0</v>
      </c>
      <c r="AQ55" s="67">
        <f t="shared" si="64"/>
        <v>0</v>
      </c>
      <c r="AR55" s="67">
        <f t="shared" si="64"/>
        <v>0</v>
      </c>
      <c r="AS55" s="67">
        <f t="shared" si="65"/>
        <v>0</v>
      </c>
      <c r="AT55" s="67">
        <f t="shared" si="65"/>
        <v>0</v>
      </c>
      <c r="AU55" s="67">
        <f t="shared" si="66"/>
        <v>0</v>
      </c>
      <c r="AV55" s="67">
        <f t="shared" si="67"/>
        <v>0</v>
      </c>
      <c r="AW55" s="67">
        <f t="shared" si="68"/>
        <v>0</v>
      </c>
      <c r="AX55" s="67">
        <f t="shared" si="68"/>
        <v>0</v>
      </c>
      <c r="AY55" s="67">
        <f t="shared" si="72"/>
        <v>0</v>
      </c>
      <c r="AZ55" s="67"/>
      <c r="BA55" s="67"/>
      <c r="BB55" s="67">
        <f t="shared" si="57"/>
        <v>0</v>
      </c>
      <c r="BC55" s="67">
        <f t="shared" si="58"/>
        <v>0</v>
      </c>
      <c r="BD55" s="137">
        <f t="shared" si="10"/>
        <v>0</v>
      </c>
      <c r="BE55" s="67"/>
      <c r="BF55" s="23"/>
      <c r="BO55" s="69"/>
      <c r="EN55" s="61">
        <v>861</v>
      </c>
      <c r="EO55" s="61" t="s">
        <v>382</v>
      </c>
      <c r="FR55" s="217"/>
      <c r="HP55" s="23">
        <f t="shared" si="60"/>
        <v>861</v>
      </c>
      <c r="HQ55" s="23"/>
    </row>
    <row r="56" spans="1:225" s="61" customFormat="1" ht="15.75">
      <c r="A56" s="61" t="s">
        <v>176</v>
      </c>
      <c r="B56" s="62">
        <v>23</v>
      </c>
      <c r="D56" s="14">
        <v>8</v>
      </c>
      <c r="E56" s="61">
        <v>7</v>
      </c>
      <c r="F56" s="61" t="s">
        <v>150</v>
      </c>
      <c r="G56" s="61" t="s">
        <v>129</v>
      </c>
      <c r="H56" s="64">
        <v>36459</v>
      </c>
      <c r="I56" s="61" t="s">
        <v>111</v>
      </c>
      <c r="J56" s="61" t="s">
        <v>112</v>
      </c>
      <c r="K56" s="62"/>
      <c r="L56" s="61" t="s">
        <v>113</v>
      </c>
      <c r="N56" s="61" t="str">
        <f t="shared" si="73"/>
        <v>23R</v>
      </c>
      <c r="O56" s="61" t="str">
        <f t="shared" si="74"/>
        <v>23RBase</v>
      </c>
      <c r="Q56" s="23">
        <f t="shared" si="56"/>
        <v>0</v>
      </c>
      <c r="R56" s="23">
        <f t="shared" si="75"/>
        <v>0</v>
      </c>
      <c r="S56" s="23"/>
      <c r="T56" s="67">
        <v>37147</v>
      </c>
      <c r="U56" s="67"/>
      <c r="V56" s="68">
        <v>0</v>
      </c>
      <c r="W56" s="67">
        <f t="shared" si="59"/>
        <v>0</v>
      </c>
      <c r="X56" s="67">
        <f t="shared" si="69"/>
        <v>0</v>
      </c>
      <c r="Y56" s="67">
        <f t="shared" si="69"/>
        <v>0</v>
      </c>
      <c r="Z56" s="67">
        <f t="shared" si="69"/>
        <v>0</v>
      </c>
      <c r="AA56" s="67">
        <f t="shared" si="69"/>
        <v>0</v>
      </c>
      <c r="AB56" s="67">
        <f t="shared" si="62"/>
        <v>0</v>
      </c>
      <c r="AC56" s="67">
        <f t="shared" si="62"/>
        <v>0</v>
      </c>
      <c r="AD56" s="67">
        <f t="shared" si="62"/>
        <v>0</v>
      </c>
      <c r="AE56" s="67">
        <f t="shared" si="70"/>
        <v>0</v>
      </c>
      <c r="AF56" s="67">
        <f t="shared" si="70"/>
        <v>0</v>
      </c>
      <c r="AG56" s="67">
        <f t="shared" si="70"/>
        <v>0</v>
      </c>
      <c r="AH56" s="67">
        <f t="shared" si="70"/>
        <v>0</v>
      </c>
      <c r="AI56" s="67">
        <f t="shared" si="63"/>
        <v>0</v>
      </c>
      <c r="AJ56" s="67">
        <f t="shared" si="63"/>
        <v>0</v>
      </c>
      <c r="AK56" s="67">
        <f t="shared" si="63"/>
        <v>0</v>
      </c>
      <c r="AL56" s="67">
        <f t="shared" si="71"/>
        <v>0</v>
      </c>
      <c r="AM56" s="67">
        <f t="shared" si="71"/>
        <v>0</v>
      </c>
      <c r="AN56" s="67">
        <f t="shared" si="71"/>
        <v>0</v>
      </c>
      <c r="AO56" s="67">
        <f t="shared" si="71"/>
        <v>0</v>
      </c>
      <c r="AP56" s="67">
        <f t="shared" si="64"/>
        <v>0</v>
      </c>
      <c r="AQ56" s="67">
        <f t="shared" si="64"/>
        <v>0</v>
      </c>
      <c r="AR56" s="67">
        <f t="shared" si="64"/>
        <v>0</v>
      </c>
      <c r="AS56" s="67">
        <f t="shared" si="65"/>
        <v>0</v>
      </c>
      <c r="AT56" s="67">
        <f t="shared" si="65"/>
        <v>0</v>
      </c>
      <c r="AU56" s="67">
        <f t="shared" si="66"/>
        <v>0</v>
      </c>
      <c r="AV56" s="67">
        <f t="shared" si="67"/>
        <v>0</v>
      </c>
      <c r="AW56" s="67">
        <f t="shared" si="68"/>
        <v>0</v>
      </c>
      <c r="AX56" s="67">
        <f t="shared" si="68"/>
        <v>0</v>
      </c>
      <c r="AY56" s="67">
        <f t="shared" si="72"/>
        <v>0</v>
      </c>
      <c r="AZ56" s="67"/>
      <c r="BA56" s="67"/>
      <c r="BB56" s="67">
        <f t="shared" si="57"/>
        <v>0</v>
      </c>
      <c r="BC56" s="67">
        <f t="shared" si="58"/>
        <v>0</v>
      </c>
      <c r="BD56" s="137">
        <f t="shared" si="10"/>
        <v>0</v>
      </c>
      <c r="BE56" s="67"/>
      <c r="BF56" s="23"/>
      <c r="BO56" s="69"/>
      <c r="EN56" s="61">
        <v>866</v>
      </c>
      <c r="EO56" s="61" t="s">
        <v>383</v>
      </c>
      <c r="FR56" s="217"/>
      <c r="HP56" s="23">
        <f t="shared" si="60"/>
        <v>866</v>
      </c>
      <c r="HQ56" s="23"/>
    </row>
    <row r="57" spans="1:225" s="61" customFormat="1" ht="15.75">
      <c r="A57" s="61" t="s">
        <v>176</v>
      </c>
      <c r="B57" s="62">
        <v>23</v>
      </c>
      <c r="D57" s="14">
        <v>9</v>
      </c>
      <c r="E57" s="61">
        <v>7</v>
      </c>
      <c r="F57" s="61" t="s">
        <v>150</v>
      </c>
      <c r="G57" s="61" t="s">
        <v>129</v>
      </c>
      <c r="H57" s="64">
        <v>36459</v>
      </c>
      <c r="I57" s="61" t="s">
        <v>111</v>
      </c>
      <c r="J57" s="61" t="s">
        <v>112</v>
      </c>
      <c r="K57" s="62"/>
      <c r="L57" s="61" t="s">
        <v>113</v>
      </c>
      <c r="M57" s="54"/>
      <c r="N57" s="61" t="str">
        <f t="shared" si="73"/>
        <v>23R</v>
      </c>
      <c r="O57" s="61" t="str">
        <f t="shared" si="74"/>
        <v>23RBase</v>
      </c>
      <c r="Q57" s="23">
        <f t="shared" si="56"/>
        <v>0</v>
      </c>
      <c r="R57" s="23">
        <f t="shared" si="75"/>
        <v>0</v>
      </c>
      <c r="S57" s="23"/>
      <c r="T57" s="67">
        <v>37147</v>
      </c>
      <c r="U57" s="67"/>
      <c r="V57" s="68">
        <v>0</v>
      </c>
      <c r="W57" s="67">
        <f t="shared" si="59"/>
        <v>0</v>
      </c>
      <c r="X57" s="67">
        <f t="shared" si="69"/>
        <v>0</v>
      </c>
      <c r="Y57" s="67">
        <f t="shared" si="69"/>
        <v>0</v>
      </c>
      <c r="Z57" s="67">
        <f t="shared" si="69"/>
        <v>0</v>
      </c>
      <c r="AA57" s="67">
        <f t="shared" si="69"/>
        <v>0</v>
      </c>
      <c r="AB57" s="67">
        <f t="shared" si="62"/>
        <v>0</v>
      </c>
      <c r="AC57" s="67">
        <f t="shared" si="62"/>
        <v>0</v>
      </c>
      <c r="AD57" s="67">
        <f t="shared" si="62"/>
        <v>0</v>
      </c>
      <c r="AE57" s="67">
        <f t="shared" si="70"/>
        <v>0</v>
      </c>
      <c r="AF57" s="67">
        <f t="shared" si="70"/>
        <v>0</v>
      </c>
      <c r="AG57" s="67">
        <f t="shared" si="70"/>
        <v>0</v>
      </c>
      <c r="AH57" s="67">
        <f t="shared" si="70"/>
        <v>0</v>
      </c>
      <c r="AI57" s="67">
        <f t="shared" si="63"/>
        <v>0</v>
      </c>
      <c r="AJ57" s="67">
        <f t="shared" si="63"/>
        <v>0</v>
      </c>
      <c r="AK57" s="67">
        <f t="shared" si="63"/>
        <v>0</v>
      </c>
      <c r="AL57" s="67">
        <f t="shared" si="71"/>
        <v>0</v>
      </c>
      <c r="AM57" s="67">
        <f t="shared" si="71"/>
        <v>0</v>
      </c>
      <c r="AN57" s="67">
        <f t="shared" si="71"/>
        <v>0</v>
      </c>
      <c r="AO57" s="67">
        <f t="shared" si="71"/>
        <v>0</v>
      </c>
      <c r="AP57" s="67">
        <f t="shared" si="64"/>
        <v>0</v>
      </c>
      <c r="AQ57" s="67">
        <f t="shared" si="64"/>
        <v>0</v>
      </c>
      <c r="AR57" s="67">
        <f t="shared" si="64"/>
        <v>0</v>
      </c>
      <c r="AS57" s="67">
        <f t="shared" si="65"/>
        <v>0</v>
      </c>
      <c r="AT57" s="67">
        <f t="shared" si="65"/>
        <v>0</v>
      </c>
      <c r="AU57" s="67">
        <f t="shared" si="66"/>
        <v>0</v>
      </c>
      <c r="AV57" s="67">
        <f t="shared" si="67"/>
        <v>0</v>
      </c>
      <c r="AW57" s="67">
        <f t="shared" si="68"/>
        <v>0</v>
      </c>
      <c r="AX57" s="67">
        <f t="shared" si="68"/>
        <v>0</v>
      </c>
      <c r="AY57" s="67">
        <f t="shared" si="72"/>
        <v>0</v>
      </c>
      <c r="AZ57" s="67"/>
      <c r="BA57" s="67"/>
      <c r="BB57" s="67">
        <f t="shared" si="57"/>
        <v>0</v>
      </c>
      <c r="BC57" s="67">
        <f t="shared" si="58"/>
        <v>0</v>
      </c>
      <c r="BD57" s="137">
        <f t="shared" si="10"/>
        <v>0</v>
      </c>
      <c r="BE57" s="67"/>
      <c r="BF57" s="23"/>
      <c r="BO57" s="69"/>
      <c r="EN57" s="61">
        <v>1041</v>
      </c>
      <c r="EO57" s="61" t="s">
        <v>384</v>
      </c>
      <c r="FR57" s="217"/>
      <c r="HP57" s="23">
        <f t="shared" si="60"/>
        <v>1041</v>
      </c>
      <c r="HQ57" s="23"/>
    </row>
    <row r="58" spans="1:225" s="61" customFormat="1" ht="15.75">
      <c r="A58" s="61" t="s">
        <v>182</v>
      </c>
      <c r="B58" s="62">
        <v>732999</v>
      </c>
      <c r="D58" s="14">
        <v>5</v>
      </c>
      <c r="E58" s="61">
        <v>7</v>
      </c>
      <c r="F58" s="61" t="s">
        <v>180</v>
      </c>
      <c r="G58" s="95"/>
      <c r="H58" s="96"/>
      <c r="I58" s="61" t="s">
        <v>111</v>
      </c>
      <c r="J58" s="61" t="s">
        <v>122</v>
      </c>
      <c r="K58" s="62"/>
      <c r="L58" s="61" t="s">
        <v>113</v>
      </c>
      <c r="N58" s="61" t="str">
        <f t="shared" ref="N58:N65" si="76">CONCATENATE(B58,J58)</f>
        <v>732999W</v>
      </c>
      <c r="O58" s="61" t="str">
        <f t="shared" ref="O58:O65" si="77">CONCATENATE(B58,J58,I58)</f>
        <v>732999WBase</v>
      </c>
      <c r="Q58" s="23">
        <f t="shared" si="56"/>
        <v>0</v>
      </c>
      <c r="R58" s="23">
        <f t="shared" ref="R58:R77" si="78">+Q58</f>
        <v>0</v>
      </c>
      <c r="S58" s="23"/>
      <c r="T58" s="67">
        <v>37147</v>
      </c>
      <c r="U58" s="67"/>
      <c r="V58" s="68">
        <v>0</v>
      </c>
      <c r="W58" s="67">
        <f>V58</f>
        <v>0</v>
      </c>
      <c r="X58" s="67">
        <f t="shared" ref="X58:AA70" si="79">W58</f>
        <v>0</v>
      </c>
      <c r="Y58" s="67">
        <f t="shared" si="79"/>
        <v>0</v>
      </c>
      <c r="Z58" s="67">
        <f t="shared" si="79"/>
        <v>0</v>
      </c>
      <c r="AA58" s="67">
        <f t="shared" si="79"/>
        <v>0</v>
      </c>
      <c r="AB58" s="67">
        <f t="shared" ref="AB58:AD69" si="80">AA58</f>
        <v>0</v>
      </c>
      <c r="AC58" s="67">
        <f t="shared" si="80"/>
        <v>0</v>
      </c>
      <c r="AD58" s="67">
        <f t="shared" si="80"/>
        <v>0</v>
      </c>
      <c r="AE58" s="67">
        <f t="shared" ref="AE58:AH70" si="81">AD58</f>
        <v>0</v>
      </c>
      <c r="AF58" s="67">
        <f t="shared" si="81"/>
        <v>0</v>
      </c>
      <c r="AG58" s="67">
        <f t="shared" si="81"/>
        <v>0</v>
      </c>
      <c r="AH58" s="67">
        <f t="shared" si="81"/>
        <v>0</v>
      </c>
      <c r="AI58" s="67">
        <f t="shared" ref="AI58:AK69" si="82">AH58</f>
        <v>0</v>
      </c>
      <c r="AJ58" s="67">
        <f t="shared" si="82"/>
        <v>0</v>
      </c>
      <c r="AK58" s="67">
        <f t="shared" si="82"/>
        <v>0</v>
      </c>
      <c r="AL58" s="67">
        <f t="shared" ref="AL58:AO70" si="83">AK58</f>
        <v>0</v>
      </c>
      <c r="AM58" s="67">
        <f t="shared" si="83"/>
        <v>0</v>
      </c>
      <c r="AN58" s="67">
        <f t="shared" si="83"/>
        <v>0</v>
      </c>
      <c r="AO58" s="67">
        <f t="shared" si="83"/>
        <v>0</v>
      </c>
      <c r="AP58" s="67">
        <f t="shared" ref="AP58:AR69" si="84">AO58</f>
        <v>0</v>
      </c>
      <c r="AQ58" s="67">
        <f t="shared" si="84"/>
        <v>0</v>
      </c>
      <c r="AR58" s="67">
        <f t="shared" si="84"/>
        <v>0</v>
      </c>
      <c r="AS58" s="67">
        <f t="shared" ref="AS58:AT68" si="85">AR58</f>
        <v>0</v>
      </c>
      <c r="AT58" s="67">
        <f t="shared" si="85"/>
        <v>0</v>
      </c>
      <c r="AU58" s="67">
        <f t="shared" ref="AU58:AU71" si="86">AT58</f>
        <v>0</v>
      </c>
      <c r="AV58" s="67">
        <f t="shared" ref="AV58:AV70" si="87">AU58</f>
        <v>0</v>
      </c>
      <c r="AW58" s="67">
        <f t="shared" ref="AW58:AX69" si="88">AV58</f>
        <v>0</v>
      </c>
      <c r="AX58" s="67">
        <f t="shared" si="88"/>
        <v>0</v>
      </c>
      <c r="AY58" s="67">
        <f t="shared" ref="AY58:AY62" si="89">AX58</f>
        <v>0</v>
      </c>
      <c r="AZ58" s="67"/>
      <c r="BA58" s="67"/>
      <c r="BB58" s="67">
        <f t="shared" si="57"/>
        <v>0</v>
      </c>
      <c r="BC58" s="67">
        <f t="shared" si="58"/>
        <v>0</v>
      </c>
      <c r="BD58" s="137">
        <f t="shared" ref="BD58:BD102" si="90">MAX(V58:AZ58)</f>
        <v>0</v>
      </c>
      <c r="BE58" s="67"/>
      <c r="BF58" s="23"/>
      <c r="BO58" s="69"/>
      <c r="EN58" s="61">
        <v>0</v>
      </c>
      <c r="EO58" s="61" t="s">
        <v>346</v>
      </c>
      <c r="FR58" s="217"/>
      <c r="HP58" s="23">
        <f t="shared" si="60"/>
        <v>0</v>
      </c>
      <c r="HQ58" s="23"/>
    </row>
    <row r="59" spans="1:225" s="61" customFormat="1" ht="15.75">
      <c r="A59" s="61" t="s">
        <v>183</v>
      </c>
      <c r="B59" s="62">
        <v>80</v>
      </c>
      <c r="D59" s="14">
        <v>3</v>
      </c>
      <c r="E59" s="61">
        <v>7</v>
      </c>
      <c r="F59" s="61" t="s">
        <v>365</v>
      </c>
      <c r="G59" s="61" t="s">
        <v>135</v>
      </c>
      <c r="H59" s="64">
        <v>36336</v>
      </c>
      <c r="I59" s="61" t="s">
        <v>111</v>
      </c>
      <c r="J59" s="61" t="s">
        <v>112</v>
      </c>
      <c r="K59" s="62"/>
      <c r="L59" s="61" t="s">
        <v>113</v>
      </c>
      <c r="N59" s="61" t="str">
        <f t="shared" si="76"/>
        <v>80R</v>
      </c>
      <c r="O59" s="61" t="str">
        <f t="shared" si="77"/>
        <v>80RBase</v>
      </c>
      <c r="Q59" s="23">
        <f t="shared" ref="Q59:Q87" si="91">+BC59</f>
        <v>0</v>
      </c>
      <c r="R59" s="23">
        <f t="shared" si="78"/>
        <v>0</v>
      </c>
      <c r="S59" s="23"/>
      <c r="T59" s="67">
        <v>37147</v>
      </c>
      <c r="U59" s="67"/>
      <c r="V59" s="68">
        <v>0</v>
      </c>
      <c r="W59" s="67">
        <f t="shared" ref="W59:W84" si="92">V59</f>
        <v>0</v>
      </c>
      <c r="X59" s="67">
        <f t="shared" si="79"/>
        <v>0</v>
      </c>
      <c r="Y59" s="67">
        <f t="shared" si="79"/>
        <v>0</v>
      </c>
      <c r="Z59" s="67">
        <f t="shared" si="79"/>
        <v>0</v>
      </c>
      <c r="AA59" s="67">
        <f t="shared" si="79"/>
        <v>0</v>
      </c>
      <c r="AB59" s="67">
        <f t="shared" si="80"/>
        <v>0</v>
      </c>
      <c r="AC59" s="67">
        <f t="shared" si="80"/>
        <v>0</v>
      </c>
      <c r="AD59" s="67">
        <f t="shared" si="80"/>
        <v>0</v>
      </c>
      <c r="AE59" s="67">
        <f t="shared" si="81"/>
        <v>0</v>
      </c>
      <c r="AF59" s="67">
        <f t="shared" si="81"/>
        <v>0</v>
      </c>
      <c r="AG59" s="67">
        <f t="shared" si="81"/>
        <v>0</v>
      </c>
      <c r="AH59" s="67">
        <f t="shared" si="81"/>
        <v>0</v>
      </c>
      <c r="AI59" s="67">
        <f t="shared" si="82"/>
        <v>0</v>
      </c>
      <c r="AJ59" s="67">
        <f t="shared" si="82"/>
        <v>0</v>
      </c>
      <c r="AK59" s="67">
        <f t="shared" si="82"/>
        <v>0</v>
      </c>
      <c r="AL59" s="67">
        <f t="shared" si="83"/>
        <v>0</v>
      </c>
      <c r="AM59" s="67">
        <f t="shared" si="83"/>
        <v>0</v>
      </c>
      <c r="AN59" s="67">
        <f t="shared" si="83"/>
        <v>0</v>
      </c>
      <c r="AO59" s="67">
        <f t="shared" si="83"/>
        <v>0</v>
      </c>
      <c r="AP59" s="67">
        <f t="shared" si="84"/>
        <v>0</v>
      </c>
      <c r="AQ59" s="67">
        <f t="shared" si="84"/>
        <v>0</v>
      </c>
      <c r="AR59" s="67">
        <f t="shared" si="84"/>
        <v>0</v>
      </c>
      <c r="AS59" s="67">
        <f t="shared" si="85"/>
        <v>0</v>
      </c>
      <c r="AT59" s="67">
        <f t="shared" si="85"/>
        <v>0</v>
      </c>
      <c r="AU59" s="67">
        <f t="shared" si="86"/>
        <v>0</v>
      </c>
      <c r="AV59" s="67">
        <f t="shared" si="87"/>
        <v>0</v>
      </c>
      <c r="AW59" s="67">
        <f t="shared" si="88"/>
        <v>0</v>
      </c>
      <c r="AX59" s="67">
        <f t="shared" si="88"/>
        <v>0</v>
      </c>
      <c r="AY59" s="67">
        <f t="shared" si="89"/>
        <v>0</v>
      </c>
      <c r="AZ59" s="67"/>
      <c r="BA59" s="67"/>
      <c r="BB59" s="67">
        <f t="shared" si="57"/>
        <v>0</v>
      </c>
      <c r="BC59" s="67">
        <f t="shared" si="58"/>
        <v>0</v>
      </c>
      <c r="BD59" s="137">
        <f t="shared" si="90"/>
        <v>0</v>
      </c>
      <c r="BE59" s="67"/>
      <c r="BF59" s="23"/>
      <c r="BO59" s="69"/>
      <c r="EN59" s="61">
        <v>80</v>
      </c>
      <c r="EO59" s="61" t="s">
        <v>385</v>
      </c>
      <c r="FR59" s="217"/>
      <c r="HP59" s="23">
        <f t="shared" si="60"/>
        <v>80</v>
      </c>
      <c r="HQ59" s="23"/>
    </row>
    <row r="60" spans="1:225" s="61" customFormat="1" ht="15.75">
      <c r="A60" s="61" t="s">
        <v>185</v>
      </c>
      <c r="B60" s="62">
        <v>67</v>
      </c>
      <c r="D60" s="14">
        <v>1</v>
      </c>
      <c r="E60" s="61">
        <v>7</v>
      </c>
      <c r="F60" s="61" t="s">
        <v>365</v>
      </c>
      <c r="G60" s="61" t="s">
        <v>129</v>
      </c>
      <c r="H60" s="64">
        <v>36336</v>
      </c>
      <c r="I60" s="61" t="s">
        <v>111</v>
      </c>
      <c r="J60" s="61" t="s">
        <v>112</v>
      </c>
      <c r="K60" s="62"/>
      <c r="L60" s="61" t="s">
        <v>113</v>
      </c>
      <c r="M60" s="54"/>
      <c r="N60" s="61" t="str">
        <f t="shared" si="76"/>
        <v>67R</v>
      </c>
      <c r="O60" s="61" t="str">
        <f t="shared" si="77"/>
        <v>67RBase</v>
      </c>
      <c r="Q60" s="23">
        <f t="shared" si="91"/>
        <v>0</v>
      </c>
      <c r="R60" s="23">
        <f t="shared" si="78"/>
        <v>0</v>
      </c>
      <c r="S60" s="23"/>
      <c r="T60" s="67">
        <v>37147</v>
      </c>
      <c r="U60" s="67"/>
      <c r="V60" s="68">
        <v>0</v>
      </c>
      <c r="W60" s="67">
        <f t="shared" si="92"/>
        <v>0</v>
      </c>
      <c r="X60" s="67">
        <f t="shared" si="79"/>
        <v>0</v>
      </c>
      <c r="Y60" s="67">
        <f t="shared" si="79"/>
        <v>0</v>
      </c>
      <c r="Z60" s="67">
        <f t="shared" si="79"/>
        <v>0</v>
      </c>
      <c r="AA60" s="67">
        <f t="shared" si="79"/>
        <v>0</v>
      </c>
      <c r="AB60" s="67">
        <f t="shared" si="80"/>
        <v>0</v>
      </c>
      <c r="AC60" s="67">
        <f t="shared" si="80"/>
        <v>0</v>
      </c>
      <c r="AD60" s="67">
        <f t="shared" si="80"/>
        <v>0</v>
      </c>
      <c r="AE60" s="67">
        <f t="shared" si="81"/>
        <v>0</v>
      </c>
      <c r="AF60" s="67">
        <f t="shared" si="81"/>
        <v>0</v>
      </c>
      <c r="AG60" s="67">
        <f t="shared" si="81"/>
        <v>0</v>
      </c>
      <c r="AH60" s="67">
        <f t="shared" si="81"/>
        <v>0</v>
      </c>
      <c r="AI60" s="67">
        <f t="shared" si="82"/>
        <v>0</v>
      </c>
      <c r="AJ60" s="67">
        <f t="shared" si="82"/>
        <v>0</v>
      </c>
      <c r="AK60" s="67">
        <f t="shared" si="82"/>
        <v>0</v>
      </c>
      <c r="AL60" s="67">
        <f t="shared" si="83"/>
        <v>0</v>
      </c>
      <c r="AM60" s="67">
        <f t="shared" si="83"/>
        <v>0</v>
      </c>
      <c r="AN60" s="67">
        <f t="shared" si="83"/>
        <v>0</v>
      </c>
      <c r="AO60" s="67">
        <f t="shared" si="83"/>
        <v>0</v>
      </c>
      <c r="AP60" s="67">
        <f t="shared" si="84"/>
        <v>0</v>
      </c>
      <c r="AQ60" s="67">
        <f t="shared" si="84"/>
        <v>0</v>
      </c>
      <c r="AR60" s="67">
        <f t="shared" si="84"/>
        <v>0</v>
      </c>
      <c r="AS60" s="67">
        <f t="shared" si="85"/>
        <v>0</v>
      </c>
      <c r="AT60" s="67">
        <f t="shared" si="85"/>
        <v>0</v>
      </c>
      <c r="AU60" s="67">
        <f t="shared" si="86"/>
        <v>0</v>
      </c>
      <c r="AV60" s="67">
        <f t="shared" si="87"/>
        <v>0</v>
      </c>
      <c r="AW60" s="67">
        <f t="shared" si="88"/>
        <v>0</v>
      </c>
      <c r="AX60" s="67">
        <f t="shared" si="88"/>
        <v>0</v>
      </c>
      <c r="AY60" s="67">
        <f t="shared" si="89"/>
        <v>0</v>
      </c>
      <c r="AZ60" s="67"/>
      <c r="BA60" s="67"/>
      <c r="BB60" s="67">
        <f t="shared" si="57"/>
        <v>0</v>
      </c>
      <c r="BC60" s="67">
        <f t="shared" si="58"/>
        <v>0</v>
      </c>
      <c r="BD60" s="137">
        <f t="shared" si="90"/>
        <v>0</v>
      </c>
      <c r="BE60" s="67"/>
      <c r="BF60" s="23"/>
      <c r="BO60" s="69"/>
      <c r="EN60" s="61">
        <v>100</v>
      </c>
      <c r="EO60" s="61" t="s">
        <v>386</v>
      </c>
      <c r="FR60" s="217"/>
      <c r="HP60" s="23">
        <f t="shared" si="60"/>
        <v>100</v>
      </c>
      <c r="HQ60" s="23"/>
    </row>
    <row r="61" spans="1:225" s="61" customFormat="1" ht="15.75">
      <c r="A61" s="61" t="s">
        <v>186</v>
      </c>
      <c r="B61" s="62">
        <v>48</v>
      </c>
      <c r="D61" s="14">
        <v>39</v>
      </c>
      <c r="E61" s="61">
        <v>8</v>
      </c>
      <c r="F61" s="61" t="s">
        <v>365</v>
      </c>
      <c r="G61" s="61" t="s">
        <v>348</v>
      </c>
      <c r="H61" s="64">
        <v>36336</v>
      </c>
      <c r="I61" s="61" t="s">
        <v>111</v>
      </c>
      <c r="J61" s="61" t="s">
        <v>112</v>
      </c>
      <c r="K61" s="62"/>
      <c r="L61" s="61" t="s">
        <v>113</v>
      </c>
      <c r="N61" s="61" t="str">
        <f t="shared" si="76"/>
        <v>48R</v>
      </c>
      <c r="O61" s="61" t="str">
        <f t="shared" si="77"/>
        <v>48RBase</v>
      </c>
      <c r="Q61" s="23">
        <f t="shared" si="91"/>
        <v>0</v>
      </c>
      <c r="R61" s="23">
        <f t="shared" si="78"/>
        <v>0</v>
      </c>
      <c r="S61" s="23"/>
      <c r="T61" s="67">
        <v>37147</v>
      </c>
      <c r="U61" s="67"/>
      <c r="V61" s="68">
        <v>0</v>
      </c>
      <c r="W61" s="67">
        <f t="shared" si="92"/>
        <v>0</v>
      </c>
      <c r="X61" s="67">
        <f t="shared" si="79"/>
        <v>0</v>
      </c>
      <c r="Y61" s="67">
        <f t="shared" si="79"/>
        <v>0</v>
      </c>
      <c r="Z61" s="67">
        <f t="shared" si="79"/>
        <v>0</v>
      </c>
      <c r="AA61" s="67">
        <f t="shared" si="79"/>
        <v>0</v>
      </c>
      <c r="AB61" s="67">
        <f t="shared" si="80"/>
        <v>0</v>
      </c>
      <c r="AC61" s="67">
        <f t="shared" si="80"/>
        <v>0</v>
      </c>
      <c r="AD61" s="67">
        <f t="shared" si="80"/>
        <v>0</v>
      </c>
      <c r="AE61" s="67">
        <f t="shared" si="81"/>
        <v>0</v>
      </c>
      <c r="AF61" s="67">
        <f t="shared" si="81"/>
        <v>0</v>
      </c>
      <c r="AG61" s="67">
        <f t="shared" si="81"/>
        <v>0</v>
      </c>
      <c r="AH61" s="67">
        <f t="shared" si="81"/>
        <v>0</v>
      </c>
      <c r="AI61" s="67">
        <f t="shared" si="82"/>
        <v>0</v>
      </c>
      <c r="AJ61" s="67">
        <f t="shared" si="82"/>
        <v>0</v>
      </c>
      <c r="AK61" s="67">
        <f t="shared" si="82"/>
        <v>0</v>
      </c>
      <c r="AL61" s="67">
        <f t="shared" si="83"/>
        <v>0</v>
      </c>
      <c r="AM61" s="67">
        <f t="shared" si="83"/>
        <v>0</v>
      </c>
      <c r="AN61" s="67">
        <f t="shared" si="83"/>
        <v>0</v>
      </c>
      <c r="AO61" s="67">
        <f t="shared" si="83"/>
        <v>0</v>
      </c>
      <c r="AP61" s="67">
        <f t="shared" si="84"/>
        <v>0</v>
      </c>
      <c r="AQ61" s="67">
        <f t="shared" si="84"/>
        <v>0</v>
      </c>
      <c r="AR61" s="67">
        <f t="shared" si="84"/>
        <v>0</v>
      </c>
      <c r="AS61" s="67">
        <f t="shared" si="85"/>
        <v>0</v>
      </c>
      <c r="AT61" s="67">
        <f t="shared" si="85"/>
        <v>0</v>
      </c>
      <c r="AU61" s="67">
        <f t="shared" si="86"/>
        <v>0</v>
      </c>
      <c r="AV61" s="67">
        <f t="shared" si="87"/>
        <v>0</v>
      </c>
      <c r="AW61" s="67">
        <f t="shared" si="88"/>
        <v>0</v>
      </c>
      <c r="AX61" s="67">
        <f t="shared" si="88"/>
        <v>0</v>
      </c>
      <c r="AY61" s="67">
        <f t="shared" si="89"/>
        <v>0</v>
      </c>
      <c r="AZ61" s="67"/>
      <c r="BA61" s="67"/>
      <c r="BB61" s="67">
        <f t="shared" ref="BB61:BB88" si="93">SUM(V61:AZ61)</f>
        <v>0</v>
      </c>
      <c r="BC61" s="67">
        <f t="shared" si="58"/>
        <v>0</v>
      </c>
      <c r="BD61" s="137">
        <f t="shared" si="90"/>
        <v>0</v>
      </c>
      <c r="BE61" s="67"/>
      <c r="BF61" s="23"/>
      <c r="BO61" s="69"/>
      <c r="FH61" s="205"/>
      <c r="FI61" s="205"/>
      <c r="FJ61" s="205"/>
      <c r="FK61" s="205"/>
      <c r="FL61" s="205"/>
      <c r="FM61" s="205"/>
      <c r="FN61" s="205"/>
      <c r="FO61" s="205"/>
      <c r="FP61" s="205"/>
      <c r="FQ61" s="205"/>
      <c r="FR61" s="222"/>
      <c r="FS61" s="205"/>
      <c r="FT61" s="205"/>
      <c r="FU61" s="205"/>
      <c r="FV61" s="205"/>
      <c r="FW61" s="205"/>
      <c r="FX61" s="205"/>
      <c r="FY61" s="205"/>
      <c r="FZ61" s="205"/>
      <c r="GA61" s="205"/>
      <c r="GB61" s="205"/>
      <c r="GC61" s="205"/>
      <c r="GD61" s="205"/>
      <c r="GE61" s="205"/>
      <c r="GF61" s="205"/>
      <c r="GG61" s="205"/>
      <c r="GH61" s="205"/>
      <c r="GI61" s="205"/>
      <c r="GJ61" s="205"/>
      <c r="GK61" s="205"/>
      <c r="GL61" s="205"/>
      <c r="GM61" s="205"/>
      <c r="GN61" s="205"/>
      <c r="GO61" s="205"/>
      <c r="GP61" s="205"/>
      <c r="GQ61" s="205"/>
      <c r="GR61" s="205"/>
      <c r="GS61" s="205"/>
      <c r="GT61" s="205"/>
      <c r="GU61" s="205"/>
      <c r="GV61" s="205"/>
      <c r="GW61" s="205"/>
      <c r="GX61" s="205"/>
      <c r="GY61" s="205"/>
      <c r="GZ61" s="205"/>
      <c r="HA61" s="205"/>
      <c r="HB61" s="205"/>
      <c r="HC61" s="205"/>
      <c r="HD61" s="205"/>
      <c r="HP61" s="23">
        <f t="shared" si="60"/>
        <v>0</v>
      </c>
      <c r="HQ61" s="23"/>
    </row>
    <row r="62" spans="1:225" s="61" customFormat="1" ht="15.75">
      <c r="A62" s="61" t="s">
        <v>187</v>
      </c>
      <c r="B62" s="62">
        <v>24</v>
      </c>
      <c r="D62" s="14">
        <v>35</v>
      </c>
      <c r="E62" s="61">
        <v>8</v>
      </c>
      <c r="F62" s="61" t="s">
        <v>365</v>
      </c>
      <c r="G62" s="61" t="s">
        <v>129</v>
      </c>
      <c r="H62" s="64">
        <v>36459</v>
      </c>
      <c r="I62" s="61" t="s">
        <v>111</v>
      </c>
      <c r="J62" s="61" t="s">
        <v>112</v>
      </c>
      <c r="K62" s="62"/>
      <c r="L62" s="61" t="s">
        <v>113</v>
      </c>
      <c r="M62" s="54"/>
      <c r="N62" s="61" t="str">
        <f t="shared" si="76"/>
        <v>24R</v>
      </c>
      <c r="O62" s="61" t="str">
        <f t="shared" si="77"/>
        <v>24RBase</v>
      </c>
      <c r="Q62" s="23">
        <f t="shared" si="91"/>
        <v>0</v>
      </c>
      <c r="R62" s="23">
        <f t="shared" si="78"/>
        <v>0</v>
      </c>
      <c r="S62" s="23"/>
      <c r="T62" s="67">
        <v>37147</v>
      </c>
      <c r="U62" s="67"/>
      <c r="V62" s="68">
        <v>0</v>
      </c>
      <c r="W62" s="67">
        <f t="shared" si="92"/>
        <v>0</v>
      </c>
      <c r="X62" s="67">
        <f t="shared" si="79"/>
        <v>0</v>
      </c>
      <c r="Y62" s="67">
        <f t="shared" si="79"/>
        <v>0</v>
      </c>
      <c r="Z62" s="67">
        <f t="shared" si="79"/>
        <v>0</v>
      </c>
      <c r="AA62" s="67">
        <f t="shared" si="79"/>
        <v>0</v>
      </c>
      <c r="AB62" s="67">
        <f t="shared" si="80"/>
        <v>0</v>
      </c>
      <c r="AC62" s="67">
        <f t="shared" si="80"/>
        <v>0</v>
      </c>
      <c r="AD62" s="67">
        <f t="shared" si="80"/>
        <v>0</v>
      </c>
      <c r="AE62" s="67">
        <f t="shared" si="81"/>
        <v>0</v>
      </c>
      <c r="AF62" s="67">
        <f t="shared" si="81"/>
        <v>0</v>
      </c>
      <c r="AG62" s="67">
        <f t="shared" si="81"/>
        <v>0</v>
      </c>
      <c r="AH62" s="67">
        <f t="shared" si="81"/>
        <v>0</v>
      </c>
      <c r="AI62" s="67">
        <f t="shared" si="82"/>
        <v>0</v>
      </c>
      <c r="AJ62" s="67">
        <f t="shared" si="82"/>
        <v>0</v>
      </c>
      <c r="AK62" s="67">
        <f t="shared" si="82"/>
        <v>0</v>
      </c>
      <c r="AL62" s="67">
        <f t="shared" si="83"/>
        <v>0</v>
      </c>
      <c r="AM62" s="67">
        <f t="shared" si="83"/>
        <v>0</v>
      </c>
      <c r="AN62" s="67">
        <f t="shared" si="83"/>
        <v>0</v>
      </c>
      <c r="AO62" s="67">
        <f t="shared" si="83"/>
        <v>0</v>
      </c>
      <c r="AP62" s="67">
        <f t="shared" si="84"/>
        <v>0</v>
      </c>
      <c r="AQ62" s="67">
        <f t="shared" si="84"/>
        <v>0</v>
      </c>
      <c r="AR62" s="67">
        <f t="shared" si="84"/>
        <v>0</v>
      </c>
      <c r="AS62" s="67">
        <f t="shared" si="85"/>
        <v>0</v>
      </c>
      <c r="AT62" s="67">
        <f t="shared" si="85"/>
        <v>0</v>
      </c>
      <c r="AU62" s="67">
        <f t="shared" si="86"/>
        <v>0</v>
      </c>
      <c r="AV62" s="67">
        <f t="shared" si="87"/>
        <v>0</v>
      </c>
      <c r="AW62" s="67">
        <f t="shared" si="88"/>
        <v>0</v>
      </c>
      <c r="AX62" s="67">
        <f t="shared" si="88"/>
        <v>0</v>
      </c>
      <c r="AY62" s="67">
        <f t="shared" si="89"/>
        <v>0</v>
      </c>
      <c r="AZ62" s="67"/>
      <c r="BA62" s="67"/>
      <c r="BB62" s="67">
        <f t="shared" si="93"/>
        <v>0</v>
      </c>
      <c r="BC62" s="67">
        <f t="shared" si="58"/>
        <v>0</v>
      </c>
      <c r="BD62" s="137">
        <f t="shared" si="90"/>
        <v>0</v>
      </c>
      <c r="BE62" s="67"/>
      <c r="BF62" s="23"/>
      <c r="BO62" s="69"/>
      <c r="DM62" s="61" t="s">
        <v>151</v>
      </c>
      <c r="FR62" s="217"/>
      <c r="HP62" s="23">
        <f t="shared" si="60"/>
        <v>0</v>
      </c>
      <c r="HQ62" s="23"/>
    </row>
    <row r="63" spans="1:225" s="61" customFormat="1" ht="15.75">
      <c r="A63" s="61" t="s">
        <v>187</v>
      </c>
      <c r="B63" s="62">
        <v>24</v>
      </c>
      <c r="D63" s="14">
        <v>35</v>
      </c>
      <c r="E63" s="61">
        <v>8</v>
      </c>
      <c r="F63" s="61" t="s">
        <v>132</v>
      </c>
      <c r="G63" s="61" t="s">
        <v>129</v>
      </c>
      <c r="H63" s="64">
        <v>36459</v>
      </c>
      <c r="I63" s="61" t="s">
        <v>111</v>
      </c>
      <c r="J63" s="61" t="s">
        <v>112</v>
      </c>
      <c r="K63" s="62"/>
      <c r="L63" s="61" t="s">
        <v>113</v>
      </c>
      <c r="M63" s="54"/>
      <c r="N63" s="61" t="str">
        <f t="shared" si="76"/>
        <v>24R</v>
      </c>
      <c r="O63" s="61" t="str">
        <f t="shared" si="77"/>
        <v>24RBase</v>
      </c>
      <c r="Q63" s="23">
        <f t="shared" si="91"/>
        <v>0</v>
      </c>
      <c r="R63" s="23">
        <f t="shared" si="78"/>
        <v>0</v>
      </c>
      <c r="S63" s="23"/>
      <c r="T63" s="67">
        <v>37147</v>
      </c>
      <c r="U63" s="67"/>
      <c r="V63" s="68">
        <v>0</v>
      </c>
      <c r="W63" s="67">
        <f t="shared" si="92"/>
        <v>0</v>
      </c>
      <c r="X63" s="67">
        <f t="shared" si="79"/>
        <v>0</v>
      </c>
      <c r="Y63" s="67">
        <f t="shared" si="79"/>
        <v>0</v>
      </c>
      <c r="Z63" s="67">
        <f t="shared" si="79"/>
        <v>0</v>
      </c>
      <c r="AA63" s="67">
        <f t="shared" si="79"/>
        <v>0</v>
      </c>
      <c r="AB63" s="67">
        <f t="shared" si="80"/>
        <v>0</v>
      </c>
      <c r="AC63" s="67">
        <f t="shared" si="80"/>
        <v>0</v>
      </c>
      <c r="AD63" s="67">
        <f t="shared" si="80"/>
        <v>0</v>
      </c>
      <c r="AE63" s="67">
        <f t="shared" si="81"/>
        <v>0</v>
      </c>
      <c r="AF63" s="67">
        <f t="shared" si="81"/>
        <v>0</v>
      </c>
      <c r="AG63" s="67">
        <f t="shared" si="81"/>
        <v>0</v>
      </c>
      <c r="AH63" s="67">
        <f t="shared" si="81"/>
        <v>0</v>
      </c>
      <c r="AI63" s="67">
        <f t="shared" si="82"/>
        <v>0</v>
      </c>
      <c r="AJ63" s="67">
        <f t="shared" si="82"/>
        <v>0</v>
      </c>
      <c r="AK63" s="67">
        <f t="shared" si="82"/>
        <v>0</v>
      </c>
      <c r="AL63" s="67">
        <f t="shared" si="83"/>
        <v>0</v>
      </c>
      <c r="AM63" s="67">
        <f t="shared" si="83"/>
        <v>0</v>
      </c>
      <c r="AN63" s="67">
        <f t="shared" si="83"/>
        <v>0</v>
      </c>
      <c r="AO63" s="67">
        <f t="shared" si="83"/>
        <v>0</v>
      </c>
      <c r="AP63" s="67">
        <f t="shared" si="84"/>
        <v>0</v>
      </c>
      <c r="AQ63" s="67">
        <f t="shared" si="84"/>
        <v>0</v>
      </c>
      <c r="AR63" s="67">
        <f t="shared" si="84"/>
        <v>0</v>
      </c>
      <c r="AS63" s="67">
        <f t="shared" si="85"/>
        <v>0</v>
      </c>
      <c r="AT63" s="67">
        <f t="shared" si="85"/>
        <v>0</v>
      </c>
      <c r="AU63" s="67">
        <f t="shared" si="86"/>
        <v>0</v>
      </c>
      <c r="AV63" s="67">
        <f t="shared" si="87"/>
        <v>0</v>
      </c>
      <c r="AW63" s="67">
        <f t="shared" si="88"/>
        <v>0</v>
      </c>
      <c r="AX63" s="67">
        <f t="shared" si="88"/>
        <v>0</v>
      </c>
      <c r="AY63" s="67">
        <f t="shared" ref="AY63:AY65" si="94">AX63</f>
        <v>0</v>
      </c>
      <c r="AZ63" s="67"/>
      <c r="BA63" s="67"/>
      <c r="BB63" s="67">
        <f t="shared" si="93"/>
        <v>0</v>
      </c>
      <c r="BC63" s="67">
        <f t="shared" si="58"/>
        <v>0</v>
      </c>
      <c r="BD63" s="137">
        <f t="shared" si="90"/>
        <v>0</v>
      </c>
      <c r="BE63" s="67"/>
      <c r="BF63" s="23"/>
      <c r="BO63" s="69"/>
      <c r="EN63" s="61">
        <v>595</v>
      </c>
      <c r="EO63" s="61" t="s">
        <v>387</v>
      </c>
      <c r="FR63" s="217"/>
      <c r="HP63" s="23">
        <f t="shared" si="60"/>
        <v>595</v>
      </c>
      <c r="HQ63" s="23"/>
    </row>
    <row r="64" spans="1:225" s="61" customFormat="1" ht="15.75">
      <c r="A64" s="61" t="s">
        <v>187</v>
      </c>
      <c r="B64" s="62">
        <v>24</v>
      </c>
      <c r="D64" s="14">
        <v>39</v>
      </c>
      <c r="E64" s="61">
        <v>8</v>
      </c>
      <c r="F64" s="61" t="s">
        <v>132</v>
      </c>
      <c r="G64" s="61" t="s">
        <v>129</v>
      </c>
      <c r="H64" s="64">
        <v>36459</v>
      </c>
      <c r="I64" s="61" t="s">
        <v>111</v>
      </c>
      <c r="J64" s="61" t="s">
        <v>112</v>
      </c>
      <c r="K64" s="62"/>
      <c r="L64" s="61" t="s">
        <v>113</v>
      </c>
      <c r="M64" s="54"/>
      <c r="N64" s="61" t="str">
        <f t="shared" si="76"/>
        <v>24R</v>
      </c>
      <c r="O64" s="61" t="str">
        <f t="shared" si="77"/>
        <v>24RBase</v>
      </c>
      <c r="Q64" s="23">
        <f t="shared" si="91"/>
        <v>0</v>
      </c>
      <c r="R64" s="23">
        <f t="shared" si="78"/>
        <v>0</v>
      </c>
      <c r="S64" s="23"/>
      <c r="T64" s="67">
        <v>37147</v>
      </c>
      <c r="U64" s="67"/>
      <c r="V64" s="68">
        <v>0</v>
      </c>
      <c r="W64" s="67">
        <f t="shared" si="92"/>
        <v>0</v>
      </c>
      <c r="X64" s="67">
        <f t="shared" si="79"/>
        <v>0</v>
      </c>
      <c r="Y64" s="67">
        <f t="shared" si="79"/>
        <v>0</v>
      </c>
      <c r="Z64" s="67">
        <f t="shared" si="79"/>
        <v>0</v>
      </c>
      <c r="AA64" s="67">
        <f t="shared" si="79"/>
        <v>0</v>
      </c>
      <c r="AB64" s="67">
        <f t="shared" si="80"/>
        <v>0</v>
      </c>
      <c r="AC64" s="67">
        <f t="shared" si="80"/>
        <v>0</v>
      </c>
      <c r="AD64" s="67">
        <f t="shared" si="80"/>
        <v>0</v>
      </c>
      <c r="AE64" s="67">
        <f t="shared" si="81"/>
        <v>0</v>
      </c>
      <c r="AF64" s="67">
        <f t="shared" si="81"/>
        <v>0</v>
      </c>
      <c r="AG64" s="67">
        <f t="shared" si="81"/>
        <v>0</v>
      </c>
      <c r="AH64" s="67">
        <f t="shared" si="81"/>
        <v>0</v>
      </c>
      <c r="AI64" s="67">
        <f t="shared" si="82"/>
        <v>0</v>
      </c>
      <c r="AJ64" s="67">
        <f t="shared" si="82"/>
        <v>0</v>
      </c>
      <c r="AK64" s="67">
        <f t="shared" si="82"/>
        <v>0</v>
      </c>
      <c r="AL64" s="67">
        <f t="shared" si="83"/>
        <v>0</v>
      </c>
      <c r="AM64" s="67">
        <f t="shared" si="83"/>
        <v>0</v>
      </c>
      <c r="AN64" s="67">
        <f t="shared" si="83"/>
        <v>0</v>
      </c>
      <c r="AO64" s="67">
        <f t="shared" si="83"/>
        <v>0</v>
      </c>
      <c r="AP64" s="67">
        <f t="shared" si="84"/>
        <v>0</v>
      </c>
      <c r="AQ64" s="67">
        <f t="shared" si="84"/>
        <v>0</v>
      </c>
      <c r="AR64" s="67">
        <f t="shared" si="84"/>
        <v>0</v>
      </c>
      <c r="AS64" s="67">
        <f t="shared" si="85"/>
        <v>0</v>
      </c>
      <c r="AT64" s="67">
        <f t="shared" si="85"/>
        <v>0</v>
      </c>
      <c r="AU64" s="67">
        <f t="shared" si="86"/>
        <v>0</v>
      </c>
      <c r="AV64" s="67">
        <f t="shared" si="87"/>
        <v>0</v>
      </c>
      <c r="AW64" s="67">
        <f t="shared" si="88"/>
        <v>0</v>
      </c>
      <c r="AX64" s="67">
        <f t="shared" si="88"/>
        <v>0</v>
      </c>
      <c r="AY64" s="67">
        <f t="shared" si="94"/>
        <v>0</v>
      </c>
      <c r="AZ64" s="67"/>
      <c r="BA64" s="67"/>
      <c r="BB64" s="67">
        <f t="shared" si="93"/>
        <v>0</v>
      </c>
      <c r="BC64" s="67">
        <f t="shared" si="58"/>
        <v>0</v>
      </c>
      <c r="BD64" s="137">
        <f t="shared" si="90"/>
        <v>0</v>
      </c>
      <c r="BE64" s="67"/>
      <c r="BF64" s="23"/>
      <c r="BO64" s="69"/>
      <c r="EN64" s="61">
        <v>11</v>
      </c>
      <c r="EO64" s="61" t="s">
        <v>388</v>
      </c>
      <c r="FR64" s="217"/>
      <c r="HP64" s="23">
        <f t="shared" si="60"/>
        <v>11</v>
      </c>
      <c r="HQ64" s="23"/>
    </row>
    <row r="65" spans="1:225" s="61" customFormat="1" ht="15.75">
      <c r="A65" s="61" t="s">
        <v>187</v>
      </c>
      <c r="B65" s="62">
        <v>24</v>
      </c>
      <c r="D65" s="14">
        <v>35</v>
      </c>
      <c r="E65" s="61">
        <v>8</v>
      </c>
      <c r="F65" s="61" t="s">
        <v>302</v>
      </c>
      <c r="G65" s="61" t="s">
        <v>129</v>
      </c>
      <c r="H65" s="64">
        <v>36459</v>
      </c>
      <c r="I65" s="61" t="s">
        <v>111</v>
      </c>
      <c r="J65" s="61" t="s">
        <v>112</v>
      </c>
      <c r="K65" s="62"/>
      <c r="L65" s="61" t="s">
        <v>113</v>
      </c>
      <c r="N65" s="61" t="str">
        <f t="shared" si="76"/>
        <v>24R</v>
      </c>
      <c r="O65" s="61" t="str">
        <f t="shared" si="77"/>
        <v>24RBase</v>
      </c>
      <c r="Q65" s="23">
        <f t="shared" si="91"/>
        <v>0</v>
      </c>
      <c r="R65" s="23">
        <f t="shared" si="78"/>
        <v>0</v>
      </c>
      <c r="S65" s="23"/>
      <c r="T65" s="67">
        <v>37147</v>
      </c>
      <c r="U65" s="67"/>
      <c r="V65" s="68">
        <v>0</v>
      </c>
      <c r="W65" s="67">
        <f t="shared" si="92"/>
        <v>0</v>
      </c>
      <c r="X65" s="67">
        <f t="shared" si="79"/>
        <v>0</v>
      </c>
      <c r="Y65" s="67">
        <f t="shared" si="79"/>
        <v>0</v>
      </c>
      <c r="Z65" s="67">
        <f t="shared" si="79"/>
        <v>0</v>
      </c>
      <c r="AA65" s="67">
        <f t="shared" si="79"/>
        <v>0</v>
      </c>
      <c r="AB65" s="67">
        <f t="shared" si="80"/>
        <v>0</v>
      </c>
      <c r="AC65" s="67">
        <f t="shared" si="80"/>
        <v>0</v>
      </c>
      <c r="AD65" s="67">
        <f t="shared" si="80"/>
        <v>0</v>
      </c>
      <c r="AE65" s="67">
        <f t="shared" si="81"/>
        <v>0</v>
      </c>
      <c r="AF65" s="67">
        <f t="shared" si="81"/>
        <v>0</v>
      </c>
      <c r="AG65" s="67">
        <f t="shared" si="81"/>
        <v>0</v>
      </c>
      <c r="AH65" s="67">
        <f t="shared" si="81"/>
        <v>0</v>
      </c>
      <c r="AI65" s="67">
        <f t="shared" si="82"/>
        <v>0</v>
      </c>
      <c r="AJ65" s="67">
        <f t="shared" si="82"/>
        <v>0</v>
      </c>
      <c r="AK65" s="67">
        <f t="shared" si="82"/>
        <v>0</v>
      </c>
      <c r="AL65" s="67">
        <f t="shared" si="83"/>
        <v>0</v>
      </c>
      <c r="AM65" s="67">
        <f t="shared" si="83"/>
        <v>0</v>
      </c>
      <c r="AN65" s="67">
        <f t="shared" si="83"/>
        <v>0</v>
      </c>
      <c r="AO65" s="67">
        <f t="shared" si="83"/>
        <v>0</v>
      </c>
      <c r="AP65" s="67">
        <f t="shared" si="84"/>
        <v>0</v>
      </c>
      <c r="AQ65" s="67">
        <f t="shared" si="84"/>
        <v>0</v>
      </c>
      <c r="AR65" s="67">
        <f t="shared" si="84"/>
        <v>0</v>
      </c>
      <c r="AS65" s="67">
        <f t="shared" si="85"/>
        <v>0</v>
      </c>
      <c r="AT65" s="67">
        <f t="shared" si="85"/>
        <v>0</v>
      </c>
      <c r="AU65" s="67">
        <f t="shared" si="86"/>
        <v>0</v>
      </c>
      <c r="AV65" s="67">
        <f t="shared" si="87"/>
        <v>0</v>
      </c>
      <c r="AW65" s="67">
        <f t="shared" si="88"/>
        <v>0</v>
      </c>
      <c r="AX65" s="67">
        <f t="shared" si="88"/>
        <v>0</v>
      </c>
      <c r="AY65" s="67">
        <f t="shared" si="94"/>
        <v>0</v>
      </c>
      <c r="AZ65" s="67"/>
      <c r="BA65" s="67"/>
      <c r="BB65" s="67">
        <f t="shared" si="93"/>
        <v>0</v>
      </c>
      <c r="BC65" s="67">
        <f t="shared" si="58"/>
        <v>0</v>
      </c>
      <c r="BD65" s="137">
        <f t="shared" si="90"/>
        <v>0</v>
      </c>
      <c r="BE65" s="67"/>
      <c r="BF65" s="23"/>
      <c r="BO65" s="69"/>
      <c r="DL65" s="61">
        <v>1429</v>
      </c>
      <c r="DM65" s="61" t="s">
        <v>125</v>
      </c>
      <c r="FR65" s="217"/>
      <c r="HP65" s="23">
        <f t="shared" si="60"/>
        <v>1429</v>
      </c>
      <c r="HQ65" s="23"/>
    </row>
    <row r="66" spans="1:225" s="61" customFormat="1" ht="15.75">
      <c r="A66" s="61" t="s">
        <v>188</v>
      </c>
      <c r="B66" s="62">
        <v>25</v>
      </c>
      <c r="D66" s="14">
        <v>26</v>
      </c>
      <c r="E66" s="61">
        <v>8</v>
      </c>
      <c r="F66" s="61" t="s">
        <v>365</v>
      </c>
      <c r="G66" s="61" t="s">
        <v>135</v>
      </c>
      <c r="H66" s="64">
        <v>36336</v>
      </c>
      <c r="I66" s="61" t="s">
        <v>111</v>
      </c>
      <c r="J66" s="61" t="s">
        <v>112</v>
      </c>
      <c r="K66" s="62"/>
      <c r="L66" s="61" t="s">
        <v>113</v>
      </c>
      <c r="M66" s="54"/>
      <c r="N66" s="61" t="str">
        <f t="shared" ref="N66:N109" si="95">CONCATENATE(B66,J66)</f>
        <v>25R</v>
      </c>
      <c r="O66" s="61" t="str">
        <f t="shared" ref="O66:O109" si="96">CONCATENATE(B66,J66,I66)</f>
        <v>25RBase</v>
      </c>
      <c r="Q66" s="23">
        <f t="shared" si="91"/>
        <v>0</v>
      </c>
      <c r="R66" s="23">
        <f t="shared" si="78"/>
        <v>0</v>
      </c>
      <c r="S66" s="23"/>
      <c r="T66" s="67">
        <v>37147</v>
      </c>
      <c r="U66" s="67"/>
      <c r="V66" s="68">
        <v>0</v>
      </c>
      <c r="W66" s="67">
        <f t="shared" si="92"/>
        <v>0</v>
      </c>
      <c r="X66" s="67">
        <f t="shared" si="79"/>
        <v>0</v>
      </c>
      <c r="Y66" s="67">
        <f t="shared" si="79"/>
        <v>0</v>
      </c>
      <c r="Z66" s="67">
        <f t="shared" si="79"/>
        <v>0</v>
      </c>
      <c r="AA66" s="67">
        <f t="shared" si="79"/>
        <v>0</v>
      </c>
      <c r="AB66" s="67">
        <f t="shared" si="80"/>
        <v>0</v>
      </c>
      <c r="AC66" s="67">
        <f t="shared" si="80"/>
        <v>0</v>
      </c>
      <c r="AD66" s="67">
        <f t="shared" si="80"/>
        <v>0</v>
      </c>
      <c r="AE66" s="67">
        <f t="shared" si="81"/>
        <v>0</v>
      </c>
      <c r="AF66" s="67">
        <f t="shared" si="81"/>
        <v>0</v>
      </c>
      <c r="AG66" s="67">
        <f t="shared" si="81"/>
        <v>0</v>
      </c>
      <c r="AH66" s="67">
        <f t="shared" si="81"/>
        <v>0</v>
      </c>
      <c r="AI66" s="67">
        <f t="shared" si="82"/>
        <v>0</v>
      </c>
      <c r="AJ66" s="67">
        <f t="shared" si="82"/>
        <v>0</v>
      </c>
      <c r="AK66" s="67">
        <f t="shared" si="82"/>
        <v>0</v>
      </c>
      <c r="AL66" s="67">
        <f t="shared" si="83"/>
        <v>0</v>
      </c>
      <c r="AM66" s="67">
        <f t="shared" si="83"/>
        <v>0</v>
      </c>
      <c r="AN66" s="67">
        <f t="shared" si="83"/>
        <v>0</v>
      </c>
      <c r="AO66" s="67">
        <f t="shared" si="83"/>
        <v>0</v>
      </c>
      <c r="AP66" s="67">
        <f t="shared" si="84"/>
        <v>0</v>
      </c>
      <c r="AQ66" s="67">
        <f t="shared" si="84"/>
        <v>0</v>
      </c>
      <c r="AR66" s="67">
        <f t="shared" si="84"/>
        <v>0</v>
      </c>
      <c r="AS66" s="67">
        <f t="shared" si="85"/>
        <v>0</v>
      </c>
      <c r="AT66" s="67">
        <f t="shared" si="85"/>
        <v>0</v>
      </c>
      <c r="AU66" s="67">
        <f t="shared" si="86"/>
        <v>0</v>
      </c>
      <c r="AV66" s="67">
        <f t="shared" si="87"/>
        <v>0</v>
      </c>
      <c r="AW66" s="67">
        <f t="shared" si="88"/>
        <v>0</v>
      </c>
      <c r="AX66" s="67">
        <f t="shared" si="88"/>
        <v>0</v>
      </c>
      <c r="AY66" s="67">
        <f t="shared" ref="AY66:AY83" si="97">AX66</f>
        <v>0</v>
      </c>
      <c r="AZ66" s="67"/>
      <c r="BA66" s="67"/>
      <c r="BB66" s="67">
        <f t="shared" si="93"/>
        <v>0</v>
      </c>
      <c r="BC66" s="67">
        <f t="shared" si="58"/>
        <v>0</v>
      </c>
      <c r="BD66" s="137">
        <f t="shared" si="90"/>
        <v>0</v>
      </c>
      <c r="BE66" s="67"/>
      <c r="BF66" s="23"/>
      <c r="BK66" s="61">
        <v>833</v>
      </c>
      <c r="BO66" s="69"/>
      <c r="BZ66" s="61">
        <v>9</v>
      </c>
      <c r="CB66" s="61">
        <v>29</v>
      </c>
      <c r="DP66" s="61">
        <v>12</v>
      </c>
      <c r="DY66" s="61" t="s">
        <v>311</v>
      </c>
      <c r="FR66" s="217"/>
      <c r="HP66" s="23">
        <f t="shared" si="60"/>
        <v>883</v>
      </c>
      <c r="HQ66" s="23"/>
    </row>
    <row r="67" spans="1:225" s="61" customFormat="1" ht="15.75">
      <c r="A67" s="61" t="s">
        <v>188</v>
      </c>
      <c r="B67" s="62">
        <v>25</v>
      </c>
      <c r="D67" s="14">
        <v>35</v>
      </c>
      <c r="E67" s="61">
        <v>8</v>
      </c>
      <c r="F67" s="61" t="s">
        <v>365</v>
      </c>
      <c r="G67" s="61" t="s">
        <v>135</v>
      </c>
      <c r="H67" s="64">
        <f t="shared" ref="H67:H75" si="98">H66</f>
        <v>36336</v>
      </c>
      <c r="I67" s="61" t="s">
        <v>111</v>
      </c>
      <c r="J67" s="61" t="s">
        <v>112</v>
      </c>
      <c r="K67" s="62"/>
      <c r="L67" s="61" t="s">
        <v>113</v>
      </c>
      <c r="M67" s="54"/>
      <c r="N67" s="61" t="str">
        <f t="shared" ref="N67:N75" si="99">N66</f>
        <v>25R</v>
      </c>
      <c r="O67" s="61" t="str">
        <f t="shared" ref="O67:O75" si="100">O66</f>
        <v>25RBase</v>
      </c>
      <c r="Q67" s="23">
        <f t="shared" si="91"/>
        <v>0</v>
      </c>
      <c r="R67" s="23">
        <f t="shared" si="78"/>
        <v>0</v>
      </c>
      <c r="S67" s="23"/>
      <c r="T67" s="67">
        <v>37147</v>
      </c>
      <c r="U67" s="67"/>
      <c r="V67" s="68">
        <v>0</v>
      </c>
      <c r="W67" s="67">
        <f t="shared" si="92"/>
        <v>0</v>
      </c>
      <c r="X67" s="67">
        <f t="shared" si="79"/>
        <v>0</v>
      </c>
      <c r="Y67" s="67">
        <f t="shared" si="79"/>
        <v>0</v>
      </c>
      <c r="Z67" s="67">
        <f t="shared" si="79"/>
        <v>0</v>
      </c>
      <c r="AA67" s="67">
        <f t="shared" si="79"/>
        <v>0</v>
      </c>
      <c r="AB67" s="67">
        <f t="shared" si="80"/>
        <v>0</v>
      </c>
      <c r="AC67" s="67">
        <f t="shared" si="80"/>
        <v>0</v>
      </c>
      <c r="AD67" s="67">
        <f t="shared" si="80"/>
        <v>0</v>
      </c>
      <c r="AE67" s="67">
        <f t="shared" si="81"/>
        <v>0</v>
      </c>
      <c r="AF67" s="67">
        <f t="shared" si="81"/>
        <v>0</v>
      </c>
      <c r="AG67" s="67">
        <f t="shared" si="81"/>
        <v>0</v>
      </c>
      <c r="AH67" s="67">
        <f t="shared" si="81"/>
        <v>0</v>
      </c>
      <c r="AI67" s="67">
        <f t="shared" si="82"/>
        <v>0</v>
      </c>
      <c r="AJ67" s="67">
        <f t="shared" si="82"/>
        <v>0</v>
      </c>
      <c r="AK67" s="67">
        <f t="shared" si="82"/>
        <v>0</v>
      </c>
      <c r="AL67" s="67">
        <f t="shared" si="83"/>
        <v>0</v>
      </c>
      <c r="AM67" s="67">
        <f t="shared" si="83"/>
        <v>0</v>
      </c>
      <c r="AN67" s="67">
        <f t="shared" si="83"/>
        <v>0</v>
      </c>
      <c r="AO67" s="67">
        <f t="shared" si="83"/>
        <v>0</v>
      </c>
      <c r="AP67" s="67">
        <f t="shared" si="84"/>
        <v>0</v>
      </c>
      <c r="AQ67" s="67">
        <f t="shared" si="84"/>
        <v>0</v>
      </c>
      <c r="AR67" s="67">
        <f t="shared" si="84"/>
        <v>0</v>
      </c>
      <c r="AS67" s="67">
        <f t="shared" si="85"/>
        <v>0</v>
      </c>
      <c r="AT67" s="67">
        <f t="shared" si="85"/>
        <v>0</v>
      </c>
      <c r="AU67" s="67">
        <f t="shared" si="86"/>
        <v>0</v>
      </c>
      <c r="AV67" s="67">
        <f t="shared" si="87"/>
        <v>0</v>
      </c>
      <c r="AW67" s="67">
        <f t="shared" si="88"/>
        <v>0</v>
      </c>
      <c r="AX67" s="67">
        <f t="shared" si="88"/>
        <v>0</v>
      </c>
      <c r="AY67" s="67">
        <f t="shared" si="97"/>
        <v>0</v>
      </c>
      <c r="AZ67" s="67"/>
      <c r="BA67" s="67"/>
      <c r="BB67" s="67">
        <f t="shared" si="93"/>
        <v>0</v>
      </c>
      <c r="BC67" s="67">
        <f t="shared" si="58"/>
        <v>0</v>
      </c>
      <c r="BD67" s="137">
        <f t="shared" si="90"/>
        <v>0</v>
      </c>
      <c r="BE67" s="67"/>
      <c r="BF67" s="23"/>
      <c r="BK67" s="61">
        <v>5500</v>
      </c>
      <c r="BO67" s="69"/>
      <c r="DM67" s="61" t="s">
        <v>184</v>
      </c>
      <c r="DX67" s="61">
        <v>690</v>
      </c>
      <c r="DY67" s="61" t="s">
        <v>178</v>
      </c>
      <c r="FR67" s="217"/>
      <c r="HP67" s="23">
        <f t="shared" si="60"/>
        <v>6190</v>
      </c>
      <c r="HQ67" s="23"/>
    </row>
    <row r="68" spans="1:225" s="61" customFormat="1" ht="15.75">
      <c r="A68" s="61" t="s">
        <v>188</v>
      </c>
      <c r="B68" s="62">
        <v>25</v>
      </c>
      <c r="D68" s="14">
        <v>36</v>
      </c>
      <c r="E68" s="61">
        <v>8</v>
      </c>
      <c r="F68" s="61" t="s">
        <v>365</v>
      </c>
      <c r="G68" s="61" t="s">
        <v>135</v>
      </c>
      <c r="H68" s="64">
        <f t="shared" si="98"/>
        <v>36336</v>
      </c>
      <c r="I68" s="61" t="s">
        <v>111</v>
      </c>
      <c r="J68" s="61" t="s">
        <v>112</v>
      </c>
      <c r="K68" s="62"/>
      <c r="L68" s="61" t="s">
        <v>113</v>
      </c>
      <c r="M68" s="54"/>
      <c r="N68" s="61" t="str">
        <f t="shared" si="99"/>
        <v>25R</v>
      </c>
      <c r="O68" s="61" t="str">
        <f t="shared" si="100"/>
        <v>25RBase</v>
      </c>
      <c r="Q68" s="23">
        <f t="shared" si="91"/>
        <v>0</v>
      </c>
      <c r="R68" s="23">
        <f t="shared" si="78"/>
        <v>0</v>
      </c>
      <c r="S68" s="23"/>
      <c r="T68" s="67">
        <v>37147</v>
      </c>
      <c r="U68" s="67"/>
      <c r="V68" s="68">
        <v>0</v>
      </c>
      <c r="W68" s="67">
        <f t="shared" si="92"/>
        <v>0</v>
      </c>
      <c r="X68" s="67">
        <f t="shared" si="79"/>
        <v>0</v>
      </c>
      <c r="Y68" s="67">
        <f t="shared" si="79"/>
        <v>0</v>
      </c>
      <c r="Z68" s="67">
        <f t="shared" si="79"/>
        <v>0</v>
      </c>
      <c r="AA68" s="67">
        <f t="shared" si="79"/>
        <v>0</v>
      </c>
      <c r="AB68" s="67">
        <f t="shared" si="80"/>
        <v>0</v>
      </c>
      <c r="AC68" s="67">
        <f t="shared" si="80"/>
        <v>0</v>
      </c>
      <c r="AD68" s="67">
        <f t="shared" si="80"/>
        <v>0</v>
      </c>
      <c r="AE68" s="67">
        <f t="shared" si="81"/>
        <v>0</v>
      </c>
      <c r="AF68" s="67">
        <f t="shared" si="81"/>
        <v>0</v>
      </c>
      <c r="AG68" s="67">
        <f t="shared" si="81"/>
        <v>0</v>
      </c>
      <c r="AH68" s="67">
        <f t="shared" si="81"/>
        <v>0</v>
      </c>
      <c r="AI68" s="67">
        <f t="shared" si="82"/>
        <v>0</v>
      </c>
      <c r="AJ68" s="67">
        <f t="shared" si="82"/>
        <v>0</v>
      </c>
      <c r="AK68" s="67">
        <f t="shared" si="82"/>
        <v>0</v>
      </c>
      <c r="AL68" s="67">
        <f t="shared" si="83"/>
        <v>0</v>
      </c>
      <c r="AM68" s="67">
        <f t="shared" si="83"/>
        <v>0</v>
      </c>
      <c r="AN68" s="67">
        <f t="shared" si="83"/>
        <v>0</v>
      </c>
      <c r="AO68" s="67">
        <f t="shared" si="83"/>
        <v>0</v>
      </c>
      <c r="AP68" s="67">
        <f t="shared" si="84"/>
        <v>0</v>
      </c>
      <c r="AQ68" s="67">
        <f t="shared" si="84"/>
        <v>0</v>
      </c>
      <c r="AR68" s="67">
        <f t="shared" si="84"/>
        <v>0</v>
      </c>
      <c r="AS68" s="67">
        <f t="shared" si="85"/>
        <v>0</v>
      </c>
      <c r="AT68" s="67">
        <f t="shared" si="85"/>
        <v>0</v>
      </c>
      <c r="AU68" s="67">
        <f t="shared" si="86"/>
        <v>0</v>
      </c>
      <c r="AV68" s="67">
        <f t="shared" si="87"/>
        <v>0</v>
      </c>
      <c r="AW68" s="67">
        <f t="shared" si="88"/>
        <v>0</v>
      </c>
      <c r="AX68" s="67">
        <f t="shared" si="88"/>
        <v>0</v>
      </c>
      <c r="AY68" s="67">
        <f t="shared" si="97"/>
        <v>0</v>
      </c>
      <c r="AZ68" s="67"/>
      <c r="BA68" s="67"/>
      <c r="BB68" s="67">
        <f t="shared" si="93"/>
        <v>0</v>
      </c>
      <c r="BC68" s="67">
        <f t="shared" si="58"/>
        <v>0</v>
      </c>
      <c r="BD68" s="137">
        <f t="shared" si="90"/>
        <v>0</v>
      </c>
      <c r="BE68" s="67"/>
      <c r="BF68" s="23"/>
      <c r="BK68" s="61">
        <v>1096</v>
      </c>
      <c r="BO68" s="69"/>
      <c r="DU68" s="61" t="s">
        <v>158</v>
      </c>
      <c r="DY68" s="61" t="s">
        <v>116</v>
      </c>
      <c r="EF68" s="61">
        <v>9</v>
      </c>
      <c r="FR68" s="217"/>
      <c r="HP68" s="23">
        <f t="shared" si="60"/>
        <v>1105</v>
      </c>
      <c r="HQ68" s="23"/>
    </row>
    <row r="69" spans="1:225" s="61" customFormat="1" ht="15.75">
      <c r="A69" s="61" t="s">
        <v>188</v>
      </c>
      <c r="B69" s="62">
        <v>25</v>
      </c>
      <c r="D69" s="14">
        <v>38</v>
      </c>
      <c r="E69" s="61">
        <v>8</v>
      </c>
      <c r="F69" s="61" t="s">
        <v>365</v>
      </c>
      <c r="G69" s="61" t="s">
        <v>135</v>
      </c>
      <c r="H69" s="64">
        <f t="shared" si="98"/>
        <v>36336</v>
      </c>
      <c r="I69" s="61" t="s">
        <v>111</v>
      </c>
      <c r="J69" s="61" t="s">
        <v>112</v>
      </c>
      <c r="K69" s="62"/>
      <c r="L69" s="61" t="s">
        <v>113</v>
      </c>
      <c r="N69" s="61" t="str">
        <f t="shared" si="99"/>
        <v>25R</v>
      </c>
      <c r="O69" s="61" t="str">
        <f t="shared" si="100"/>
        <v>25RBase</v>
      </c>
      <c r="Q69" s="23">
        <f t="shared" si="91"/>
        <v>0</v>
      </c>
      <c r="R69" s="23">
        <f t="shared" si="78"/>
        <v>0</v>
      </c>
      <c r="S69" s="23"/>
      <c r="T69" s="67">
        <v>37147</v>
      </c>
      <c r="U69" s="67"/>
      <c r="V69" s="68">
        <v>0</v>
      </c>
      <c r="W69" s="67">
        <f t="shared" si="92"/>
        <v>0</v>
      </c>
      <c r="X69" s="67">
        <f t="shared" si="79"/>
        <v>0</v>
      </c>
      <c r="Y69" s="67">
        <f t="shared" si="79"/>
        <v>0</v>
      </c>
      <c r="Z69" s="67">
        <f t="shared" si="79"/>
        <v>0</v>
      </c>
      <c r="AA69" s="67">
        <f t="shared" si="79"/>
        <v>0</v>
      </c>
      <c r="AB69" s="67">
        <f t="shared" si="80"/>
        <v>0</v>
      </c>
      <c r="AC69" s="67">
        <f t="shared" si="80"/>
        <v>0</v>
      </c>
      <c r="AD69" s="67">
        <f t="shared" si="80"/>
        <v>0</v>
      </c>
      <c r="AE69" s="67">
        <f t="shared" si="81"/>
        <v>0</v>
      </c>
      <c r="AF69" s="67">
        <f t="shared" si="81"/>
        <v>0</v>
      </c>
      <c r="AG69" s="67">
        <f t="shared" si="81"/>
        <v>0</v>
      </c>
      <c r="AH69" s="67">
        <f t="shared" si="81"/>
        <v>0</v>
      </c>
      <c r="AI69" s="67">
        <f t="shared" si="82"/>
        <v>0</v>
      </c>
      <c r="AJ69" s="67">
        <f t="shared" si="82"/>
        <v>0</v>
      </c>
      <c r="AK69" s="67">
        <f t="shared" si="82"/>
        <v>0</v>
      </c>
      <c r="AL69" s="67">
        <f t="shared" si="83"/>
        <v>0</v>
      </c>
      <c r="AM69" s="67">
        <f t="shared" si="83"/>
        <v>0</v>
      </c>
      <c r="AN69" s="67">
        <f t="shared" si="83"/>
        <v>0</v>
      </c>
      <c r="AO69" s="67">
        <f t="shared" si="83"/>
        <v>0</v>
      </c>
      <c r="AP69" s="67">
        <f t="shared" si="84"/>
        <v>0</v>
      </c>
      <c r="AQ69" s="67">
        <f t="shared" si="84"/>
        <v>0</v>
      </c>
      <c r="AR69" s="67">
        <f t="shared" si="84"/>
        <v>0</v>
      </c>
      <c r="AS69" s="67">
        <f t="shared" ref="AS69:AT86" si="101">AR69</f>
        <v>0</v>
      </c>
      <c r="AT69" s="67">
        <f t="shared" si="101"/>
        <v>0</v>
      </c>
      <c r="AU69" s="67">
        <f t="shared" si="86"/>
        <v>0</v>
      </c>
      <c r="AV69" s="67">
        <f t="shared" si="87"/>
        <v>0</v>
      </c>
      <c r="AW69" s="67">
        <f t="shared" si="88"/>
        <v>0</v>
      </c>
      <c r="AX69" s="67">
        <f t="shared" si="88"/>
        <v>0</v>
      </c>
      <c r="AY69" s="67">
        <f t="shared" si="97"/>
        <v>0</v>
      </c>
      <c r="AZ69" s="67"/>
      <c r="BA69" s="67"/>
      <c r="BB69" s="67">
        <f t="shared" si="93"/>
        <v>0</v>
      </c>
      <c r="BC69" s="67">
        <f t="shared" si="58"/>
        <v>0</v>
      </c>
      <c r="BD69" s="137">
        <f t="shared" si="90"/>
        <v>0</v>
      </c>
      <c r="BE69" s="67"/>
      <c r="BF69" s="23"/>
      <c r="BK69" s="61">
        <v>41</v>
      </c>
      <c r="BO69" s="69"/>
      <c r="EA69" s="61" t="s">
        <v>119</v>
      </c>
      <c r="FR69" s="217"/>
      <c r="HP69" s="23">
        <f t="shared" si="60"/>
        <v>41</v>
      </c>
      <c r="HQ69" s="23"/>
    </row>
    <row r="70" spans="1:225" s="61" customFormat="1" ht="15.75">
      <c r="A70" s="61" t="s">
        <v>188</v>
      </c>
      <c r="B70" s="62">
        <v>25</v>
      </c>
      <c r="D70" s="14">
        <v>39</v>
      </c>
      <c r="E70" s="61">
        <v>8</v>
      </c>
      <c r="F70" s="61" t="s">
        <v>365</v>
      </c>
      <c r="G70" s="61" t="s">
        <v>135</v>
      </c>
      <c r="H70" s="64">
        <f t="shared" si="98"/>
        <v>36336</v>
      </c>
      <c r="I70" s="61" t="s">
        <v>111</v>
      </c>
      <c r="J70" s="61" t="s">
        <v>112</v>
      </c>
      <c r="K70" s="62"/>
      <c r="L70" s="61" t="s">
        <v>113</v>
      </c>
      <c r="N70" s="61" t="str">
        <f t="shared" si="99"/>
        <v>25R</v>
      </c>
      <c r="O70" s="61" t="str">
        <f t="shared" si="100"/>
        <v>25RBase</v>
      </c>
      <c r="Q70" s="23">
        <f t="shared" si="91"/>
        <v>0</v>
      </c>
      <c r="R70" s="23">
        <f t="shared" si="78"/>
        <v>0</v>
      </c>
      <c r="S70" s="23"/>
      <c r="T70" s="67">
        <v>37147</v>
      </c>
      <c r="U70" s="67"/>
      <c r="V70" s="68">
        <v>0</v>
      </c>
      <c r="W70" s="67">
        <f t="shared" si="92"/>
        <v>0</v>
      </c>
      <c r="X70" s="67">
        <f t="shared" si="79"/>
        <v>0</v>
      </c>
      <c r="Y70" s="67">
        <f t="shared" si="79"/>
        <v>0</v>
      </c>
      <c r="Z70" s="67">
        <f t="shared" si="79"/>
        <v>0</v>
      </c>
      <c r="AA70" s="67">
        <f t="shared" si="79"/>
        <v>0</v>
      </c>
      <c r="AB70" s="67">
        <f t="shared" ref="AB70:AD87" si="102">AA70</f>
        <v>0</v>
      </c>
      <c r="AC70" s="67">
        <f t="shared" si="102"/>
        <v>0</v>
      </c>
      <c r="AD70" s="67">
        <f t="shared" si="102"/>
        <v>0</v>
      </c>
      <c r="AE70" s="67">
        <f t="shared" si="81"/>
        <v>0</v>
      </c>
      <c r="AF70" s="67">
        <f t="shared" si="81"/>
        <v>0</v>
      </c>
      <c r="AG70" s="67">
        <f t="shared" si="81"/>
        <v>0</v>
      </c>
      <c r="AH70" s="67">
        <f t="shared" si="81"/>
        <v>0</v>
      </c>
      <c r="AI70" s="67">
        <f t="shared" ref="AI70:AK87" si="103">AH70</f>
        <v>0</v>
      </c>
      <c r="AJ70" s="67">
        <f t="shared" si="103"/>
        <v>0</v>
      </c>
      <c r="AK70" s="67">
        <f t="shared" si="103"/>
        <v>0</v>
      </c>
      <c r="AL70" s="67">
        <f t="shared" si="83"/>
        <v>0</v>
      </c>
      <c r="AM70" s="67">
        <f t="shared" si="83"/>
        <v>0</v>
      </c>
      <c r="AN70" s="67">
        <f t="shared" si="83"/>
        <v>0</v>
      </c>
      <c r="AO70" s="67">
        <f t="shared" si="83"/>
        <v>0</v>
      </c>
      <c r="AP70" s="67">
        <f t="shared" ref="AP70:AR87" si="104">AO70</f>
        <v>0</v>
      </c>
      <c r="AQ70" s="67">
        <f t="shared" si="104"/>
        <v>0</v>
      </c>
      <c r="AR70" s="67">
        <f t="shared" si="104"/>
        <v>0</v>
      </c>
      <c r="AS70" s="67">
        <f t="shared" si="101"/>
        <v>0</v>
      </c>
      <c r="AT70" s="67">
        <f t="shared" si="101"/>
        <v>0</v>
      </c>
      <c r="AU70" s="67">
        <f t="shared" si="86"/>
        <v>0</v>
      </c>
      <c r="AV70" s="67">
        <f t="shared" si="87"/>
        <v>0</v>
      </c>
      <c r="AW70" s="67">
        <f t="shared" ref="AW70:AX87" si="105">AV70</f>
        <v>0</v>
      </c>
      <c r="AX70" s="67">
        <f t="shared" si="105"/>
        <v>0</v>
      </c>
      <c r="AY70" s="67">
        <f t="shared" si="97"/>
        <v>0</v>
      </c>
      <c r="AZ70" s="67"/>
      <c r="BA70" s="67"/>
      <c r="BB70" s="67">
        <f t="shared" si="93"/>
        <v>0</v>
      </c>
      <c r="BC70" s="67">
        <f t="shared" si="58"/>
        <v>0</v>
      </c>
      <c r="BD70" s="137">
        <f t="shared" si="90"/>
        <v>0</v>
      </c>
      <c r="BE70" s="67"/>
      <c r="BF70" s="23"/>
      <c r="BK70" s="61">
        <v>467</v>
      </c>
      <c r="BO70" s="69"/>
      <c r="DM70" s="61" t="s">
        <v>312</v>
      </c>
      <c r="EC70" s="61" t="s">
        <v>147</v>
      </c>
      <c r="FR70" s="217"/>
      <c r="GD70" s="61">
        <v>1</v>
      </c>
      <c r="HP70" s="23">
        <f t="shared" si="60"/>
        <v>468</v>
      </c>
      <c r="HQ70" s="23"/>
    </row>
    <row r="71" spans="1:225" s="61" customFormat="1" ht="15.75">
      <c r="A71" s="61" t="s">
        <v>188</v>
      </c>
      <c r="B71" s="62">
        <v>25</v>
      </c>
      <c r="D71" s="14">
        <v>26</v>
      </c>
      <c r="E71" s="61">
        <v>8</v>
      </c>
      <c r="F71" s="61" t="s">
        <v>150</v>
      </c>
      <c r="G71" s="61" t="s">
        <v>135</v>
      </c>
      <c r="H71" s="64">
        <f t="shared" si="98"/>
        <v>36336</v>
      </c>
      <c r="I71" s="61" t="s">
        <v>111</v>
      </c>
      <c r="J71" s="61" t="s">
        <v>112</v>
      </c>
      <c r="K71" s="62"/>
      <c r="L71" s="61" t="s">
        <v>113</v>
      </c>
      <c r="M71" s="54"/>
      <c r="N71" s="61" t="str">
        <f t="shared" si="99"/>
        <v>25R</v>
      </c>
      <c r="O71" s="61" t="str">
        <f t="shared" si="100"/>
        <v>25RBase</v>
      </c>
      <c r="Q71" s="23">
        <f t="shared" si="91"/>
        <v>0</v>
      </c>
      <c r="R71" s="23">
        <f t="shared" si="78"/>
        <v>0</v>
      </c>
      <c r="S71" s="23"/>
      <c r="T71" s="67">
        <v>37147</v>
      </c>
      <c r="U71" s="67"/>
      <c r="V71" s="68">
        <v>0</v>
      </c>
      <c r="W71" s="67">
        <f t="shared" si="92"/>
        <v>0</v>
      </c>
      <c r="X71" s="67">
        <f t="shared" ref="X71:AA84" si="106">W71</f>
        <v>0</v>
      </c>
      <c r="Y71" s="67">
        <f t="shared" si="106"/>
        <v>0</v>
      </c>
      <c r="Z71" s="67">
        <f t="shared" si="106"/>
        <v>0</v>
      </c>
      <c r="AA71" s="67">
        <f t="shared" si="106"/>
        <v>0</v>
      </c>
      <c r="AB71" s="67">
        <f t="shared" si="102"/>
        <v>0</v>
      </c>
      <c r="AC71" s="67">
        <f t="shared" si="102"/>
        <v>0</v>
      </c>
      <c r="AD71" s="67">
        <f t="shared" si="102"/>
        <v>0</v>
      </c>
      <c r="AE71" s="67">
        <f t="shared" ref="AE71:AH89" si="107">AD71</f>
        <v>0</v>
      </c>
      <c r="AF71" s="67">
        <f t="shared" si="107"/>
        <v>0</v>
      </c>
      <c r="AG71" s="67">
        <f t="shared" si="107"/>
        <v>0</v>
      </c>
      <c r="AH71" s="67">
        <f t="shared" si="107"/>
        <v>0</v>
      </c>
      <c r="AI71" s="67">
        <f t="shared" si="103"/>
        <v>0</v>
      </c>
      <c r="AJ71" s="67">
        <f t="shared" si="103"/>
        <v>0</v>
      </c>
      <c r="AK71" s="67">
        <f t="shared" si="103"/>
        <v>0</v>
      </c>
      <c r="AL71" s="67">
        <f t="shared" ref="AL71:AO89" si="108">AK71</f>
        <v>0</v>
      </c>
      <c r="AM71" s="67">
        <f t="shared" si="108"/>
        <v>0</v>
      </c>
      <c r="AN71" s="67">
        <f t="shared" si="108"/>
        <v>0</v>
      </c>
      <c r="AO71" s="67">
        <f t="shared" si="108"/>
        <v>0</v>
      </c>
      <c r="AP71" s="67">
        <f t="shared" si="104"/>
        <v>0</v>
      </c>
      <c r="AQ71" s="67">
        <f t="shared" si="104"/>
        <v>0</v>
      </c>
      <c r="AR71" s="67">
        <f t="shared" si="104"/>
        <v>0</v>
      </c>
      <c r="AS71" s="67">
        <f t="shared" si="101"/>
        <v>0</v>
      </c>
      <c r="AT71" s="67">
        <f t="shared" si="101"/>
        <v>0</v>
      </c>
      <c r="AU71" s="67">
        <f t="shared" si="86"/>
        <v>0</v>
      </c>
      <c r="AV71" s="67">
        <f t="shared" ref="AV71:AV87" si="109">AU71</f>
        <v>0</v>
      </c>
      <c r="AW71" s="67">
        <f t="shared" si="105"/>
        <v>0</v>
      </c>
      <c r="AX71" s="67">
        <f t="shared" si="105"/>
        <v>0</v>
      </c>
      <c r="AY71" s="67">
        <f t="shared" si="97"/>
        <v>0</v>
      </c>
      <c r="AZ71" s="67"/>
      <c r="BA71" s="67"/>
      <c r="BB71" s="67">
        <f t="shared" si="93"/>
        <v>0</v>
      </c>
      <c r="BC71" s="67">
        <f t="shared" si="58"/>
        <v>0</v>
      </c>
      <c r="BD71" s="137">
        <f t="shared" si="90"/>
        <v>0</v>
      </c>
      <c r="BE71" s="67"/>
      <c r="BF71" s="23"/>
      <c r="BO71" s="69"/>
      <c r="DQ71" s="61" t="s">
        <v>125</v>
      </c>
      <c r="DV71" s="61">
        <v>28</v>
      </c>
      <c r="DW71" s="61" t="s">
        <v>313</v>
      </c>
      <c r="FR71" s="217"/>
      <c r="HP71" s="23">
        <f t="shared" si="60"/>
        <v>28</v>
      </c>
      <c r="HQ71" s="23"/>
    </row>
    <row r="72" spans="1:225" s="61" customFormat="1" ht="15.75">
      <c r="A72" s="61" t="s">
        <v>188</v>
      </c>
      <c r="B72" s="62">
        <v>25</v>
      </c>
      <c r="D72" s="14">
        <v>35</v>
      </c>
      <c r="E72" s="61">
        <v>8</v>
      </c>
      <c r="F72" s="61" t="s">
        <v>150</v>
      </c>
      <c r="G72" s="61" t="s">
        <v>135</v>
      </c>
      <c r="H72" s="64">
        <f t="shared" si="98"/>
        <v>36336</v>
      </c>
      <c r="I72" s="61" t="s">
        <v>111</v>
      </c>
      <c r="J72" s="61" t="s">
        <v>112</v>
      </c>
      <c r="K72" s="62"/>
      <c r="L72" s="61" t="s">
        <v>113</v>
      </c>
      <c r="N72" s="61" t="str">
        <f t="shared" si="99"/>
        <v>25R</v>
      </c>
      <c r="O72" s="61" t="str">
        <f t="shared" si="100"/>
        <v>25RBase</v>
      </c>
      <c r="Q72" s="23">
        <f t="shared" si="91"/>
        <v>0</v>
      </c>
      <c r="R72" s="23">
        <f t="shared" si="78"/>
        <v>0</v>
      </c>
      <c r="S72" s="23"/>
      <c r="T72" s="67">
        <v>37147</v>
      </c>
      <c r="U72" s="67"/>
      <c r="V72" s="68">
        <v>0</v>
      </c>
      <c r="W72" s="67">
        <f t="shared" si="92"/>
        <v>0</v>
      </c>
      <c r="X72" s="67">
        <f t="shared" si="106"/>
        <v>0</v>
      </c>
      <c r="Y72" s="67">
        <f t="shared" si="106"/>
        <v>0</v>
      </c>
      <c r="Z72" s="67">
        <f t="shared" si="106"/>
        <v>0</v>
      </c>
      <c r="AA72" s="67">
        <f t="shared" si="106"/>
        <v>0</v>
      </c>
      <c r="AB72" s="67">
        <f t="shared" si="102"/>
        <v>0</v>
      </c>
      <c r="AC72" s="67">
        <f t="shared" si="102"/>
        <v>0</v>
      </c>
      <c r="AD72" s="67">
        <f t="shared" si="102"/>
        <v>0</v>
      </c>
      <c r="AE72" s="67">
        <f t="shared" si="107"/>
        <v>0</v>
      </c>
      <c r="AF72" s="67">
        <f t="shared" si="107"/>
        <v>0</v>
      </c>
      <c r="AG72" s="67">
        <f t="shared" si="107"/>
        <v>0</v>
      </c>
      <c r="AH72" s="67">
        <f t="shared" si="107"/>
        <v>0</v>
      </c>
      <c r="AI72" s="67">
        <f t="shared" si="103"/>
        <v>0</v>
      </c>
      <c r="AJ72" s="67">
        <f t="shared" si="103"/>
        <v>0</v>
      </c>
      <c r="AK72" s="67">
        <f t="shared" si="103"/>
        <v>0</v>
      </c>
      <c r="AL72" s="67">
        <f t="shared" si="108"/>
        <v>0</v>
      </c>
      <c r="AM72" s="67">
        <f t="shared" si="108"/>
        <v>0</v>
      </c>
      <c r="AN72" s="67">
        <f t="shared" si="108"/>
        <v>0</v>
      </c>
      <c r="AO72" s="67">
        <f t="shared" si="108"/>
        <v>0</v>
      </c>
      <c r="AP72" s="67">
        <f t="shared" si="104"/>
        <v>0</v>
      </c>
      <c r="AQ72" s="67">
        <f t="shared" si="104"/>
        <v>0</v>
      </c>
      <c r="AR72" s="67">
        <f t="shared" si="104"/>
        <v>0</v>
      </c>
      <c r="AS72" s="67">
        <f t="shared" si="101"/>
        <v>0</v>
      </c>
      <c r="AT72" s="67">
        <f t="shared" si="101"/>
        <v>0</v>
      </c>
      <c r="AU72" s="67">
        <f t="shared" ref="AU72:AU106" si="110">AT72</f>
        <v>0</v>
      </c>
      <c r="AV72" s="67">
        <f t="shared" si="109"/>
        <v>0</v>
      </c>
      <c r="AW72" s="67">
        <f t="shared" si="105"/>
        <v>0</v>
      </c>
      <c r="AX72" s="67">
        <f t="shared" si="105"/>
        <v>0</v>
      </c>
      <c r="AY72" s="67">
        <f t="shared" si="97"/>
        <v>0</v>
      </c>
      <c r="AZ72" s="67"/>
      <c r="BA72" s="67"/>
      <c r="BB72" s="67">
        <f t="shared" si="93"/>
        <v>0</v>
      </c>
      <c r="BC72" s="67">
        <f t="shared" si="58"/>
        <v>0</v>
      </c>
      <c r="BD72" s="137">
        <f t="shared" si="90"/>
        <v>0</v>
      </c>
      <c r="BE72" s="67"/>
      <c r="BF72" s="23"/>
      <c r="BO72" s="69"/>
      <c r="DL72" s="61">
        <v>871</v>
      </c>
      <c r="DM72" s="61" t="s">
        <v>194</v>
      </c>
      <c r="DX72" s="61">
        <v>5448</v>
      </c>
      <c r="FR72" s="217"/>
      <c r="HP72" s="23">
        <f t="shared" ref="HP72:HP103" si="111">SUM(BG72:HO72)-V72</f>
        <v>6319</v>
      </c>
      <c r="HQ72" s="23"/>
    </row>
    <row r="73" spans="1:225" s="195" customFormat="1" ht="15.75">
      <c r="A73" s="195" t="s">
        <v>188</v>
      </c>
      <c r="B73" s="196">
        <v>25</v>
      </c>
      <c r="D73" s="195">
        <v>36</v>
      </c>
      <c r="E73" s="195">
        <v>8</v>
      </c>
      <c r="F73" s="195" t="s">
        <v>150</v>
      </c>
      <c r="G73" s="195" t="s">
        <v>135</v>
      </c>
      <c r="H73" s="64">
        <f t="shared" si="98"/>
        <v>36336</v>
      </c>
      <c r="I73" s="195" t="s">
        <v>111</v>
      </c>
      <c r="J73" s="195" t="s">
        <v>112</v>
      </c>
      <c r="K73" s="196"/>
      <c r="L73" s="195" t="s">
        <v>113</v>
      </c>
      <c r="N73" s="61" t="str">
        <f t="shared" si="99"/>
        <v>25R</v>
      </c>
      <c r="O73" s="61" t="str">
        <f t="shared" si="100"/>
        <v>25RBase</v>
      </c>
      <c r="Q73" s="197">
        <f>+BC73</f>
        <v>0</v>
      </c>
      <c r="R73" s="197">
        <f t="shared" si="78"/>
        <v>0</v>
      </c>
      <c r="S73" s="197"/>
      <c r="T73" s="198">
        <v>37147</v>
      </c>
      <c r="U73" s="198"/>
      <c r="V73" s="199">
        <v>0</v>
      </c>
      <c r="W73" s="198">
        <f t="shared" si="92"/>
        <v>0</v>
      </c>
      <c r="X73" s="198">
        <f t="shared" si="106"/>
        <v>0</v>
      </c>
      <c r="Y73" s="198">
        <f t="shared" si="106"/>
        <v>0</v>
      </c>
      <c r="Z73" s="198">
        <f t="shared" si="106"/>
        <v>0</v>
      </c>
      <c r="AA73" s="198">
        <f t="shared" si="106"/>
        <v>0</v>
      </c>
      <c r="AB73" s="198">
        <f t="shared" si="102"/>
        <v>0</v>
      </c>
      <c r="AC73" s="198">
        <f t="shared" si="102"/>
        <v>0</v>
      </c>
      <c r="AD73" s="198">
        <f t="shared" si="102"/>
        <v>0</v>
      </c>
      <c r="AE73" s="198">
        <f t="shared" si="107"/>
        <v>0</v>
      </c>
      <c r="AF73" s="198">
        <f t="shared" si="107"/>
        <v>0</v>
      </c>
      <c r="AG73" s="198">
        <f t="shared" si="107"/>
        <v>0</v>
      </c>
      <c r="AH73" s="198">
        <f t="shared" si="107"/>
        <v>0</v>
      </c>
      <c r="AI73" s="198">
        <f t="shared" si="103"/>
        <v>0</v>
      </c>
      <c r="AJ73" s="198">
        <f t="shared" si="103"/>
        <v>0</v>
      </c>
      <c r="AK73" s="198">
        <f t="shared" si="103"/>
        <v>0</v>
      </c>
      <c r="AL73" s="198">
        <f t="shared" si="108"/>
        <v>0</v>
      </c>
      <c r="AM73" s="198">
        <f t="shared" si="108"/>
        <v>0</v>
      </c>
      <c r="AN73" s="198">
        <f t="shared" si="108"/>
        <v>0</v>
      </c>
      <c r="AO73" s="198">
        <f t="shared" si="108"/>
        <v>0</v>
      </c>
      <c r="AP73" s="198">
        <f t="shared" si="104"/>
        <v>0</v>
      </c>
      <c r="AQ73" s="198">
        <f t="shared" si="104"/>
        <v>0</v>
      </c>
      <c r="AR73" s="198">
        <f t="shared" si="104"/>
        <v>0</v>
      </c>
      <c r="AS73" s="198">
        <f t="shared" si="101"/>
        <v>0</v>
      </c>
      <c r="AT73" s="198">
        <f t="shared" si="101"/>
        <v>0</v>
      </c>
      <c r="AU73" s="198">
        <f t="shared" si="110"/>
        <v>0</v>
      </c>
      <c r="AV73" s="198">
        <f t="shared" si="109"/>
        <v>0</v>
      </c>
      <c r="AW73" s="198">
        <f t="shared" si="105"/>
        <v>0</v>
      </c>
      <c r="AX73" s="198">
        <f t="shared" si="105"/>
        <v>0</v>
      </c>
      <c r="AY73" s="198">
        <f t="shared" si="97"/>
        <v>0</v>
      </c>
      <c r="AZ73" s="198"/>
      <c r="BA73" s="198"/>
      <c r="BB73" s="198">
        <f>SUM(V73:AZ73)</f>
        <v>0</v>
      </c>
      <c r="BC73" s="198">
        <f>+BB73/30</f>
        <v>0</v>
      </c>
      <c r="BD73" s="198">
        <f>MAX(V73:AZ73)</f>
        <v>0</v>
      </c>
      <c r="BE73" s="198"/>
      <c r="BF73" s="197"/>
      <c r="BO73" s="200"/>
      <c r="DM73" s="195" t="s">
        <v>194</v>
      </c>
      <c r="FH73" s="61"/>
      <c r="FI73" s="61"/>
      <c r="FJ73" s="61"/>
      <c r="FK73" s="61"/>
      <c r="FL73" s="61"/>
      <c r="FM73" s="61"/>
      <c r="FN73" s="61"/>
      <c r="FO73" s="61"/>
      <c r="FP73" s="61"/>
      <c r="FQ73" s="61"/>
      <c r="FR73" s="217"/>
      <c r="FS73" s="61"/>
      <c r="FT73" s="61"/>
      <c r="FU73" s="61"/>
      <c r="FV73" s="61"/>
      <c r="FW73" s="61"/>
      <c r="FX73" s="61"/>
      <c r="FY73" s="61"/>
      <c r="FZ73" s="61"/>
      <c r="GA73" s="61"/>
      <c r="GB73" s="61">
        <v>1</v>
      </c>
      <c r="GC73" s="61"/>
      <c r="GD73" s="61"/>
      <c r="GE73" s="61"/>
      <c r="GF73" s="61"/>
      <c r="GG73" s="61"/>
      <c r="GH73" s="61"/>
      <c r="GI73" s="61"/>
      <c r="GJ73" s="61"/>
      <c r="GK73" s="61"/>
      <c r="GL73" s="61"/>
      <c r="GM73" s="61"/>
      <c r="GN73" s="61"/>
      <c r="GO73" s="61"/>
      <c r="GP73" s="61"/>
      <c r="GQ73" s="61"/>
      <c r="GR73" s="61"/>
      <c r="GS73" s="61"/>
      <c r="GT73" s="61"/>
      <c r="GU73" s="61"/>
      <c r="GV73" s="61"/>
      <c r="GW73" s="61"/>
      <c r="GX73" s="61"/>
      <c r="GY73" s="61"/>
      <c r="GZ73" s="61"/>
      <c r="HA73" s="61"/>
      <c r="HB73" s="61"/>
      <c r="HC73" s="61"/>
      <c r="HD73" s="61"/>
      <c r="HP73" s="197">
        <f t="shared" si="111"/>
        <v>1</v>
      </c>
      <c r="HQ73" s="197"/>
    </row>
    <row r="74" spans="1:225" s="61" customFormat="1" ht="15.75">
      <c r="A74" s="61" t="s">
        <v>188</v>
      </c>
      <c r="B74" s="62">
        <v>25</v>
      </c>
      <c r="D74" s="14">
        <v>38</v>
      </c>
      <c r="E74" s="61">
        <v>8</v>
      </c>
      <c r="F74" s="61" t="s">
        <v>150</v>
      </c>
      <c r="G74" s="61" t="s">
        <v>135</v>
      </c>
      <c r="H74" s="64">
        <f t="shared" si="98"/>
        <v>36336</v>
      </c>
      <c r="I74" s="61" t="s">
        <v>111</v>
      </c>
      <c r="J74" s="61" t="s">
        <v>112</v>
      </c>
      <c r="K74" s="62"/>
      <c r="L74" s="61" t="s">
        <v>113</v>
      </c>
      <c r="N74" s="61" t="str">
        <f t="shared" si="99"/>
        <v>25R</v>
      </c>
      <c r="O74" s="61" t="str">
        <f t="shared" si="100"/>
        <v>25RBase</v>
      </c>
      <c r="Q74" s="23">
        <f t="shared" si="91"/>
        <v>0</v>
      </c>
      <c r="R74" s="23">
        <f t="shared" si="78"/>
        <v>0</v>
      </c>
      <c r="S74" s="23"/>
      <c r="T74" s="67">
        <v>37147</v>
      </c>
      <c r="U74" s="67"/>
      <c r="V74" s="68">
        <v>0</v>
      </c>
      <c r="W74" s="67">
        <f t="shared" si="92"/>
        <v>0</v>
      </c>
      <c r="X74" s="67">
        <f t="shared" si="106"/>
        <v>0</v>
      </c>
      <c r="Y74" s="67">
        <f t="shared" si="106"/>
        <v>0</v>
      </c>
      <c r="Z74" s="67">
        <f t="shared" si="106"/>
        <v>0</v>
      </c>
      <c r="AA74" s="67">
        <f t="shared" si="106"/>
        <v>0</v>
      </c>
      <c r="AB74" s="67">
        <f t="shared" si="102"/>
        <v>0</v>
      </c>
      <c r="AC74" s="67">
        <f t="shared" si="102"/>
        <v>0</v>
      </c>
      <c r="AD74" s="67">
        <f t="shared" si="102"/>
        <v>0</v>
      </c>
      <c r="AE74" s="67">
        <f t="shared" si="107"/>
        <v>0</v>
      </c>
      <c r="AF74" s="67">
        <f t="shared" si="107"/>
        <v>0</v>
      </c>
      <c r="AG74" s="67">
        <f t="shared" si="107"/>
        <v>0</v>
      </c>
      <c r="AH74" s="67">
        <f t="shared" si="107"/>
        <v>0</v>
      </c>
      <c r="AI74" s="67">
        <f t="shared" si="103"/>
        <v>0</v>
      </c>
      <c r="AJ74" s="67">
        <f t="shared" si="103"/>
        <v>0</v>
      </c>
      <c r="AK74" s="67">
        <f t="shared" si="103"/>
        <v>0</v>
      </c>
      <c r="AL74" s="67">
        <f t="shared" si="108"/>
        <v>0</v>
      </c>
      <c r="AM74" s="67">
        <f t="shared" si="108"/>
        <v>0</v>
      </c>
      <c r="AN74" s="67">
        <f t="shared" si="108"/>
        <v>0</v>
      </c>
      <c r="AO74" s="67">
        <f t="shared" si="108"/>
        <v>0</v>
      </c>
      <c r="AP74" s="67">
        <f t="shared" si="104"/>
        <v>0</v>
      </c>
      <c r="AQ74" s="67">
        <f t="shared" si="104"/>
        <v>0</v>
      </c>
      <c r="AR74" s="67">
        <f t="shared" si="104"/>
        <v>0</v>
      </c>
      <c r="AS74" s="67">
        <f t="shared" si="101"/>
        <v>0</v>
      </c>
      <c r="AT74" s="67">
        <f t="shared" si="101"/>
        <v>0</v>
      </c>
      <c r="AU74" s="67">
        <f t="shared" si="110"/>
        <v>0</v>
      </c>
      <c r="AV74" s="67">
        <f t="shared" si="109"/>
        <v>0</v>
      </c>
      <c r="AW74" s="67">
        <f t="shared" si="105"/>
        <v>0</v>
      </c>
      <c r="AX74" s="67">
        <f t="shared" si="105"/>
        <v>0</v>
      </c>
      <c r="AY74" s="67">
        <f t="shared" si="97"/>
        <v>0</v>
      </c>
      <c r="AZ74" s="67"/>
      <c r="BA74" s="67"/>
      <c r="BB74" s="67">
        <f t="shared" si="93"/>
        <v>0</v>
      </c>
      <c r="BC74" s="67">
        <f>+BB74/30</f>
        <v>0</v>
      </c>
      <c r="BD74" s="137">
        <f t="shared" si="90"/>
        <v>0</v>
      </c>
      <c r="BE74" s="67"/>
      <c r="BF74" s="23"/>
      <c r="BO74" s="69"/>
      <c r="DZ74" s="61">
        <v>81</v>
      </c>
      <c r="EA74" s="61" t="s">
        <v>146</v>
      </c>
      <c r="FR74" s="217"/>
      <c r="HP74" s="23">
        <f t="shared" si="111"/>
        <v>81</v>
      </c>
      <c r="HQ74" s="23"/>
    </row>
    <row r="75" spans="1:225" s="61" customFormat="1" ht="15.75">
      <c r="A75" s="61" t="s">
        <v>188</v>
      </c>
      <c r="B75" s="62">
        <v>25</v>
      </c>
      <c r="D75" s="14">
        <v>39</v>
      </c>
      <c r="E75" s="61">
        <v>8</v>
      </c>
      <c r="F75" s="61" t="s">
        <v>150</v>
      </c>
      <c r="G75" s="61" t="s">
        <v>135</v>
      </c>
      <c r="H75" s="64">
        <f t="shared" si="98"/>
        <v>36336</v>
      </c>
      <c r="I75" s="61" t="s">
        <v>111</v>
      </c>
      <c r="J75" s="61" t="s">
        <v>112</v>
      </c>
      <c r="K75" s="62"/>
      <c r="L75" s="61" t="s">
        <v>113</v>
      </c>
      <c r="M75" s="54"/>
      <c r="N75" s="61" t="str">
        <f t="shared" si="99"/>
        <v>25R</v>
      </c>
      <c r="O75" s="61" t="str">
        <f t="shared" si="100"/>
        <v>25RBase</v>
      </c>
      <c r="Q75" s="23">
        <f t="shared" si="91"/>
        <v>0</v>
      </c>
      <c r="R75" s="23">
        <f t="shared" si="78"/>
        <v>0</v>
      </c>
      <c r="S75" s="23"/>
      <c r="T75" s="67">
        <v>37147</v>
      </c>
      <c r="U75" s="67"/>
      <c r="V75" s="68">
        <v>0</v>
      </c>
      <c r="W75" s="67">
        <f t="shared" si="92"/>
        <v>0</v>
      </c>
      <c r="X75" s="67">
        <f t="shared" si="106"/>
        <v>0</v>
      </c>
      <c r="Y75" s="67">
        <f t="shared" si="106"/>
        <v>0</v>
      </c>
      <c r="Z75" s="67">
        <f t="shared" si="106"/>
        <v>0</v>
      </c>
      <c r="AA75" s="67">
        <f t="shared" si="106"/>
        <v>0</v>
      </c>
      <c r="AB75" s="67">
        <f t="shared" si="102"/>
        <v>0</v>
      </c>
      <c r="AC75" s="67">
        <f t="shared" si="102"/>
        <v>0</v>
      </c>
      <c r="AD75" s="67">
        <f t="shared" si="102"/>
        <v>0</v>
      </c>
      <c r="AE75" s="67">
        <f t="shared" si="107"/>
        <v>0</v>
      </c>
      <c r="AF75" s="67">
        <f t="shared" si="107"/>
        <v>0</v>
      </c>
      <c r="AG75" s="67">
        <f t="shared" si="107"/>
        <v>0</v>
      </c>
      <c r="AH75" s="67">
        <f t="shared" si="107"/>
        <v>0</v>
      </c>
      <c r="AI75" s="67">
        <f t="shared" si="103"/>
        <v>0</v>
      </c>
      <c r="AJ75" s="67">
        <f t="shared" si="103"/>
        <v>0</v>
      </c>
      <c r="AK75" s="67">
        <f t="shared" si="103"/>
        <v>0</v>
      </c>
      <c r="AL75" s="67">
        <f t="shared" si="108"/>
        <v>0</v>
      </c>
      <c r="AM75" s="67">
        <f t="shared" si="108"/>
        <v>0</v>
      </c>
      <c r="AN75" s="67">
        <f t="shared" si="108"/>
        <v>0</v>
      </c>
      <c r="AO75" s="67">
        <f t="shared" si="108"/>
        <v>0</v>
      </c>
      <c r="AP75" s="67">
        <f t="shared" si="104"/>
        <v>0</v>
      </c>
      <c r="AQ75" s="67">
        <f t="shared" si="104"/>
        <v>0</v>
      </c>
      <c r="AR75" s="67">
        <f t="shared" si="104"/>
        <v>0</v>
      </c>
      <c r="AS75" s="67">
        <f t="shared" si="101"/>
        <v>0</v>
      </c>
      <c r="AT75" s="67">
        <f t="shared" si="101"/>
        <v>0</v>
      </c>
      <c r="AU75" s="67">
        <f t="shared" si="110"/>
        <v>0</v>
      </c>
      <c r="AV75" s="67">
        <f t="shared" si="109"/>
        <v>0</v>
      </c>
      <c r="AW75" s="67">
        <f t="shared" si="105"/>
        <v>0</v>
      </c>
      <c r="AX75" s="67">
        <f t="shared" si="105"/>
        <v>0</v>
      </c>
      <c r="AY75" s="67">
        <f t="shared" si="97"/>
        <v>0</v>
      </c>
      <c r="AZ75" s="67"/>
      <c r="BA75" s="67"/>
      <c r="BB75" s="67">
        <f t="shared" si="93"/>
        <v>0</v>
      </c>
      <c r="BC75" s="67">
        <f t="shared" ref="BC75:BC88" si="112">+BB75/30</f>
        <v>0</v>
      </c>
      <c r="BD75" s="137">
        <f t="shared" si="90"/>
        <v>0</v>
      </c>
      <c r="BE75" s="67"/>
      <c r="BF75" s="23"/>
      <c r="BO75" s="69"/>
      <c r="EB75" s="61">
        <v>92</v>
      </c>
      <c r="EC75" s="61" t="s">
        <v>315</v>
      </c>
      <c r="FR75" s="217"/>
      <c r="HP75" s="23">
        <f t="shared" si="111"/>
        <v>92</v>
      </c>
      <c r="HQ75" s="23"/>
    </row>
    <row r="76" spans="1:225" s="61" customFormat="1" ht="15.75">
      <c r="A76" s="61" t="s">
        <v>188</v>
      </c>
      <c r="B76" s="62">
        <v>25</v>
      </c>
      <c r="D76" s="14">
        <v>35</v>
      </c>
      <c r="E76" s="61">
        <v>8</v>
      </c>
      <c r="F76" s="61" t="s">
        <v>165</v>
      </c>
      <c r="G76" s="61" t="s">
        <v>189</v>
      </c>
      <c r="H76" s="64">
        <v>36336</v>
      </c>
      <c r="I76" s="61" t="s">
        <v>111</v>
      </c>
      <c r="J76" s="61" t="s">
        <v>122</v>
      </c>
      <c r="K76" s="62"/>
      <c r="L76" s="61" t="s">
        <v>113</v>
      </c>
      <c r="M76" s="54"/>
      <c r="N76" s="61" t="str">
        <f t="shared" si="95"/>
        <v>25W</v>
      </c>
      <c r="O76" s="61" t="str">
        <f t="shared" si="96"/>
        <v>25WBase</v>
      </c>
      <c r="Q76" s="23">
        <f t="shared" si="91"/>
        <v>0</v>
      </c>
      <c r="R76" s="23">
        <f t="shared" si="78"/>
        <v>0</v>
      </c>
      <c r="S76" s="23"/>
      <c r="T76" s="67">
        <v>37147</v>
      </c>
      <c r="U76" s="67"/>
      <c r="V76" s="68">
        <v>0</v>
      </c>
      <c r="W76" s="67">
        <f t="shared" si="92"/>
        <v>0</v>
      </c>
      <c r="X76" s="67">
        <f t="shared" si="106"/>
        <v>0</v>
      </c>
      <c r="Y76" s="67">
        <f t="shared" si="106"/>
        <v>0</v>
      </c>
      <c r="Z76" s="67">
        <f t="shared" si="106"/>
        <v>0</v>
      </c>
      <c r="AA76" s="67">
        <f t="shared" si="106"/>
        <v>0</v>
      </c>
      <c r="AB76" s="67">
        <f t="shared" si="102"/>
        <v>0</v>
      </c>
      <c r="AC76" s="67">
        <f t="shared" si="102"/>
        <v>0</v>
      </c>
      <c r="AD76" s="67">
        <f t="shared" si="102"/>
        <v>0</v>
      </c>
      <c r="AE76" s="67">
        <f t="shared" si="107"/>
        <v>0</v>
      </c>
      <c r="AF76" s="67">
        <f t="shared" si="107"/>
        <v>0</v>
      </c>
      <c r="AG76" s="67">
        <f t="shared" si="107"/>
        <v>0</v>
      </c>
      <c r="AH76" s="67">
        <f t="shared" si="107"/>
        <v>0</v>
      </c>
      <c r="AI76" s="67">
        <f t="shared" si="103"/>
        <v>0</v>
      </c>
      <c r="AJ76" s="67">
        <f t="shared" si="103"/>
        <v>0</v>
      </c>
      <c r="AK76" s="67">
        <f t="shared" si="103"/>
        <v>0</v>
      </c>
      <c r="AL76" s="67">
        <f t="shared" si="108"/>
        <v>0</v>
      </c>
      <c r="AM76" s="67">
        <f t="shared" si="108"/>
        <v>0</v>
      </c>
      <c r="AN76" s="67">
        <f t="shared" si="108"/>
        <v>0</v>
      </c>
      <c r="AO76" s="67">
        <f t="shared" si="108"/>
        <v>0</v>
      </c>
      <c r="AP76" s="67">
        <f t="shared" si="104"/>
        <v>0</v>
      </c>
      <c r="AQ76" s="67">
        <f t="shared" si="104"/>
        <v>0</v>
      </c>
      <c r="AR76" s="67">
        <f t="shared" si="104"/>
        <v>0</v>
      </c>
      <c r="AS76" s="67">
        <f t="shared" si="101"/>
        <v>0</v>
      </c>
      <c r="AT76" s="67">
        <f t="shared" si="101"/>
        <v>0</v>
      </c>
      <c r="AU76" s="67">
        <f t="shared" si="110"/>
        <v>0</v>
      </c>
      <c r="AV76" s="67">
        <f t="shared" si="109"/>
        <v>0</v>
      </c>
      <c r="AW76" s="67">
        <f t="shared" si="105"/>
        <v>0</v>
      </c>
      <c r="AX76" s="67">
        <f t="shared" si="105"/>
        <v>0</v>
      </c>
      <c r="AY76" s="67">
        <f t="shared" si="97"/>
        <v>0</v>
      </c>
      <c r="AZ76" s="67"/>
      <c r="BA76" s="67"/>
      <c r="BB76" s="67">
        <f t="shared" si="93"/>
        <v>0</v>
      </c>
      <c r="BC76" s="67">
        <f t="shared" si="112"/>
        <v>0</v>
      </c>
      <c r="BD76" s="137">
        <f t="shared" si="90"/>
        <v>0</v>
      </c>
      <c r="BE76" s="67"/>
      <c r="BF76" s="23"/>
      <c r="BO76" s="69"/>
      <c r="DX76" s="61">
        <v>122</v>
      </c>
      <c r="DY76" s="61" t="s">
        <v>314</v>
      </c>
      <c r="FR76" s="217"/>
      <c r="HP76" s="23">
        <f t="shared" si="111"/>
        <v>122</v>
      </c>
      <c r="HQ76" s="23"/>
    </row>
    <row r="77" spans="1:225" s="61" customFormat="1" ht="15.75">
      <c r="A77" s="61" t="s">
        <v>188</v>
      </c>
      <c r="B77" s="62">
        <v>25</v>
      </c>
      <c r="D77" s="14">
        <v>35</v>
      </c>
      <c r="E77" s="61">
        <v>8</v>
      </c>
      <c r="F77" s="61" t="s">
        <v>192</v>
      </c>
      <c r="G77" s="61" t="s">
        <v>179</v>
      </c>
      <c r="H77" s="98">
        <v>36465</v>
      </c>
      <c r="I77" s="61" t="s">
        <v>111</v>
      </c>
      <c r="J77" s="61" t="s">
        <v>122</v>
      </c>
      <c r="K77" s="62"/>
      <c r="L77" s="61" t="s">
        <v>113</v>
      </c>
      <c r="N77" s="61" t="str">
        <f t="shared" si="95"/>
        <v>25W</v>
      </c>
      <c r="O77" s="61" t="str">
        <f t="shared" si="96"/>
        <v>25WBase</v>
      </c>
      <c r="Q77" s="23">
        <f t="shared" si="91"/>
        <v>0</v>
      </c>
      <c r="R77" s="23">
        <f t="shared" si="78"/>
        <v>0</v>
      </c>
      <c r="S77" s="23"/>
      <c r="T77" s="67">
        <v>37147</v>
      </c>
      <c r="U77" s="67"/>
      <c r="V77" s="68">
        <v>0</v>
      </c>
      <c r="W77" s="67">
        <f t="shared" si="92"/>
        <v>0</v>
      </c>
      <c r="X77" s="67">
        <f>W77</f>
        <v>0</v>
      </c>
      <c r="Y77" s="67">
        <f>X77</f>
        <v>0</v>
      </c>
      <c r="Z77" s="67">
        <f>Y77</f>
        <v>0</v>
      </c>
      <c r="AA77" s="67">
        <f>Z77</f>
        <v>0</v>
      </c>
      <c r="AB77" s="67">
        <f t="shared" si="102"/>
        <v>0</v>
      </c>
      <c r="AC77" s="67">
        <f t="shared" si="102"/>
        <v>0</v>
      </c>
      <c r="AD77" s="67">
        <f t="shared" si="102"/>
        <v>0</v>
      </c>
      <c r="AE77" s="67">
        <f t="shared" si="107"/>
        <v>0</v>
      </c>
      <c r="AF77" s="67">
        <f t="shared" si="107"/>
        <v>0</v>
      </c>
      <c r="AG77" s="67">
        <f t="shared" si="107"/>
        <v>0</v>
      </c>
      <c r="AH77" s="67">
        <f t="shared" si="107"/>
        <v>0</v>
      </c>
      <c r="AI77" s="67">
        <f t="shared" si="103"/>
        <v>0</v>
      </c>
      <c r="AJ77" s="67">
        <f t="shared" si="103"/>
        <v>0</v>
      </c>
      <c r="AK77" s="67">
        <f t="shared" si="103"/>
        <v>0</v>
      </c>
      <c r="AL77" s="67">
        <f t="shared" si="108"/>
        <v>0</v>
      </c>
      <c r="AM77" s="67">
        <f t="shared" si="108"/>
        <v>0</v>
      </c>
      <c r="AN77" s="67">
        <f t="shared" si="108"/>
        <v>0</v>
      </c>
      <c r="AO77" s="67">
        <f t="shared" si="108"/>
        <v>0</v>
      </c>
      <c r="AP77" s="67">
        <f t="shared" si="104"/>
        <v>0</v>
      </c>
      <c r="AQ77" s="67">
        <f t="shared" si="104"/>
        <v>0</v>
      </c>
      <c r="AR77" s="67">
        <f t="shared" si="104"/>
        <v>0</v>
      </c>
      <c r="AS77" s="67">
        <f t="shared" si="101"/>
        <v>0</v>
      </c>
      <c r="AT77" s="67">
        <f t="shared" si="101"/>
        <v>0</v>
      </c>
      <c r="AU77" s="67">
        <f t="shared" si="110"/>
        <v>0</v>
      </c>
      <c r="AV77" s="67">
        <f t="shared" si="109"/>
        <v>0</v>
      </c>
      <c r="AW77" s="67">
        <f t="shared" si="105"/>
        <v>0</v>
      </c>
      <c r="AX77" s="67">
        <f t="shared" si="105"/>
        <v>0</v>
      </c>
      <c r="AY77" s="67">
        <f t="shared" si="97"/>
        <v>0</v>
      </c>
      <c r="AZ77" s="67"/>
      <c r="BA77" s="67"/>
      <c r="BB77" s="67">
        <f t="shared" si="93"/>
        <v>0</v>
      </c>
      <c r="BC77" s="67">
        <f t="shared" si="112"/>
        <v>0</v>
      </c>
      <c r="BD77" s="137">
        <f t="shared" si="90"/>
        <v>0</v>
      </c>
      <c r="BE77" s="67"/>
      <c r="BF77" s="23"/>
      <c r="BO77" s="69"/>
      <c r="DX77" s="61">
        <v>200</v>
      </c>
      <c r="FR77" s="217"/>
      <c r="HP77" s="23">
        <f t="shared" si="111"/>
        <v>200</v>
      </c>
      <c r="HQ77" s="23"/>
    </row>
    <row r="78" spans="1:225" s="61" customFormat="1" ht="15.75">
      <c r="A78" s="61" t="s">
        <v>193</v>
      </c>
      <c r="B78" s="62">
        <v>19</v>
      </c>
      <c r="D78" s="14">
        <v>26</v>
      </c>
      <c r="E78" s="61">
        <v>8</v>
      </c>
      <c r="F78" s="61" t="s">
        <v>150</v>
      </c>
      <c r="G78" s="61" t="s">
        <v>129</v>
      </c>
      <c r="H78" s="64">
        <v>36336</v>
      </c>
      <c r="I78" s="61" t="s">
        <v>111</v>
      </c>
      <c r="J78" s="61" t="s">
        <v>112</v>
      </c>
      <c r="K78" s="62"/>
      <c r="L78" s="61" t="s">
        <v>113</v>
      </c>
      <c r="N78" s="61" t="str">
        <f t="shared" si="95"/>
        <v>19R</v>
      </c>
      <c r="O78" s="61" t="str">
        <f t="shared" si="96"/>
        <v>19RBase</v>
      </c>
      <c r="Q78" s="23">
        <f t="shared" si="91"/>
        <v>0</v>
      </c>
      <c r="R78" s="23">
        <f t="shared" ref="R78:R109" si="113">+Q78</f>
        <v>0</v>
      </c>
      <c r="S78" s="23"/>
      <c r="T78" s="67">
        <v>37147</v>
      </c>
      <c r="U78" s="67"/>
      <c r="V78" s="68">
        <v>0</v>
      </c>
      <c r="W78" s="67">
        <f t="shared" si="92"/>
        <v>0</v>
      </c>
      <c r="X78" s="67">
        <f t="shared" si="106"/>
        <v>0</v>
      </c>
      <c r="Y78" s="67">
        <f t="shared" si="106"/>
        <v>0</v>
      </c>
      <c r="Z78" s="67">
        <f t="shared" si="106"/>
        <v>0</v>
      </c>
      <c r="AA78" s="67">
        <f t="shared" si="106"/>
        <v>0</v>
      </c>
      <c r="AB78" s="67">
        <f t="shared" si="102"/>
        <v>0</v>
      </c>
      <c r="AC78" s="67">
        <f t="shared" si="102"/>
        <v>0</v>
      </c>
      <c r="AD78" s="67">
        <f t="shared" si="102"/>
        <v>0</v>
      </c>
      <c r="AE78" s="67">
        <f t="shared" si="107"/>
        <v>0</v>
      </c>
      <c r="AF78" s="67">
        <f t="shared" si="107"/>
        <v>0</v>
      </c>
      <c r="AG78" s="67">
        <f t="shared" si="107"/>
        <v>0</v>
      </c>
      <c r="AH78" s="67">
        <f t="shared" si="107"/>
        <v>0</v>
      </c>
      <c r="AI78" s="67">
        <f t="shared" si="103"/>
        <v>0</v>
      </c>
      <c r="AJ78" s="67">
        <f t="shared" si="103"/>
        <v>0</v>
      </c>
      <c r="AK78" s="67">
        <f t="shared" si="103"/>
        <v>0</v>
      </c>
      <c r="AL78" s="67">
        <f t="shared" si="108"/>
        <v>0</v>
      </c>
      <c r="AM78" s="67">
        <f t="shared" si="108"/>
        <v>0</v>
      </c>
      <c r="AN78" s="67">
        <f t="shared" si="108"/>
        <v>0</v>
      </c>
      <c r="AO78" s="67">
        <f t="shared" si="108"/>
        <v>0</v>
      </c>
      <c r="AP78" s="67">
        <f t="shared" si="104"/>
        <v>0</v>
      </c>
      <c r="AQ78" s="67">
        <f t="shared" si="104"/>
        <v>0</v>
      </c>
      <c r="AR78" s="67">
        <f t="shared" si="104"/>
        <v>0</v>
      </c>
      <c r="AS78" s="67">
        <f t="shared" si="101"/>
        <v>0</v>
      </c>
      <c r="AT78" s="67">
        <f t="shared" si="101"/>
        <v>0</v>
      </c>
      <c r="AU78" s="67">
        <f t="shared" si="110"/>
        <v>0</v>
      </c>
      <c r="AV78" s="67">
        <f t="shared" si="109"/>
        <v>0</v>
      </c>
      <c r="AW78" s="67">
        <f t="shared" si="105"/>
        <v>0</v>
      </c>
      <c r="AX78" s="67">
        <f t="shared" si="105"/>
        <v>0</v>
      </c>
      <c r="AY78" s="67">
        <f t="shared" si="97"/>
        <v>0</v>
      </c>
      <c r="AZ78" s="67"/>
      <c r="BA78" s="67"/>
      <c r="BB78" s="67">
        <f t="shared" si="93"/>
        <v>0</v>
      </c>
      <c r="BC78" s="67">
        <f t="shared" si="112"/>
        <v>0</v>
      </c>
      <c r="BD78" s="137">
        <f t="shared" si="90"/>
        <v>0</v>
      </c>
      <c r="BE78" s="67"/>
      <c r="BF78" s="23"/>
      <c r="BO78" s="69"/>
      <c r="BZ78" s="61">
        <v>7</v>
      </c>
      <c r="CA78" s="61" t="s">
        <v>312</v>
      </c>
      <c r="CR78" s="61">
        <v>1</v>
      </c>
      <c r="CS78" s="61" t="s">
        <v>133</v>
      </c>
      <c r="CZ78" s="61">
        <v>3</v>
      </c>
      <c r="DA78" s="61" t="s">
        <v>133</v>
      </c>
      <c r="DF78" s="61">
        <v>1</v>
      </c>
      <c r="DG78" s="61" t="s">
        <v>137</v>
      </c>
      <c r="DP78" s="61">
        <v>1</v>
      </c>
      <c r="DQ78" s="61" t="s">
        <v>194</v>
      </c>
      <c r="DV78" s="61">
        <v>17</v>
      </c>
      <c r="DW78" s="61" t="s">
        <v>171</v>
      </c>
      <c r="EZ78" s="61">
        <v>1</v>
      </c>
      <c r="FA78" s="61" t="s">
        <v>131</v>
      </c>
      <c r="FD78" s="61">
        <v>1</v>
      </c>
      <c r="FE78" s="61" t="s">
        <v>152</v>
      </c>
      <c r="FH78" s="54"/>
      <c r="FI78" s="54"/>
      <c r="FJ78" s="54"/>
      <c r="FK78" s="54"/>
      <c r="FL78" s="54"/>
      <c r="FM78" s="54"/>
      <c r="FN78" s="54"/>
      <c r="FO78" s="54"/>
      <c r="FP78" s="54"/>
      <c r="FQ78" s="54"/>
      <c r="FR78" s="216"/>
      <c r="FS78" s="54"/>
      <c r="FT78" s="54"/>
      <c r="FU78" s="54"/>
      <c r="FV78" s="54"/>
      <c r="FW78" s="54"/>
      <c r="FX78" s="54"/>
      <c r="FY78" s="54"/>
      <c r="FZ78" s="54"/>
      <c r="GA78" s="54"/>
      <c r="GB78" s="54"/>
      <c r="GC78" s="54"/>
      <c r="GD78" s="54"/>
      <c r="GE78" s="54"/>
      <c r="GF78" s="54"/>
      <c r="GG78" s="54"/>
      <c r="GH78" s="54"/>
      <c r="GI78" s="54"/>
      <c r="GJ78" s="54"/>
      <c r="GK78" s="54"/>
      <c r="GL78" s="54"/>
      <c r="GM78" s="54"/>
      <c r="GN78" s="54"/>
      <c r="GO78" s="54"/>
      <c r="GP78" s="54"/>
      <c r="GQ78" s="54"/>
      <c r="GR78" s="54"/>
      <c r="GS78" s="54"/>
      <c r="GT78" s="54"/>
      <c r="GU78" s="54"/>
      <c r="GV78" s="54"/>
      <c r="GW78" s="54"/>
      <c r="GX78" s="54"/>
      <c r="GY78" s="54"/>
      <c r="GZ78" s="54"/>
      <c r="HA78" s="54"/>
      <c r="HB78" s="54"/>
      <c r="HC78" s="54"/>
      <c r="HD78" s="54"/>
      <c r="HP78" s="23">
        <f t="shared" si="111"/>
        <v>32</v>
      </c>
      <c r="HQ78" s="23"/>
    </row>
    <row r="79" spans="1:225" s="61" customFormat="1" ht="15.75">
      <c r="A79" s="61" t="s">
        <v>193</v>
      </c>
      <c r="B79" s="62">
        <v>19</v>
      </c>
      <c r="D79" s="14">
        <v>27</v>
      </c>
      <c r="E79" s="61">
        <v>8</v>
      </c>
      <c r="F79" s="61" t="s">
        <v>115</v>
      </c>
      <c r="G79" s="61" t="s">
        <v>129</v>
      </c>
      <c r="H79" s="64">
        <v>36336</v>
      </c>
      <c r="I79" s="61" t="s">
        <v>111</v>
      </c>
      <c r="J79" s="61" t="s">
        <v>112</v>
      </c>
      <c r="K79" s="62"/>
      <c r="L79" s="61" t="s">
        <v>113</v>
      </c>
      <c r="N79" s="61" t="str">
        <f t="shared" si="95"/>
        <v>19R</v>
      </c>
      <c r="O79" s="61" t="str">
        <f t="shared" si="96"/>
        <v>19RBase</v>
      </c>
      <c r="Q79" s="23">
        <f t="shared" si="91"/>
        <v>0</v>
      </c>
      <c r="R79" s="23">
        <f t="shared" si="113"/>
        <v>0</v>
      </c>
      <c r="S79" s="23"/>
      <c r="T79" s="67">
        <v>37147</v>
      </c>
      <c r="U79" s="67"/>
      <c r="V79" s="68">
        <v>0</v>
      </c>
      <c r="W79" s="67">
        <f t="shared" si="92"/>
        <v>0</v>
      </c>
      <c r="X79" s="67">
        <f t="shared" si="106"/>
        <v>0</v>
      </c>
      <c r="Y79" s="67">
        <f t="shared" si="106"/>
        <v>0</v>
      </c>
      <c r="Z79" s="67">
        <f t="shared" si="106"/>
        <v>0</v>
      </c>
      <c r="AA79" s="67">
        <f t="shared" si="106"/>
        <v>0</v>
      </c>
      <c r="AB79" s="67">
        <f t="shared" si="102"/>
        <v>0</v>
      </c>
      <c r="AC79" s="67">
        <f t="shared" si="102"/>
        <v>0</v>
      </c>
      <c r="AD79" s="67">
        <f t="shared" si="102"/>
        <v>0</v>
      </c>
      <c r="AE79" s="67">
        <f t="shared" si="107"/>
        <v>0</v>
      </c>
      <c r="AF79" s="67">
        <f t="shared" si="107"/>
        <v>0</v>
      </c>
      <c r="AG79" s="67">
        <f t="shared" si="107"/>
        <v>0</v>
      </c>
      <c r="AH79" s="67">
        <f t="shared" si="107"/>
        <v>0</v>
      </c>
      <c r="AI79" s="67">
        <f t="shared" si="103"/>
        <v>0</v>
      </c>
      <c r="AJ79" s="67">
        <f t="shared" si="103"/>
        <v>0</v>
      </c>
      <c r="AK79" s="67">
        <f t="shared" si="103"/>
        <v>0</v>
      </c>
      <c r="AL79" s="67">
        <f t="shared" si="108"/>
        <v>0</v>
      </c>
      <c r="AM79" s="67">
        <f t="shared" si="108"/>
        <v>0</v>
      </c>
      <c r="AN79" s="67">
        <f t="shared" si="108"/>
        <v>0</v>
      </c>
      <c r="AO79" s="67">
        <f t="shared" si="108"/>
        <v>0</v>
      </c>
      <c r="AP79" s="67">
        <f t="shared" si="104"/>
        <v>0</v>
      </c>
      <c r="AQ79" s="67">
        <f t="shared" si="104"/>
        <v>0</v>
      </c>
      <c r="AR79" s="67">
        <f t="shared" si="104"/>
        <v>0</v>
      </c>
      <c r="AS79" s="67">
        <f t="shared" si="101"/>
        <v>0</v>
      </c>
      <c r="AT79" s="67">
        <f t="shared" si="101"/>
        <v>0</v>
      </c>
      <c r="AU79" s="67">
        <f t="shared" si="110"/>
        <v>0</v>
      </c>
      <c r="AV79" s="67">
        <f t="shared" si="109"/>
        <v>0</v>
      </c>
      <c r="AW79" s="67">
        <f t="shared" si="105"/>
        <v>0</v>
      </c>
      <c r="AX79" s="67">
        <f t="shared" si="105"/>
        <v>0</v>
      </c>
      <c r="AY79" s="67">
        <f t="shared" si="97"/>
        <v>0</v>
      </c>
      <c r="AZ79" s="67"/>
      <c r="BA79" s="67"/>
      <c r="BB79" s="67">
        <f t="shared" si="93"/>
        <v>0</v>
      </c>
      <c r="BC79" s="67">
        <f t="shared" si="112"/>
        <v>0</v>
      </c>
      <c r="BD79" s="137">
        <f t="shared" si="90"/>
        <v>0</v>
      </c>
      <c r="BE79" s="67"/>
      <c r="BF79" s="23"/>
      <c r="BO79" s="69"/>
      <c r="CB79" s="61">
        <v>2</v>
      </c>
      <c r="EO79" s="61" t="s">
        <v>325</v>
      </c>
      <c r="FH79" s="54"/>
      <c r="FI79" s="54"/>
      <c r="FJ79" s="54"/>
      <c r="FK79" s="54"/>
      <c r="FL79" s="54"/>
      <c r="FM79" s="54"/>
      <c r="FN79" s="54"/>
      <c r="FO79" s="54"/>
      <c r="FP79" s="54"/>
      <c r="FQ79" s="54"/>
      <c r="FR79" s="216"/>
      <c r="FS79" s="54"/>
      <c r="FT79" s="54"/>
      <c r="FU79" s="54"/>
      <c r="FV79" s="54"/>
      <c r="FW79" s="54"/>
      <c r="FX79" s="54"/>
      <c r="FY79" s="54"/>
      <c r="FZ79" s="54"/>
      <c r="GA79" s="54"/>
      <c r="GB79" s="54"/>
      <c r="GC79" s="54"/>
      <c r="GD79" s="54"/>
      <c r="GE79" s="54"/>
      <c r="GF79" s="54"/>
      <c r="GG79" s="54"/>
      <c r="GH79" s="54"/>
      <c r="GI79" s="54"/>
      <c r="GJ79" s="54"/>
      <c r="GK79" s="54"/>
      <c r="GL79" s="54"/>
      <c r="GM79" s="54"/>
      <c r="GN79" s="54"/>
      <c r="GO79" s="54"/>
      <c r="GP79" s="54"/>
      <c r="GQ79" s="54"/>
      <c r="GR79" s="54"/>
      <c r="GS79" s="54"/>
      <c r="GT79" s="54"/>
      <c r="GU79" s="54"/>
      <c r="GV79" s="54"/>
      <c r="GW79" s="54"/>
      <c r="GX79" s="54"/>
      <c r="GY79" s="54"/>
      <c r="GZ79" s="54"/>
      <c r="HA79" s="54"/>
      <c r="HB79" s="54"/>
      <c r="HC79" s="54"/>
      <c r="HD79" s="54"/>
      <c r="HP79" s="23">
        <f t="shared" si="111"/>
        <v>2</v>
      </c>
      <c r="HQ79" s="23"/>
    </row>
    <row r="80" spans="1:225" s="61" customFormat="1" ht="16.5">
      <c r="A80" s="61" t="s">
        <v>193</v>
      </c>
      <c r="B80" s="62">
        <v>19</v>
      </c>
      <c r="D80" s="14">
        <v>27</v>
      </c>
      <c r="E80" s="61">
        <v>8</v>
      </c>
      <c r="F80" s="61" t="s">
        <v>150</v>
      </c>
      <c r="G80" s="61" t="s">
        <v>129</v>
      </c>
      <c r="H80" s="64">
        <v>36336</v>
      </c>
      <c r="I80" s="61" t="s">
        <v>111</v>
      </c>
      <c r="J80" s="61" t="s">
        <v>112</v>
      </c>
      <c r="K80" s="62"/>
      <c r="L80" s="61" t="s">
        <v>113</v>
      </c>
      <c r="M80" s="54"/>
      <c r="N80" s="61" t="str">
        <f t="shared" si="95"/>
        <v>19R</v>
      </c>
      <c r="O80" s="61" t="str">
        <f t="shared" si="96"/>
        <v>19RBase</v>
      </c>
      <c r="Q80" s="23">
        <f t="shared" si="91"/>
        <v>0</v>
      </c>
      <c r="R80" s="23">
        <f t="shared" si="113"/>
        <v>0</v>
      </c>
      <c r="S80" s="23"/>
      <c r="T80" s="67">
        <v>37147</v>
      </c>
      <c r="U80" s="67"/>
      <c r="V80" s="68">
        <v>0</v>
      </c>
      <c r="W80" s="67">
        <f t="shared" si="92"/>
        <v>0</v>
      </c>
      <c r="X80" s="67">
        <f t="shared" si="106"/>
        <v>0</v>
      </c>
      <c r="Y80" s="67">
        <f t="shared" si="106"/>
        <v>0</v>
      </c>
      <c r="Z80" s="67">
        <f t="shared" si="106"/>
        <v>0</v>
      </c>
      <c r="AA80" s="67">
        <f t="shared" si="106"/>
        <v>0</v>
      </c>
      <c r="AB80" s="67">
        <f t="shared" si="102"/>
        <v>0</v>
      </c>
      <c r="AC80" s="67">
        <f t="shared" si="102"/>
        <v>0</v>
      </c>
      <c r="AD80" s="67">
        <f t="shared" si="102"/>
        <v>0</v>
      </c>
      <c r="AE80" s="67">
        <f t="shared" si="107"/>
        <v>0</v>
      </c>
      <c r="AF80" s="67">
        <f t="shared" si="107"/>
        <v>0</v>
      </c>
      <c r="AG80" s="67">
        <f t="shared" si="107"/>
        <v>0</v>
      </c>
      <c r="AH80" s="67">
        <f t="shared" si="107"/>
        <v>0</v>
      </c>
      <c r="AI80" s="67">
        <f t="shared" si="103"/>
        <v>0</v>
      </c>
      <c r="AJ80" s="67">
        <f t="shared" si="103"/>
        <v>0</v>
      </c>
      <c r="AK80" s="67">
        <f t="shared" si="103"/>
        <v>0</v>
      </c>
      <c r="AL80" s="67">
        <f t="shared" si="108"/>
        <v>0</v>
      </c>
      <c r="AM80" s="67">
        <f t="shared" si="108"/>
        <v>0</v>
      </c>
      <c r="AN80" s="67">
        <f t="shared" si="108"/>
        <v>0</v>
      </c>
      <c r="AO80" s="67">
        <f t="shared" si="108"/>
        <v>0</v>
      </c>
      <c r="AP80" s="67">
        <f t="shared" si="104"/>
        <v>0</v>
      </c>
      <c r="AQ80" s="67">
        <f t="shared" si="104"/>
        <v>0</v>
      </c>
      <c r="AR80" s="67">
        <f t="shared" si="104"/>
        <v>0</v>
      </c>
      <c r="AS80" s="67">
        <f t="shared" si="101"/>
        <v>0</v>
      </c>
      <c r="AT80" s="67">
        <f t="shared" si="101"/>
        <v>0</v>
      </c>
      <c r="AU80" s="67">
        <f t="shared" si="110"/>
        <v>0</v>
      </c>
      <c r="AV80" s="67">
        <f t="shared" si="109"/>
        <v>0</v>
      </c>
      <c r="AW80" s="67">
        <f t="shared" si="105"/>
        <v>0</v>
      </c>
      <c r="AX80" s="67">
        <f t="shared" si="105"/>
        <v>0</v>
      </c>
      <c r="AY80" s="67">
        <f t="shared" si="97"/>
        <v>0</v>
      </c>
      <c r="AZ80" s="67"/>
      <c r="BA80" s="67"/>
      <c r="BB80" s="67">
        <f t="shared" si="93"/>
        <v>0</v>
      </c>
      <c r="BC80" s="67">
        <f t="shared" si="112"/>
        <v>0</v>
      </c>
      <c r="BD80" s="137">
        <f t="shared" si="90"/>
        <v>0</v>
      </c>
      <c r="BE80" s="67"/>
      <c r="BF80" s="23"/>
      <c r="BO80" s="69"/>
      <c r="CB80" s="61">
        <v>22</v>
      </c>
      <c r="CC80" s="61" t="s">
        <v>216</v>
      </c>
      <c r="CJ80" s="61">
        <v>1</v>
      </c>
      <c r="CK80" s="61" t="s">
        <v>131</v>
      </c>
      <c r="CT80" s="61">
        <v>8</v>
      </c>
      <c r="CU80" s="61" t="s">
        <v>137</v>
      </c>
      <c r="DB80" s="61">
        <v>23</v>
      </c>
      <c r="DC80" s="61" t="s">
        <v>137</v>
      </c>
      <c r="DH80" s="61">
        <v>2</v>
      </c>
      <c r="DI80" s="61" t="s">
        <v>158</v>
      </c>
      <c r="DR80" s="61">
        <v>63</v>
      </c>
      <c r="DS80" s="61" t="s">
        <v>161</v>
      </c>
      <c r="FB80" s="61">
        <v>1</v>
      </c>
      <c r="FC80" s="61" t="s">
        <v>133</v>
      </c>
      <c r="FF80" s="61">
        <v>4</v>
      </c>
      <c r="FG80" s="61" t="s">
        <v>153</v>
      </c>
      <c r="FH80" s="206"/>
      <c r="FI80" s="206"/>
      <c r="FJ80" s="206"/>
      <c r="FK80" s="206"/>
      <c r="FL80" s="206"/>
      <c r="FM80" s="206"/>
      <c r="FN80" s="206"/>
      <c r="FO80" s="206"/>
      <c r="FP80" s="206"/>
      <c r="FQ80" s="206"/>
      <c r="FR80" s="223"/>
      <c r="FS80" s="206"/>
      <c r="FT80" s="206"/>
      <c r="FU80" s="206"/>
      <c r="FV80" s="206"/>
      <c r="FW80" s="206"/>
      <c r="FX80" s="206"/>
      <c r="FY80" s="206"/>
      <c r="FZ80" s="206"/>
      <c r="GA80" s="206"/>
      <c r="GB80" s="206"/>
      <c r="GC80" s="206"/>
      <c r="GD80" s="206"/>
      <c r="GE80" s="206"/>
      <c r="GF80" s="206"/>
      <c r="GG80" s="206"/>
      <c r="GH80" s="206"/>
      <c r="GI80" s="206"/>
      <c r="GJ80" s="206"/>
      <c r="GK80" s="206"/>
      <c r="GL80" s="206"/>
      <c r="GM80" s="206"/>
      <c r="GN80" s="206"/>
      <c r="GO80" s="206"/>
      <c r="GP80" s="206"/>
      <c r="GQ80" s="206"/>
      <c r="GR80" s="206"/>
      <c r="GS80" s="206"/>
      <c r="GT80" s="206"/>
      <c r="GU80" s="206"/>
      <c r="GV80" s="206"/>
      <c r="GW80" s="206"/>
      <c r="GX80" s="206"/>
      <c r="GY80" s="206"/>
      <c r="GZ80" s="206"/>
      <c r="HA80" s="206"/>
      <c r="HB80" s="206"/>
      <c r="HC80" s="206"/>
      <c r="HD80" s="206"/>
      <c r="HP80" s="23">
        <f t="shared" si="111"/>
        <v>124</v>
      </c>
      <c r="HQ80" s="23"/>
    </row>
    <row r="81" spans="1:225" s="61" customFormat="1" ht="15.75">
      <c r="A81" s="61" t="s">
        <v>193</v>
      </c>
      <c r="B81" s="62">
        <v>19</v>
      </c>
      <c r="D81" s="14">
        <v>32</v>
      </c>
      <c r="E81" s="61">
        <v>8</v>
      </c>
      <c r="F81" s="61" t="s">
        <v>115</v>
      </c>
      <c r="G81" s="61" t="s">
        <v>129</v>
      </c>
      <c r="H81" s="64">
        <v>36336</v>
      </c>
      <c r="I81" s="61" t="s">
        <v>111</v>
      </c>
      <c r="J81" s="61" t="s">
        <v>112</v>
      </c>
      <c r="K81" s="62"/>
      <c r="L81" s="61" t="s">
        <v>113</v>
      </c>
      <c r="M81" s="54"/>
      <c r="N81" s="61" t="str">
        <f t="shared" si="95"/>
        <v>19R</v>
      </c>
      <c r="O81" s="61" t="str">
        <f t="shared" si="96"/>
        <v>19RBase</v>
      </c>
      <c r="Q81" s="23">
        <f t="shared" si="91"/>
        <v>0</v>
      </c>
      <c r="R81" s="23">
        <f t="shared" si="113"/>
        <v>0</v>
      </c>
      <c r="S81" s="23"/>
      <c r="T81" s="67">
        <v>37147</v>
      </c>
      <c r="U81" s="67"/>
      <c r="V81" s="68">
        <v>0</v>
      </c>
      <c r="W81" s="67">
        <f t="shared" si="92"/>
        <v>0</v>
      </c>
      <c r="X81" s="67">
        <f t="shared" si="106"/>
        <v>0</v>
      </c>
      <c r="Y81" s="67">
        <f t="shared" si="106"/>
        <v>0</v>
      </c>
      <c r="Z81" s="67">
        <f t="shared" si="106"/>
        <v>0</v>
      </c>
      <c r="AA81" s="67">
        <f t="shared" si="106"/>
        <v>0</v>
      </c>
      <c r="AB81" s="67">
        <f t="shared" si="102"/>
        <v>0</v>
      </c>
      <c r="AC81" s="67">
        <f t="shared" si="102"/>
        <v>0</v>
      </c>
      <c r="AD81" s="67">
        <f t="shared" si="102"/>
        <v>0</v>
      </c>
      <c r="AE81" s="67">
        <f t="shared" si="107"/>
        <v>0</v>
      </c>
      <c r="AF81" s="67">
        <f t="shared" si="107"/>
        <v>0</v>
      </c>
      <c r="AG81" s="67">
        <f t="shared" si="107"/>
        <v>0</v>
      </c>
      <c r="AH81" s="67">
        <f t="shared" si="107"/>
        <v>0</v>
      </c>
      <c r="AI81" s="67">
        <f t="shared" si="103"/>
        <v>0</v>
      </c>
      <c r="AJ81" s="67">
        <f t="shared" si="103"/>
        <v>0</v>
      </c>
      <c r="AK81" s="67">
        <f t="shared" si="103"/>
        <v>0</v>
      </c>
      <c r="AL81" s="67">
        <f t="shared" si="108"/>
        <v>0</v>
      </c>
      <c r="AM81" s="67">
        <f t="shared" si="108"/>
        <v>0</v>
      </c>
      <c r="AN81" s="67">
        <f t="shared" si="108"/>
        <v>0</v>
      </c>
      <c r="AO81" s="67">
        <f t="shared" si="108"/>
        <v>0</v>
      </c>
      <c r="AP81" s="67">
        <f t="shared" si="104"/>
        <v>0</v>
      </c>
      <c r="AQ81" s="67">
        <f t="shared" si="104"/>
        <v>0</v>
      </c>
      <c r="AR81" s="67">
        <f t="shared" si="104"/>
        <v>0</v>
      </c>
      <c r="AS81" s="67">
        <f t="shared" si="101"/>
        <v>0</v>
      </c>
      <c r="AT81" s="67">
        <f t="shared" si="101"/>
        <v>0</v>
      </c>
      <c r="AU81" s="67">
        <f t="shared" si="110"/>
        <v>0</v>
      </c>
      <c r="AV81" s="67">
        <f t="shared" si="109"/>
        <v>0</v>
      </c>
      <c r="AW81" s="67">
        <f t="shared" si="105"/>
        <v>0</v>
      </c>
      <c r="AX81" s="67">
        <f t="shared" si="105"/>
        <v>0</v>
      </c>
      <c r="AY81" s="67">
        <f t="shared" si="97"/>
        <v>0</v>
      </c>
      <c r="AZ81" s="67"/>
      <c r="BA81" s="67"/>
      <c r="BB81" s="67">
        <f t="shared" si="93"/>
        <v>0</v>
      </c>
      <c r="BC81" s="67">
        <f t="shared" si="112"/>
        <v>0</v>
      </c>
      <c r="BD81" s="137">
        <f t="shared" si="90"/>
        <v>0</v>
      </c>
      <c r="BE81" s="67"/>
      <c r="BF81" s="23"/>
      <c r="BO81" s="69"/>
      <c r="CB81" s="61">
        <v>34</v>
      </c>
      <c r="DT81" s="61">
        <v>7</v>
      </c>
      <c r="DU81" s="61" t="s">
        <v>311</v>
      </c>
      <c r="EO81" s="61" t="s">
        <v>326</v>
      </c>
      <c r="FH81" s="54"/>
      <c r="FI81" s="54"/>
      <c r="FJ81" s="54"/>
      <c r="FK81" s="54"/>
      <c r="FL81" s="54"/>
      <c r="FM81" s="54"/>
      <c r="FN81" s="54"/>
      <c r="FO81" s="54"/>
      <c r="FP81" s="54"/>
      <c r="FQ81" s="54"/>
      <c r="FR81" s="216"/>
      <c r="FS81" s="54"/>
      <c r="FT81" s="54"/>
      <c r="FU81" s="54"/>
      <c r="FV81" s="54"/>
      <c r="FW81" s="54"/>
      <c r="FX81" s="54"/>
      <c r="FY81" s="54"/>
      <c r="FZ81" s="54"/>
      <c r="GA81" s="54"/>
      <c r="GB81" s="54"/>
      <c r="GC81" s="54"/>
      <c r="GD81" s="54"/>
      <c r="GE81" s="54"/>
      <c r="GF81" s="54"/>
      <c r="GG81" s="54"/>
      <c r="GH81" s="54"/>
      <c r="GI81" s="54"/>
      <c r="GJ81" s="54"/>
      <c r="GK81" s="54"/>
      <c r="GL81" s="54"/>
      <c r="GM81" s="54"/>
      <c r="GN81" s="54"/>
      <c r="GO81" s="54"/>
      <c r="GP81" s="54"/>
      <c r="GQ81" s="54"/>
      <c r="GR81" s="54"/>
      <c r="GS81" s="54"/>
      <c r="GT81" s="54"/>
      <c r="GU81" s="54"/>
      <c r="GV81" s="54"/>
      <c r="GW81" s="54"/>
      <c r="GX81" s="54"/>
      <c r="GY81" s="54"/>
      <c r="GZ81" s="54"/>
      <c r="HA81" s="54"/>
      <c r="HB81" s="54"/>
      <c r="HC81" s="54"/>
      <c r="HD81" s="54"/>
      <c r="HP81" s="23">
        <f t="shared" si="111"/>
        <v>41</v>
      </c>
      <c r="HQ81" s="23"/>
    </row>
    <row r="82" spans="1:225" s="61" customFormat="1" ht="15.75">
      <c r="A82" s="61" t="s">
        <v>193</v>
      </c>
      <c r="B82" s="62">
        <v>19</v>
      </c>
      <c r="D82" s="14">
        <v>32</v>
      </c>
      <c r="E82" s="61">
        <v>8</v>
      </c>
      <c r="F82" s="61" t="s">
        <v>150</v>
      </c>
      <c r="G82" s="61" t="s">
        <v>129</v>
      </c>
      <c r="H82" s="64">
        <v>36336</v>
      </c>
      <c r="I82" s="61" t="s">
        <v>111</v>
      </c>
      <c r="J82" s="61" t="s">
        <v>112</v>
      </c>
      <c r="K82" s="62"/>
      <c r="L82" s="61" t="s">
        <v>113</v>
      </c>
      <c r="M82" s="54"/>
      <c r="N82" s="61" t="str">
        <f t="shared" si="95"/>
        <v>19R</v>
      </c>
      <c r="O82" s="61" t="str">
        <f t="shared" si="96"/>
        <v>19RBase</v>
      </c>
      <c r="Q82" s="23">
        <f t="shared" si="91"/>
        <v>0</v>
      </c>
      <c r="R82" s="23">
        <f t="shared" si="113"/>
        <v>0</v>
      </c>
      <c r="S82" s="23"/>
      <c r="T82" s="67">
        <v>37147</v>
      </c>
      <c r="U82" s="67"/>
      <c r="V82" s="68">
        <v>0</v>
      </c>
      <c r="W82" s="67">
        <f t="shared" si="92"/>
        <v>0</v>
      </c>
      <c r="X82" s="67">
        <f t="shared" si="106"/>
        <v>0</v>
      </c>
      <c r="Y82" s="67">
        <f t="shared" si="106"/>
        <v>0</v>
      </c>
      <c r="Z82" s="67">
        <f t="shared" si="106"/>
        <v>0</v>
      </c>
      <c r="AA82" s="67">
        <f t="shared" si="106"/>
        <v>0</v>
      </c>
      <c r="AB82" s="67">
        <f t="shared" si="102"/>
        <v>0</v>
      </c>
      <c r="AC82" s="67">
        <f t="shared" si="102"/>
        <v>0</v>
      </c>
      <c r="AD82" s="67">
        <f t="shared" si="102"/>
        <v>0</v>
      </c>
      <c r="AE82" s="67">
        <f t="shared" si="107"/>
        <v>0</v>
      </c>
      <c r="AF82" s="67">
        <f t="shared" si="107"/>
        <v>0</v>
      </c>
      <c r="AG82" s="67">
        <f t="shared" si="107"/>
        <v>0</v>
      </c>
      <c r="AH82" s="67">
        <f t="shared" si="107"/>
        <v>0</v>
      </c>
      <c r="AI82" s="67">
        <f t="shared" si="103"/>
        <v>0</v>
      </c>
      <c r="AJ82" s="67">
        <f t="shared" si="103"/>
        <v>0</v>
      </c>
      <c r="AK82" s="67">
        <f t="shared" si="103"/>
        <v>0</v>
      </c>
      <c r="AL82" s="67">
        <f t="shared" si="108"/>
        <v>0</v>
      </c>
      <c r="AM82" s="67">
        <f t="shared" si="108"/>
        <v>0</v>
      </c>
      <c r="AN82" s="67">
        <f t="shared" si="108"/>
        <v>0</v>
      </c>
      <c r="AO82" s="67">
        <f t="shared" si="108"/>
        <v>0</v>
      </c>
      <c r="AP82" s="67">
        <f t="shared" si="104"/>
        <v>0</v>
      </c>
      <c r="AQ82" s="67">
        <f t="shared" si="104"/>
        <v>0</v>
      </c>
      <c r="AR82" s="67">
        <f t="shared" si="104"/>
        <v>0</v>
      </c>
      <c r="AS82" s="67">
        <f t="shared" si="101"/>
        <v>0</v>
      </c>
      <c r="AT82" s="67">
        <f t="shared" si="101"/>
        <v>0</v>
      </c>
      <c r="AU82" s="67">
        <f t="shared" si="110"/>
        <v>0</v>
      </c>
      <c r="AV82" s="67">
        <f t="shared" si="109"/>
        <v>0</v>
      </c>
      <c r="AW82" s="67">
        <f t="shared" si="105"/>
        <v>0</v>
      </c>
      <c r="AX82" s="67">
        <f t="shared" si="105"/>
        <v>0</v>
      </c>
      <c r="AY82" s="67">
        <f t="shared" si="97"/>
        <v>0</v>
      </c>
      <c r="AZ82" s="67"/>
      <c r="BA82" s="67"/>
      <c r="BB82" s="67">
        <f t="shared" si="93"/>
        <v>0</v>
      </c>
      <c r="BC82" s="67">
        <f t="shared" si="112"/>
        <v>0</v>
      </c>
      <c r="BD82" s="137">
        <f t="shared" si="90"/>
        <v>0</v>
      </c>
      <c r="BE82" s="67"/>
      <c r="BF82" s="23"/>
      <c r="BO82" s="69"/>
      <c r="CD82" s="61">
        <v>18</v>
      </c>
      <c r="CE82" s="61" t="s">
        <v>311</v>
      </c>
      <c r="CV82" s="61">
        <v>2</v>
      </c>
      <c r="CW82" s="61" t="s">
        <v>158</v>
      </c>
      <c r="DD82" s="61">
        <v>4</v>
      </c>
      <c r="DE82" s="61" t="s">
        <v>158</v>
      </c>
      <c r="DT82" s="61">
        <v>7</v>
      </c>
      <c r="DU82" s="61" t="s">
        <v>292</v>
      </c>
      <c r="EQ82" s="61" t="s">
        <v>152</v>
      </c>
      <c r="FH82" s="54"/>
      <c r="FI82" s="54"/>
      <c r="FJ82" s="54"/>
      <c r="FK82" s="54"/>
      <c r="FL82" s="54"/>
      <c r="FM82" s="54"/>
      <c r="FN82" s="54"/>
      <c r="FO82" s="54"/>
      <c r="FP82" s="54"/>
      <c r="FQ82" s="54"/>
      <c r="FR82" s="216"/>
      <c r="FS82" s="54"/>
      <c r="FT82" s="54"/>
      <c r="FU82" s="54"/>
      <c r="FV82" s="54"/>
      <c r="FW82" s="54"/>
      <c r="FX82" s="54"/>
      <c r="FY82" s="54"/>
      <c r="FZ82" s="54"/>
      <c r="GA82" s="54"/>
      <c r="GB82" s="54"/>
      <c r="GC82" s="54"/>
      <c r="GD82" s="54"/>
      <c r="GE82" s="54"/>
      <c r="GF82" s="54"/>
      <c r="GG82" s="54"/>
      <c r="GH82" s="54"/>
      <c r="GI82" s="54"/>
      <c r="GJ82" s="54"/>
      <c r="GK82" s="54"/>
      <c r="GL82" s="54"/>
      <c r="GM82" s="54"/>
      <c r="GN82" s="54"/>
      <c r="GO82" s="54"/>
      <c r="GP82" s="54"/>
      <c r="GQ82" s="54"/>
      <c r="GR82" s="54"/>
      <c r="GS82" s="54"/>
      <c r="GT82" s="54"/>
      <c r="GU82" s="54"/>
      <c r="GV82" s="54"/>
      <c r="GW82" s="54"/>
      <c r="GX82" s="54"/>
      <c r="GY82" s="54"/>
      <c r="GZ82" s="54"/>
      <c r="HA82" s="54"/>
      <c r="HB82" s="54"/>
      <c r="HC82" s="54"/>
      <c r="HD82" s="54"/>
      <c r="HP82" s="23">
        <f t="shared" si="111"/>
        <v>31</v>
      </c>
      <c r="HQ82" s="23"/>
    </row>
    <row r="83" spans="1:225" s="61" customFormat="1" ht="15.75">
      <c r="A83" s="61" t="s">
        <v>195</v>
      </c>
      <c r="B83" s="62">
        <v>29</v>
      </c>
      <c r="D83" s="14">
        <v>32</v>
      </c>
      <c r="E83" s="61">
        <v>8</v>
      </c>
      <c r="F83" s="61" t="s">
        <v>139</v>
      </c>
      <c r="G83" s="61" t="s">
        <v>168</v>
      </c>
      <c r="H83" s="64">
        <v>36521</v>
      </c>
      <c r="I83" s="61" t="s">
        <v>111</v>
      </c>
      <c r="J83" s="61" t="s">
        <v>112</v>
      </c>
      <c r="K83" s="62"/>
      <c r="L83" s="61" t="s">
        <v>118</v>
      </c>
      <c r="N83" s="61" t="str">
        <f t="shared" si="95"/>
        <v>29R</v>
      </c>
      <c r="O83" s="61" t="str">
        <f t="shared" si="96"/>
        <v>29RBase</v>
      </c>
      <c r="Q83" s="23">
        <f t="shared" si="91"/>
        <v>0</v>
      </c>
      <c r="R83" s="23">
        <f t="shared" si="113"/>
        <v>0</v>
      </c>
      <c r="S83" s="23"/>
      <c r="T83" s="67">
        <v>66917</v>
      </c>
      <c r="U83" s="67"/>
      <c r="V83" s="68">
        <v>0</v>
      </c>
      <c r="W83" s="67">
        <f t="shared" si="92"/>
        <v>0</v>
      </c>
      <c r="X83" s="67">
        <f t="shared" si="106"/>
        <v>0</v>
      </c>
      <c r="Y83" s="67">
        <f t="shared" si="106"/>
        <v>0</v>
      </c>
      <c r="Z83" s="67">
        <f t="shared" si="106"/>
        <v>0</v>
      </c>
      <c r="AA83" s="67">
        <f t="shared" si="106"/>
        <v>0</v>
      </c>
      <c r="AB83" s="67">
        <f t="shared" si="102"/>
        <v>0</v>
      </c>
      <c r="AC83" s="67">
        <f t="shared" si="102"/>
        <v>0</v>
      </c>
      <c r="AD83" s="67">
        <f t="shared" si="102"/>
        <v>0</v>
      </c>
      <c r="AE83" s="67">
        <f t="shared" si="107"/>
        <v>0</v>
      </c>
      <c r="AF83" s="67">
        <f t="shared" si="107"/>
        <v>0</v>
      </c>
      <c r="AG83" s="67">
        <f t="shared" si="107"/>
        <v>0</v>
      </c>
      <c r="AH83" s="67">
        <f t="shared" si="107"/>
        <v>0</v>
      </c>
      <c r="AI83" s="67">
        <f t="shared" si="103"/>
        <v>0</v>
      </c>
      <c r="AJ83" s="67">
        <f t="shared" si="103"/>
        <v>0</v>
      </c>
      <c r="AK83" s="67">
        <f t="shared" si="103"/>
        <v>0</v>
      </c>
      <c r="AL83" s="67">
        <f t="shared" si="108"/>
        <v>0</v>
      </c>
      <c r="AM83" s="67">
        <f t="shared" si="108"/>
        <v>0</v>
      </c>
      <c r="AN83" s="67">
        <f t="shared" si="108"/>
        <v>0</v>
      </c>
      <c r="AO83" s="67">
        <f t="shared" si="108"/>
        <v>0</v>
      </c>
      <c r="AP83" s="67">
        <f t="shared" si="104"/>
        <v>0</v>
      </c>
      <c r="AQ83" s="67">
        <f t="shared" si="104"/>
        <v>0</v>
      </c>
      <c r="AR83" s="67">
        <f t="shared" si="104"/>
        <v>0</v>
      </c>
      <c r="AS83" s="67">
        <f t="shared" si="101"/>
        <v>0</v>
      </c>
      <c r="AT83" s="67">
        <f t="shared" si="101"/>
        <v>0</v>
      </c>
      <c r="AU83" s="67">
        <f t="shared" si="110"/>
        <v>0</v>
      </c>
      <c r="AV83" s="67">
        <f t="shared" si="109"/>
        <v>0</v>
      </c>
      <c r="AW83" s="67">
        <f t="shared" si="105"/>
        <v>0</v>
      </c>
      <c r="AX83" s="67">
        <f t="shared" si="105"/>
        <v>0</v>
      </c>
      <c r="AY83" s="67">
        <f t="shared" si="97"/>
        <v>0</v>
      </c>
      <c r="AZ83" s="67"/>
      <c r="BA83" s="67"/>
      <c r="BB83" s="67">
        <f t="shared" si="93"/>
        <v>0</v>
      </c>
      <c r="BC83" s="67">
        <f t="shared" si="112"/>
        <v>0</v>
      </c>
      <c r="BD83" s="137">
        <f t="shared" si="90"/>
        <v>0</v>
      </c>
      <c r="BE83" s="67"/>
      <c r="BF83" s="23"/>
      <c r="BO83" s="69"/>
      <c r="DU83" s="61" t="s">
        <v>184</v>
      </c>
      <c r="FR83" s="217"/>
      <c r="HP83" s="23">
        <f t="shared" si="111"/>
        <v>0</v>
      </c>
      <c r="HQ83" s="23"/>
    </row>
    <row r="84" spans="1:225" s="61" customFormat="1" ht="16.5">
      <c r="A84" s="61" t="s">
        <v>195</v>
      </c>
      <c r="B84" s="62">
        <v>29</v>
      </c>
      <c r="D84" s="14">
        <v>35</v>
      </c>
      <c r="E84" s="61">
        <v>8</v>
      </c>
      <c r="F84" s="61" t="s">
        <v>139</v>
      </c>
      <c r="G84" s="61" t="s">
        <v>168</v>
      </c>
      <c r="H84" s="64">
        <v>36521</v>
      </c>
      <c r="I84" s="61" t="s">
        <v>111</v>
      </c>
      <c r="J84" s="61" t="s">
        <v>112</v>
      </c>
      <c r="K84" s="62"/>
      <c r="L84" s="61" t="s">
        <v>118</v>
      </c>
      <c r="N84" s="61" t="str">
        <f t="shared" si="95"/>
        <v>29R</v>
      </c>
      <c r="O84" s="61" t="str">
        <f t="shared" si="96"/>
        <v>29RBase</v>
      </c>
      <c r="Q84" s="23">
        <f t="shared" si="91"/>
        <v>0</v>
      </c>
      <c r="R84" s="23">
        <f t="shared" si="113"/>
        <v>0</v>
      </c>
      <c r="S84" s="23"/>
      <c r="T84" s="67">
        <v>66917</v>
      </c>
      <c r="U84" s="67"/>
      <c r="V84" s="68">
        <v>0</v>
      </c>
      <c r="W84" s="67">
        <f t="shared" si="92"/>
        <v>0</v>
      </c>
      <c r="X84" s="67">
        <f t="shared" si="106"/>
        <v>0</v>
      </c>
      <c r="Y84" s="67">
        <f t="shared" si="106"/>
        <v>0</v>
      </c>
      <c r="Z84" s="67">
        <f t="shared" si="106"/>
        <v>0</v>
      </c>
      <c r="AA84" s="67">
        <f t="shared" si="106"/>
        <v>0</v>
      </c>
      <c r="AB84" s="67">
        <f t="shared" si="102"/>
        <v>0</v>
      </c>
      <c r="AC84" s="67">
        <f t="shared" si="102"/>
        <v>0</v>
      </c>
      <c r="AD84" s="67">
        <f t="shared" si="102"/>
        <v>0</v>
      </c>
      <c r="AE84" s="67">
        <f t="shared" si="107"/>
        <v>0</v>
      </c>
      <c r="AF84" s="67">
        <f t="shared" si="107"/>
        <v>0</v>
      </c>
      <c r="AG84" s="67">
        <f t="shared" si="107"/>
        <v>0</v>
      </c>
      <c r="AH84" s="67">
        <f t="shared" si="107"/>
        <v>0</v>
      </c>
      <c r="AI84" s="67">
        <f t="shared" si="103"/>
        <v>0</v>
      </c>
      <c r="AJ84" s="67">
        <f t="shared" si="103"/>
        <v>0</v>
      </c>
      <c r="AK84" s="67">
        <f t="shared" si="103"/>
        <v>0</v>
      </c>
      <c r="AL84" s="67">
        <f t="shared" si="108"/>
        <v>0</v>
      </c>
      <c r="AM84" s="67">
        <f t="shared" si="108"/>
        <v>0</v>
      </c>
      <c r="AN84" s="67">
        <f t="shared" si="108"/>
        <v>0</v>
      </c>
      <c r="AO84" s="67">
        <f t="shared" si="108"/>
        <v>0</v>
      </c>
      <c r="AP84" s="67">
        <f t="shared" si="104"/>
        <v>0</v>
      </c>
      <c r="AQ84" s="67">
        <f t="shared" si="104"/>
        <v>0</v>
      </c>
      <c r="AR84" s="67">
        <f t="shared" si="104"/>
        <v>0</v>
      </c>
      <c r="AS84" s="67">
        <f t="shared" si="101"/>
        <v>0</v>
      </c>
      <c r="AT84" s="67">
        <f t="shared" si="101"/>
        <v>0</v>
      </c>
      <c r="AU84" s="67">
        <f t="shared" si="110"/>
        <v>0</v>
      </c>
      <c r="AV84" s="67">
        <f t="shared" si="109"/>
        <v>0</v>
      </c>
      <c r="AW84" s="67">
        <f t="shared" si="105"/>
        <v>0</v>
      </c>
      <c r="AX84" s="67">
        <f t="shared" si="105"/>
        <v>0</v>
      </c>
      <c r="AY84" s="67">
        <f t="shared" ref="AY84:AY93" si="114">AX84</f>
        <v>0</v>
      </c>
      <c r="AZ84" s="67"/>
      <c r="BA84" s="67"/>
      <c r="BB84" s="67">
        <f t="shared" si="93"/>
        <v>0</v>
      </c>
      <c r="BC84" s="67">
        <f t="shared" si="112"/>
        <v>0</v>
      </c>
      <c r="BD84" s="137">
        <f t="shared" si="90"/>
        <v>0</v>
      </c>
      <c r="BE84" s="67"/>
      <c r="BF84" s="23"/>
      <c r="BO84" s="69"/>
      <c r="DX84" s="61">
        <v>209</v>
      </c>
      <c r="EM84" s="71"/>
      <c r="FH84" s="99"/>
      <c r="FI84" s="99"/>
      <c r="FJ84" s="99"/>
      <c r="FK84" s="99"/>
      <c r="FL84" s="99"/>
      <c r="FM84" s="99"/>
      <c r="FN84" s="99"/>
      <c r="FO84" s="99"/>
      <c r="FP84" s="99"/>
      <c r="FQ84" s="99"/>
      <c r="FR84" s="224"/>
      <c r="FS84" s="99"/>
      <c r="FT84" s="99"/>
      <c r="FU84" s="99"/>
      <c r="FV84" s="99"/>
      <c r="FW84" s="99"/>
      <c r="FX84" s="99"/>
      <c r="FY84" s="99"/>
      <c r="FZ84" s="99"/>
      <c r="GA84" s="99"/>
      <c r="GB84" s="99"/>
      <c r="GC84" s="99"/>
      <c r="GD84" s="99"/>
      <c r="GE84" s="99"/>
      <c r="GF84" s="99"/>
      <c r="GG84" s="99"/>
      <c r="GH84" s="99"/>
      <c r="GI84" s="99"/>
      <c r="GJ84" s="99"/>
      <c r="GK84" s="99"/>
      <c r="GL84" s="99"/>
      <c r="GM84" s="99"/>
      <c r="GN84" s="99"/>
      <c r="GO84" s="99"/>
      <c r="GP84" s="99"/>
      <c r="GQ84" s="99"/>
      <c r="GR84" s="99"/>
      <c r="GS84" s="99"/>
      <c r="GT84" s="99"/>
      <c r="GU84" s="99"/>
      <c r="GV84" s="99"/>
      <c r="GW84" s="99"/>
      <c r="GX84" s="99"/>
      <c r="GY84" s="99"/>
      <c r="GZ84" s="99"/>
      <c r="HA84" s="99"/>
      <c r="HB84" s="99"/>
      <c r="HC84" s="99"/>
      <c r="HD84" s="99"/>
      <c r="HP84" s="23">
        <f t="shared" si="111"/>
        <v>209</v>
      </c>
      <c r="HQ84" s="23"/>
    </row>
    <row r="85" spans="1:225" s="71" customFormat="1" ht="16.5">
      <c r="A85" s="71" t="s">
        <v>195</v>
      </c>
      <c r="B85" s="72">
        <v>29</v>
      </c>
      <c r="D85" s="71">
        <v>35</v>
      </c>
      <c r="E85" s="71">
        <v>8</v>
      </c>
      <c r="F85" s="71" t="s">
        <v>144</v>
      </c>
      <c r="G85" s="71" t="s">
        <v>168</v>
      </c>
      <c r="H85" s="73">
        <v>36516</v>
      </c>
      <c r="I85" s="71" t="s">
        <v>111</v>
      </c>
      <c r="J85" s="71" t="s">
        <v>112</v>
      </c>
      <c r="K85" s="72"/>
      <c r="L85" s="71" t="s">
        <v>118</v>
      </c>
      <c r="M85" s="54"/>
      <c r="N85" s="71" t="str">
        <f>CONCATENATE(B85,J85)</f>
        <v>29R</v>
      </c>
      <c r="O85" s="71" t="str">
        <f>CONCATENATE(B85,J85,I85)</f>
        <v>29RBase</v>
      </c>
      <c r="Q85" s="15">
        <f t="shared" si="91"/>
        <v>0</v>
      </c>
      <c r="R85" s="74">
        <f t="shared" si="113"/>
        <v>0</v>
      </c>
      <c r="S85" s="74"/>
      <c r="T85" s="75">
        <v>66917</v>
      </c>
      <c r="U85" s="75"/>
      <c r="V85" s="76">
        <v>0</v>
      </c>
      <c r="W85" s="75">
        <f>V85</f>
        <v>0</v>
      </c>
      <c r="X85" s="75">
        <f t="shared" ref="X85:AM85" si="115">W85</f>
        <v>0</v>
      </c>
      <c r="Y85" s="75">
        <f t="shared" si="115"/>
        <v>0</v>
      </c>
      <c r="Z85" s="75">
        <f t="shared" si="115"/>
        <v>0</v>
      </c>
      <c r="AA85" s="75">
        <f t="shared" si="115"/>
        <v>0</v>
      </c>
      <c r="AB85" s="75">
        <f t="shared" si="115"/>
        <v>0</v>
      </c>
      <c r="AC85" s="75">
        <f t="shared" si="115"/>
        <v>0</v>
      </c>
      <c r="AD85" s="75">
        <f t="shared" si="115"/>
        <v>0</v>
      </c>
      <c r="AE85" s="75">
        <f t="shared" si="115"/>
        <v>0</v>
      </c>
      <c r="AF85" s="75">
        <f t="shared" si="115"/>
        <v>0</v>
      </c>
      <c r="AG85" s="75">
        <f t="shared" si="115"/>
        <v>0</v>
      </c>
      <c r="AH85" s="75">
        <f t="shared" si="115"/>
        <v>0</v>
      </c>
      <c r="AI85" s="75">
        <f t="shared" si="115"/>
        <v>0</v>
      </c>
      <c r="AJ85" s="75">
        <f t="shared" si="115"/>
        <v>0</v>
      </c>
      <c r="AK85" s="75">
        <f t="shared" si="115"/>
        <v>0</v>
      </c>
      <c r="AL85" s="75">
        <f t="shared" si="115"/>
        <v>0</v>
      </c>
      <c r="AM85" s="75">
        <f t="shared" si="115"/>
        <v>0</v>
      </c>
      <c r="AN85" s="75">
        <f t="shared" si="108"/>
        <v>0</v>
      </c>
      <c r="AO85" s="75">
        <f t="shared" si="108"/>
        <v>0</v>
      </c>
      <c r="AP85" s="75">
        <f t="shared" si="104"/>
        <v>0</v>
      </c>
      <c r="AQ85" s="75">
        <f t="shared" si="104"/>
        <v>0</v>
      </c>
      <c r="AR85" s="75">
        <f t="shared" si="104"/>
        <v>0</v>
      </c>
      <c r="AS85" s="75">
        <f t="shared" si="101"/>
        <v>0</v>
      </c>
      <c r="AT85" s="75">
        <f t="shared" si="101"/>
        <v>0</v>
      </c>
      <c r="AU85" s="75">
        <f t="shared" si="110"/>
        <v>0</v>
      </c>
      <c r="AV85" s="75">
        <f t="shared" si="109"/>
        <v>0</v>
      </c>
      <c r="AW85" s="75">
        <f t="shared" si="105"/>
        <v>0</v>
      </c>
      <c r="AX85" s="75">
        <f t="shared" si="105"/>
        <v>0</v>
      </c>
      <c r="AY85" s="75">
        <f t="shared" si="114"/>
        <v>0</v>
      </c>
      <c r="AZ85" s="75"/>
      <c r="BA85" s="75"/>
      <c r="BB85" s="16">
        <f t="shared" si="93"/>
        <v>0</v>
      </c>
      <c r="BC85" s="67">
        <f t="shared" si="112"/>
        <v>0</v>
      </c>
      <c r="BD85" s="137">
        <f t="shared" si="90"/>
        <v>0</v>
      </c>
      <c r="BE85" s="75"/>
      <c r="BF85" s="74"/>
      <c r="BO85" s="77"/>
      <c r="DX85" s="71">
        <v>68</v>
      </c>
      <c r="EM85" s="61"/>
      <c r="FH85" s="99"/>
      <c r="FI85" s="99"/>
      <c r="FJ85" s="99"/>
      <c r="FK85" s="99"/>
      <c r="FL85" s="99"/>
      <c r="FM85" s="99"/>
      <c r="FN85" s="99"/>
      <c r="FO85" s="99"/>
      <c r="FP85" s="99"/>
      <c r="FQ85" s="99"/>
      <c r="FR85" s="224"/>
      <c r="FS85" s="99"/>
      <c r="FT85" s="99"/>
      <c r="FU85" s="99"/>
      <c r="FV85" s="99"/>
      <c r="FW85" s="99"/>
      <c r="FX85" s="99"/>
      <c r="FY85" s="99"/>
      <c r="FZ85" s="99"/>
      <c r="GA85" s="99"/>
      <c r="GB85" s="99"/>
      <c r="GC85" s="99"/>
      <c r="GD85" s="99"/>
      <c r="GE85" s="99"/>
      <c r="GF85" s="99"/>
      <c r="GG85" s="99"/>
      <c r="GH85" s="99"/>
      <c r="GI85" s="99"/>
      <c r="GJ85" s="99"/>
      <c r="GK85" s="99"/>
      <c r="GL85" s="99"/>
      <c r="GM85" s="99"/>
      <c r="GN85" s="99"/>
      <c r="GO85" s="99"/>
      <c r="GP85" s="99"/>
      <c r="GQ85" s="99"/>
      <c r="GR85" s="99"/>
      <c r="GS85" s="99"/>
      <c r="GT85" s="99"/>
      <c r="GU85" s="99"/>
      <c r="GV85" s="99"/>
      <c r="GW85" s="99"/>
      <c r="GX85" s="99"/>
      <c r="GY85" s="99"/>
      <c r="GZ85" s="99"/>
      <c r="HA85" s="99"/>
      <c r="HB85" s="99"/>
      <c r="HC85" s="99"/>
      <c r="HD85" s="99"/>
      <c r="HP85" s="74">
        <f t="shared" si="111"/>
        <v>68</v>
      </c>
      <c r="HQ85" s="74"/>
    </row>
    <row r="86" spans="1:225" s="61" customFormat="1" ht="15.75">
      <c r="A86" s="61" t="s">
        <v>164</v>
      </c>
      <c r="B86" s="62" t="s">
        <v>196</v>
      </c>
      <c r="D86" s="14">
        <v>36</v>
      </c>
      <c r="E86" s="61">
        <v>8</v>
      </c>
      <c r="F86" s="61" t="s">
        <v>164</v>
      </c>
      <c r="G86" s="61" t="s">
        <v>197</v>
      </c>
      <c r="H86" s="64">
        <v>36465</v>
      </c>
      <c r="I86" s="61" t="s">
        <v>111</v>
      </c>
      <c r="J86" s="61" t="s">
        <v>122</v>
      </c>
      <c r="K86" s="62"/>
      <c r="L86" s="61" t="s">
        <v>113</v>
      </c>
      <c r="M86" s="54"/>
      <c r="N86" s="61" t="str">
        <f t="shared" si="95"/>
        <v>56WW</v>
      </c>
      <c r="O86" s="61" t="str">
        <f t="shared" si="96"/>
        <v>56WWBase</v>
      </c>
      <c r="Q86" s="23">
        <f t="shared" si="91"/>
        <v>0</v>
      </c>
      <c r="R86" s="23">
        <f t="shared" si="113"/>
        <v>0</v>
      </c>
      <c r="S86" s="23"/>
      <c r="T86" s="67">
        <v>37147</v>
      </c>
      <c r="U86" s="67"/>
      <c r="V86" s="68">
        <v>0</v>
      </c>
      <c r="W86" s="67">
        <f t="shared" ref="W86:W106" si="116">V86</f>
        <v>0</v>
      </c>
      <c r="X86" s="67">
        <f t="shared" ref="X86:Z93" si="117">W86</f>
        <v>0</v>
      </c>
      <c r="Y86" s="67">
        <f t="shared" si="117"/>
        <v>0</v>
      </c>
      <c r="Z86" s="67">
        <f t="shared" si="117"/>
        <v>0</v>
      </c>
      <c r="AA86" s="67">
        <f>Z86</f>
        <v>0</v>
      </c>
      <c r="AB86" s="67">
        <f t="shared" si="102"/>
        <v>0</v>
      </c>
      <c r="AC86" s="67">
        <f t="shared" si="102"/>
        <v>0</v>
      </c>
      <c r="AD86" s="67">
        <f t="shared" si="102"/>
        <v>0</v>
      </c>
      <c r="AE86" s="67">
        <f t="shared" si="107"/>
        <v>0</v>
      </c>
      <c r="AF86" s="67">
        <f t="shared" si="107"/>
        <v>0</v>
      </c>
      <c r="AG86" s="67">
        <f t="shared" si="107"/>
        <v>0</v>
      </c>
      <c r="AH86" s="67">
        <f t="shared" si="107"/>
        <v>0</v>
      </c>
      <c r="AI86" s="67">
        <f t="shared" si="103"/>
        <v>0</v>
      </c>
      <c r="AJ86" s="67">
        <f t="shared" si="103"/>
        <v>0</v>
      </c>
      <c r="AK86" s="67">
        <f t="shared" si="103"/>
        <v>0</v>
      </c>
      <c r="AL86" s="67">
        <f t="shared" si="108"/>
        <v>0</v>
      </c>
      <c r="AM86" s="67">
        <f t="shared" si="108"/>
        <v>0</v>
      </c>
      <c r="AN86" s="67">
        <f t="shared" si="108"/>
        <v>0</v>
      </c>
      <c r="AO86" s="67">
        <f t="shared" si="108"/>
        <v>0</v>
      </c>
      <c r="AP86" s="67">
        <f t="shared" si="104"/>
        <v>0</v>
      </c>
      <c r="AQ86" s="67">
        <f t="shared" si="104"/>
        <v>0</v>
      </c>
      <c r="AR86" s="67">
        <f t="shared" si="104"/>
        <v>0</v>
      </c>
      <c r="AS86" s="67">
        <f t="shared" si="101"/>
        <v>0</v>
      </c>
      <c r="AT86" s="67">
        <f t="shared" si="101"/>
        <v>0</v>
      </c>
      <c r="AU86" s="67">
        <f t="shared" si="110"/>
        <v>0</v>
      </c>
      <c r="AV86" s="67">
        <f t="shared" si="109"/>
        <v>0</v>
      </c>
      <c r="AW86" s="67">
        <f t="shared" si="105"/>
        <v>0</v>
      </c>
      <c r="AX86" s="67">
        <f t="shared" si="105"/>
        <v>0</v>
      </c>
      <c r="AY86" s="67">
        <f t="shared" si="114"/>
        <v>0</v>
      </c>
      <c r="AZ86" s="67"/>
      <c r="BA86" s="67"/>
      <c r="BB86" s="67">
        <f t="shared" si="93"/>
        <v>0</v>
      </c>
      <c r="BC86" s="67">
        <f t="shared" si="112"/>
        <v>0</v>
      </c>
      <c r="BD86" s="137">
        <f t="shared" si="90"/>
        <v>0</v>
      </c>
      <c r="BE86" s="67"/>
      <c r="BF86" s="23"/>
      <c r="BO86" s="69"/>
      <c r="EG86" s="61" t="s">
        <v>171</v>
      </c>
      <c r="EM86" s="99"/>
      <c r="FH86" s="108"/>
      <c r="FI86" s="108"/>
      <c r="FJ86" s="108"/>
      <c r="FK86" s="108"/>
      <c r="FL86" s="108"/>
      <c r="FM86" s="108"/>
      <c r="FN86" s="108"/>
      <c r="FO86" s="108"/>
      <c r="FP86" s="108"/>
      <c r="FQ86" s="108"/>
      <c r="FR86" s="225"/>
      <c r="FS86" s="108"/>
      <c r="FT86" s="108"/>
      <c r="FU86" s="108"/>
      <c r="FV86" s="108"/>
      <c r="FW86" s="108"/>
      <c r="FX86" s="108"/>
      <c r="FY86" s="108"/>
      <c r="FZ86" s="108"/>
      <c r="GA86" s="108"/>
      <c r="GB86" s="108"/>
      <c r="GC86" s="108"/>
      <c r="GD86" s="108"/>
      <c r="GE86" s="108"/>
      <c r="GF86" s="108"/>
      <c r="GG86" s="108"/>
      <c r="GH86" s="108"/>
      <c r="GI86" s="108"/>
      <c r="GJ86" s="108"/>
      <c r="GK86" s="108"/>
      <c r="GL86" s="108"/>
      <c r="GM86" s="108"/>
      <c r="GN86" s="108"/>
      <c r="GO86" s="108"/>
      <c r="GP86" s="108"/>
      <c r="GQ86" s="108"/>
      <c r="GR86" s="108"/>
      <c r="GS86" s="108"/>
      <c r="GT86" s="108"/>
      <c r="GU86" s="108"/>
      <c r="GV86" s="108"/>
      <c r="GW86" s="108"/>
      <c r="GX86" s="108"/>
      <c r="GY86" s="108"/>
      <c r="GZ86" s="108"/>
      <c r="HA86" s="108"/>
      <c r="HB86" s="108"/>
      <c r="HC86" s="108"/>
      <c r="HD86" s="108"/>
      <c r="HP86" s="23">
        <f t="shared" si="111"/>
        <v>0</v>
      </c>
      <c r="HQ86" s="23"/>
    </row>
    <row r="87" spans="1:225" s="61" customFormat="1" ht="15.75">
      <c r="A87" s="61" t="s">
        <v>164</v>
      </c>
      <c r="B87" s="62" t="s">
        <v>196</v>
      </c>
      <c r="D87" s="14">
        <v>36</v>
      </c>
      <c r="E87" s="61">
        <v>8</v>
      </c>
      <c r="F87" s="61" t="s">
        <v>115</v>
      </c>
      <c r="G87" s="61" t="s">
        <v>168</v>
      </c>
      <c r="H87" s="64">
        <v>36517</v>
      </c>
      <c r="I87" s="61" t="s">
        <v>111</v>
      </c>
      <c r="J87" s="61" t="s">
        <v>112</v>
      </c>
      <c r="K87" s="62"/>
      <c r="L87" s="61" t="s">
        <v>113</v>
      </c>
      <c r="M87" s="54"/>
      <c r="N87" s="61" t="str">
        <f t="shared" si="95"/>
        <v>56WR</v>
      </c>
      <c r="O87" s="61" t="str">
        <f t="shared" si="96"/>
        <v>56WRBase</v>
      </c>
      <c r="Q87" s="23">
        <f t="shared" si="91"/>
        <v>0</v>
      </c>
      <c r="R87" s="23">
        <f t="shared" si="113"/>
        <v>0</v>
      </c>
      <c r="S87" s="23"/>
      <c r="T87" s="67">
        <v>37147</v>
      </c>
      <c r="U87" s="67"/>
      <c r="V87" s="68">
        <v>0</v>
      </c>
      <c r="W87" s="67">
        <f t="shared" si="116"/>
        <v>0</v>
      </c>
      <c r="X87" s="67">
        <f t="shared" si="117"/>
        <v>0</v>
      </c>
      <c r="Y87" s="67">
        <f t="shared" si="117"/>
        <v>0</v>
      </c>
      <c r="Z87" s="67">
        <f t="shared" si="117"/>
        <v>0</v>
      </c>
      <c r="AA87" s="67">
        <f>Z87</f>
        <v>0</v>
      </c>
      <c r="AB87" s="67">
        <f t="shared" si="102"/>
        <v>0</v>
      </c>
      <c r="AC87" s="67">
        <f t="shared" si="102"/>
        <v>0</v>
      </c>
      <c r="AD87" s="67">
        <f t="shared" si="102"/>
        <v>0</v>
      </c>
      <c r="AE87" s="67">
        <f t="shared" si="107"/>
        <v>0</v>
      </c>
      <c r="AF87" s="67">
        <f t="shared" si="107"/>
        <v>0</v>
      </c>
      <c r="AG87" s="67">
        <f t="shared" si="107"/>
        <v>0</v>
      </c>
      <c r="AH87" s="67">
        <f t="shared" si="107"/>
        <v>0</v>
      </c>
      <c r="AI87" s="67">
        <f t="shared" si="103"/>
        <v>0</v>
      </c>
      <c r="AJ87" s="67">
        <f t="shared" si="103"/>
        <v>0</v>
      </c>
      <c r="AK87" s="67">
        <f t="shared" si="103"/>
        <v>0</v>
      </c>
      <c r="AL87" s="67">
        <f t="shared" si="108"/>
        <v>0</v>
      </c>
      <c r="AM87" s="67">
        <f t="shared" si="108"/>
        <v>0</v>
      </c>
      <c r="AN87" s="67">
        <f t="shared" si="108"/>
        <v>0</v>
      </c>
      <c r="AO87" s="67">
        <f t="shared" si="108"/>
        <v>0</v>
      </c>
      <c r="AP87" s="67">
        <f t="shared" si="104"/>
        <v>0</v>
      </c>
      <c r="AQ87" s="67">
        <f t="shared" si="104"/>
        <v>0</v>
      </c>
      <c r="AR87" s="67">
        <f t="shared" si="104"/>
        <v>0</v>
      </c>
      <c r="AS87" s="67">
        <f t="shared" ref="AS87:AT106" si="118">AR87</f>
        <v>0</v>
      </c>
      <c r="AT87" s="67">
        <f t="shared" si="118"/>
        <v>0</v>
      </c>
      <c r="AU87" s="67">
        <f t="shared" si="110"/>
        <v>0</v>
      </c>
      <c r="AV87" s="67">
        <f t="shared" si="109"/>
        <v>0</v>
      </c>
      <c r="AW87" s="67">
        <f t="shared" si="105"/>
        <v>0</v>
      </c>
      <c r="AX87" s="67">
        <f t="shared" si="105"/>
        <v>0</v>
      </c>
      <c r="AY87" s="67">
        <f t="shared" si="114"/>
        <v>0</v>
      </c>
      <c r="AZ87" s="67"/>
      <c r="BA87" s="67"/>
      <c r="BB87" s="67">
        <f t="shared" si="93"/>
        <v>0</v>
      </c>
      <c r="BC87" s="67">
        <f t="shared" si="112"/>
        <v>0</v>
      </c>
      <c r="BD87" s="137">
        <f t="shared" si="90"/>
        <v>0</v>
      </c>
      <c r="BE87" s="67"/>
      <c r="BF87" s="23"/>
      <c r="BO87" s="69"/>
      <c r="EG87" s="61" t="s">
        <v>319</v>
      </c>
      <c r="EM87" s="99"/>
      <c r="EO87" s="61" t="s">
        <v>347</v>
      </c>
      <c r="FH87" s="108"/>
      <c r="FI87" s="108"/>
      <c r="FJ87" s="108"/>
      <c r="FK87" s="108"/>
      <c r="FL87" s="108"/>
      <c r="FM87" s="108"/>
      <c r="FN87" s="108"/>
      <c r="FO87" s="108"/>
      <c r="FP87" s="108"/>
      <c r="FQ87" s="108"/>
      <c r="FR87" s="225"/>
      <c r="FS87" s="108"/>
      <c r="FT87" s="108"/>
      <c r="FU87" s="108"/>
      <c r="FV87" s="108"/>
      <c r="FW87" s="108"/>
      <c r="FX87" s="108"/>
      <c r="FY87" s="108"/>
      <c r="FZ87" s="108"/>
      <c r="GA87" s="108"/>
      <c r="GB87" s="108"/>
      <c r="GC87" s="108"/>
      <c r="GD87" s="108"/>
      <c r="GE87" s="108"/>
      <c r="GF87" s="108"/>
      <c r="GG87" s="108"/>
      <c r="GH87" s="108"/>
      <c r="GI87" s="108"/>
      <c r="GJ87" s="108"/>
      <c r="GK87" s="108"/>
      <c r="GL87" s="108"/>
      <c r="GM87" s="108"/>
      <c r="GN87" s="108"/>
      <c r="GO87" s="108"/>
      <c r="GP87" s="108"/>
      <c r="GQ87" s="108"/>
      <c r="GR87" s="108"/>
      <c r="GS87" s="108"/>
      <c r="GT87" s="108"/>
      <c r="GU87" s="108"/>
      <c r="GV87" s="108"/>
      <c r="GW87" s="108"/>
      <c r="GX87" s="108"/>
      <c r="GY87" s="108"/>
      <c r="GZ87" s="108"/>
      <c r="HA87" s="108"/>
      <c r="HB87" s="108"/>
      <c r="HC87" s="108"/>
      <c r="HD87" s="108"/>
      <c r="HP87" s="23">
        <f t="shared" si="111"/>
        <v>0</v>
      </c>
      <c r="HQ87" s="23"/>
    </row>
    <row r="88" spans="1:225" s="61" customFormat="1" ht="15.75">
      <c r="A88" s="61" t="s">
        <v>126</v>
      </c>
      <c r="B88" s="62">
        <v>52</v>
      </c>
      <c r="D88" s="14">
        <v>36</v>
      </c>
      <c r="E88" s="61">
        <v>8</v>
      </c>
      <c r="F88" s="61" t="s">
        <v>115</v>
      </c>
      <c r="G88" s="63" t="s">
        <v>135</v>
      </c>
      <c r="H88" s="64">
        <v>36336</v>
      </c>
      <c r="I88" s="61" t="s">
        <v>111</v>
      </c>
      <c r="J88" s="61" t="s">
        <v>112</v>
      </c>
      <c r="K88" s="65"/>
      <c r="L88" s="61" t="s">
        <v>118</v>
      </c>
      <c r="M88" s="66" t="s">
        <v>293</v>
      </c>
      <c r="N88" s="61" t="str">
        <f>CONCATENATE(B88,J88)</f>
        <v>52R</v>
      </c>
      <c r="O88" s="61" t="str">
        <f>CONCATENATE(B88,J88,I88)</f>
        <v>52RBase</v>
      </c>
      <c r="Q88" s="23">
        <f>+BC88</f>
        <v>0</v>
      </c>
      <c r="R88" s="23">
        <f>+Q88</f>
        <v>0</v>
      </c>
      <c r="S88" s="23"/>
      <c r="T88" s="67">
        <v>37147</v>
      </c>
      <c r="U88" s="67"/>
      <c r="V88" s="68">
        <v>0</v>
      </c>
      <c r="W88" s="67">
        <f t="shared" ref="W88:AX88" si="119">V88</f>
        <v>0</v>
      </c>
      <c r="X88" s="67">
        <f t="shared" si="119"/>
        <v>0</v>
      </c>
      <c r="Y88" s="67">
        <f t="shared" si="119"/>
        <v>0</v>
      </c>
      <c r="Z88" s="67">
        <f t="shared" si="119"/>
        <v>0</v>
      </c>
      <c r="AA88" s="67">
        <f t="shared" si="119"/>
        <v>0</v>
      </c>
      <c r="AB88" s="67">
        <f t="shared" si="119"/>
        <v>0</v>
      </c>
      <c r="AC88" s="67">
        <f t="shared" si="119"/>
        <v>0</v>
      </c>
      <c r="AD88" s="67">
        <f t="shared" si="119"/>
        <v>0</v>
      </c>
      <c r="AE88" s="67">
        <f t="shared" si="119"/>
        <v>0</v>
      </c>
      <c r="AF88" s="67">
        <f t="shared" si="119"/>
        <v>0</v>
      </c>
      <c r="AG88" s="67">
        <f t="shared" si="119"/>
        <v>0</v>
      </c>
      <c r="AH88" s="67">
        <f t="shared" si="119"/>
        <v>0</v>
      </c>
      <c r="AI88" s="67">
        <f t="shared" si="119"/>
        <v>0</v>
      </c>
      <c r="AJ88" s="67">
        <f t="shared" si="119"/>
        <v>0</v>
      </c>
      <c r="AK88" s="67">
        <f t="shared" si="119"/>
        <v>0</v>
      </c>
      <c r="AL88" s="67">
        <f t="shared" si="119"/>
        <v>0</v>
      </c>
      <c r="AM88" s="67">
        <f t="shared" si="119"/>
        <v>0</v>
      </c>
      <c r="AN88" s="67">
        <f t="shared" si="119"/>
        <v>0</v>
      </c>
      <c r="AO88" s="67">
        <f t="shared" si="119"/>
        <v>0</v>
      </c>
      <c r="AP88" s="67">
        <f t="shared" si="119"/>
        <v>0</v>
      </c>
      <c r="AQ88" s="67">
        <f t="shared" si="119"/>
        <v>0</v>
      </c>
      <c r="AR88" s="67">
        <f t="shared" si="119"/>
        <v>0</v>
      </c>
      <c r="AS88" s="67">
        <f t="shared" si="119"/>
        <v>0</v>
      </c>
      <c r="AT88" s="67">
        <f t="shared" si="119"/>
        <v>0</v>
      </c>
      <c r="AU88" s="67">
        <f t="shared" si="119"/>
        <v>0</v>
      </c>
      <c r="AV88" s="67">
        <f t="shared" si="119"/>
        <v>0</v>
      </c>
      <c r="AW88" s="67">
        <f t="shared" si="119"/>
        <v>0</v>
      </c>
      <c r="AX88" s="67">
        <f t="shared" si="119"/>
        <v>0</v>
      </c>
      <c r="AY88" s="67">
        <f t="shared" si="114"/>
        <v>0</v>
      </c>
      <c r="AZ88" s="67"/>
      <c r="BA88" s="67"/>
      <c r="BB88" s="67">
        <f t="shared" si="93"/>
        <v>0</v>
      </c>
      <c r="BC88" s="67">
        <f t="shared" si="112"/>
        <v>0</v>
      </c>
      <c r="BD88" s="137">
        <f t="shared" si="90"/>
        <v>0</v>
      </c>
      <c r="BE88" s="67"/>
      <c r="BF88" s="23"/>
      <c r="BG88" s="23"/>
      <c r="BH88" s="23"/>
      <c r="BI88" s="23"/>
      <c r="BJ88" s="23"/>
      <c r="BK88" s="23"/>
      <c r="BL88" s="23"/>
      <c r="BM88" s="23"/>
      <c r="BO88" s="69" t="s">
        <v>127</v>
      </c>
      <c r="EF88" s="61">
        <v>6</v>
      </c>
      <c r="EG88" s="61" t="s">
        <v>320</v>
      </c>
      <c r="FH88" s="108"/>
      <c r="FI88" s="108"/>
      <c r="FJ88" s="108"/>
      <c r="FK88" s="108"/>
      <c r="FL88" s="108"/>
      <c r="FM88" s="108"/>
      <c r="FN88" s="108"/>
      <c r="FO88" s="108"/>
      <c r="FP88" s="108"/>
      <c r="FQ88" s="108"/>
      <c r="FR88" s="225"/>
      <c r="FS88" s="108"/>
      <c r="FT88" s="108"/>
      <c r="FU88" s="108"/>
      <c r="FV88" s="108"/>
      <c r="FW88" s="108"/>
      <c r="FX88" s="108"/>
      <c r="FY88" s="108"/>
      <c r="FZ88" s="108"/>
      <c r="GA88" s="108"/>
      <c r="GB88" s="108"/>
      <c r="GC88" s="108"/>
      <c r="GD88" s="108"/>
      <c r="GE88" s="108"/>
      <c r="GF88" s="108"/>
      <c r="GG88" s="108"/>
      <c r="GH88" s="108"/>
      <c r="GI88" s="108"/>
      <c r="GJ88" s="108"/>
      <c r="GK88" s="108"/>
      <c r="GL88" s="108"/>
      <c r="GM88" s="108"/>
      <c r="GN88" s="108"/>
      <c r="GO88" s="108"/>
      <c r="GP88" s="108"/>
      <c r="GQ88" s="108"/>
      <c r="GR88" s="108"/>
      <c r="GS88" s="108"/>
      <c r="GT88" s="108"/>
      <c r="GU88" s="108"/>
      <c r="GV88" s="108"/>
      <c r="GW88" s="108"/>
      <c r="GX88" s="108"/>
      <c r="GY88" s="108"/>
      <c r="GZ88" s="108"/>
      <c r="HA88" s="108"/>
      <c r="HB88" s="108"/>
      <c r="HC88" s="108"/>
      <c r="HD88" s="108"/>
      <c r="HP88" s="23">
        <f t="shared" si="111"/>
        <v>6</v>
      </c>
      <c r="HQ88" s="23"/>
    </row>
    <row r="89" spans="1:225" s="99" customFormat="1" ht="15.75">
      <c r="A89" s="99" t="s">
        <v>198</v>
      </c>
      <c r="B89" s="100">
        <v>4</v>
      </c>
      <c r="C89" s="99">
        <v>116</v>
      </c>
      <c r="D89" s="101"/>
      <c r="E89" s="99">
        <v>10</v>
      </c>
      <c r="F89" s="99" t="s">
        <v>331</v>
      </c>
      <c r="G89" s="99" t="s">
        <v>129</v>
      </c>
      <c r="H89" s="102">
        <v>36336</v>
      </c>
      <c r="I89" s="99" t="s">
        <v>111</v>
      </c>
      <c r="J89" s="99" t="s">
        <v>112</v>
      </c>
      <c r="K89" s="65"/>
      <c r="L89" s="99" t="s">
        <v>113</v>
      </c>
      <c r="M89" s="54"/>
      <c r="N89" s="99" t="str">
        <f t="shared" si="95"/>
        <v>4R</v>
      </c>
      <c r="O89" s="99" t="str">
        <f t="shared" si="96"/>
        <v>4RBase</v>
      </c>
      <c r="Q89" s="103">
        <f t="shared" ref="Q89:Q109" si="120">+BC89</f>
        <v>0</v>
      </c>
      <c r="R89" s="103">
        <f t="shared" si="113"/>
        <v>0</v>
      </c>
      <c r="S89" s="103"/>
      <c r="T89" s="104">
        <v>37147</v>
      </c>
      <c r="U89" s="104"/>
      <c r="V89" s="105">
        <v>0</v>
      </c>
      <c r="W89" s="106">
        <f t="shared" si="116"/>
        <v>0</v>
      </c>
      <c r="X89" s="106">
        <f t="shared" si="117"/>
        <v>0</v>
      </c>
      <c r="Y89" s="106">
        <f t="shared" si="117"/>
        <v>0</v>
      </c>
      <c r="Z89" s="106">
        <f t="shared" si="117"/>
        <v>0</v>
      </c>
      <c r="AA89" s="106">
        <f t="shared" ref="AA89:AA94" si="121">Z89</f>
        <v>0</v>
      </c>
      <c r="AB89" s="106">
        <f t="shared" ref="AB89:AD106" si="122">AA89</f>
        <v>0</v>
      </c>
      <c r="AC89" s="106">
        <f t="shared" si="122"/>
        <v>0</v>
      </c>
      <c r="AD89" s="106">
        <f t="shared" si="122"/>
        <v>0</v>
      </c>
      <c r="AE89" s="106">
        <f t="shared" si="107"/>
        <v>0</v>
      </c>
      <c r="AF89" s="106">
        <f t="shared" si="107"/>
        <v>0</v>
      </c>
      <c r="AG89" s="106">
        <f t="shared" si="107"/>
        <v>0</v>
      </c>
      <c r="AH89" s="106">
        <f t="shared" si="107"/>
        <v>0</v>
      </c>
      <c r="AI89" s="106">
        <f t="shared" ref="AI89:AK106" si="123">AH89</f>
        <v>0</v>
      </c>
      <c r="AJ89" s="106">
        <f t="shared" si="123"/>
        <v>0</v>
      </c>
      <c r="AK89" s="106">
        <f t="shared" si="123"/>
        <v>0</v>
      </c>
      <c r="AL89" s="106">
        <f t="shared" si="108"/>
        <v>0</v>
      </c>
      <c r="AM89" s="106">
        <f t="shared" si="108"/>
        <v>0</v>
      </c>
      <c r="AN89" s="106">
        <f t="shared" si="108"/>
        <v>0</v>
      </c>
      <c r="AO89" s="106">
        <f t="shared" si="108"/>
        <v>0</v>
      </c>
      <c r="AP89" s="106">
        <f t="shared" ref="AP89:AR93" si="124">AO89</f>
        <v>0</v>
      </c>
      <c r="AQ89" s="106">
        <f t="shared" si="124"/>
        <v>0</v>
      </c>
      <c r="AR89" s="106">
        <f t="shared" si="124"/>
        <v>0</v>
      </c>
      <c r="AS89" s="106">
        <f t="shared" si="118"/>
        <v>0</v>
      </c>
      <c r="AT89" s="106">
        <f t="shared" si="118"/>
        <v>0</v>
      </c>
      <c r="AU89" s="106">
        <f t="shared" si="110"/>
        <v>0</v>
      </c>
      <c r="AV89" s="106">
        <f t="shared" ref="AV89:AV94" si="125">AU89</f>
        <v>0</v>
      </c>
      <c r="AW89" s="106">
        <f t="shared" ref="AW89:AX93" si="126">AV89</f>
        <v>0</v>
      </c>
      <c r="AX89" s="106">
        <f t="shared" si="126"/>
        <v>0</v>
      </c>
      <c r="AY89" s="106">
        <f t="shared" si="114"/>
        <v>0</v>
      </c>
      <c r="AZ89" s="106"/>
      <c r="BA89" s="104"/>
      <c r="BB89" s="104">
        <f>SUM(V89:AZ89)</f>
        <v>0</v>
      </c>
      <c r="BC89" s="106">
        <f>+BB89/30</f>
        <v>0</v>
      </c>
      <c r="BD89" s="106">
        <f t="shared" si="90"/>
        <v>0</v>
      </c>
      <c r="BE89" s="104"/>
      <c r="BF89" s="103"/>
      <c r="BO89" s="107"/>
      <c r="EM89" s="99" t="s">
        <v>114</v>
      </c>
      <c r="EP89" s="99">
        <v>541</v>
      </c>
      <c r="EQ89" s="99" t="s">
        <v>390</v>
      </c>
      <c r="FH89" s="207"/>
      <c r="FI89" s="207"/>
      <c r="FJ89" s="207"/>
      <c r="FK89" s="207"/>
      <c r="FL89" s="207"/>
      <c r="FM89" s="207"/>
      <c r="FN89" s="207"/>
      <c r="FO89" s="207"/>
      <c r="FP89" s="207"/>
      <c r="FQ89" s="207"/>
      <c r="FR89" s="226"/>
      <c r="FS89" s="207"/>
      <c r="FT89" s="207"/>
      <c r="FU89" s="207"/>
      <c r="FV89" s="207"/>
      <c r="FW89" s="207"/>
      <c r="FX89" s="207"/>
      <c r="FY89" s="207"/>
      <c r="FZ89" s="207"/>
      <c r="GA89" s="207"/>
      <c r="GB89" s="207"/>
      <c r="GC89" s="207"/>
      <c r="GD89" s="207"/>
      <c r="GE89" s="207"/>
      <c r="GF89" s="207"/>
      <c r="GG89" s="207"/>
      <c r="GH89" s="207"/>
      <c r="GI89" s="207"/>
      <c r="GJ89" s="207"/>
      <c r="GK89" s="207"/>
      <c r="GL89" s="207"/>
      <c r="GM89" s="207"/>
      <c r="GN89" s="207"/>
      <c r="GO89" s="207"/>
      <c r="GP89" s="207"/>
      <c r="GQ89" s="207"/>
      <c r="GR89" s="207"/>
      <c r="GS89" s="207"/>
      <c r="GT89" s="207"/>
      <c r="GU89" s="207"/>
      <c r="GV89" s="207"/>
      <c r="GW89" s="207"/>
      <c r="GX89" s="207"/>
      <c r="GY89" s="207"/>
      <c r="GZ89" s="207"/>
      <c r="HA89" s="207"/>
      <c r="HB89" s="207"/>
      <c r="HC89" s="207"/>
      <c r="HD89" s="207"/>
      <c r="HP89" s="103">
        <f t="shared" si="111"/>
        <v>541</v>
      </c>
      <c r="HQ89" s="103"/>
    </row>
    <row r="90" spans="1:225" s="99" customFormat="1" ht="15.75">
      <c r="A90" s="99" t="s">
        <v>198</v>
      </c>
      <c r="B90" s="100">
        <v>4</v>
      </c>
      <c r="C90" s="99">
        <v>116</v>
      </c>
      <c r="D90" s="101"/>
      <c r="E90" s="99">
        <v>10</v>
      </c>
      <c r="F90" s="99" t="s">
        <v>332</v>
      </c>
      <c r="G90" s="99" t="s">
        <v>129</v>
      </c>
      <c r="H90" s="102">
        <v>36336</v>
      </c>
      <c r="I90" s="99" t="s">
        <v>111</v>
      </c>
      <c r="J90" s="99" t="s">
        <v>112</v>
      </c>
      <c r="K90" s="65"/>
      <c r="L90" s="99" t="s">
        <v>118</v>
      </c>
      <c r="M90" s="61"/>
      <c r="N90" s="99" t="str">
        <f t="shared" si="95"/>
        <v>4R</v>
      </c>
      <c r="O90" s="99" t="str">
        <f t="shared" si="96"/>
        <v>4RBase</v>
      </c>
      <c r="Q90" s="103">
        <f t="shared" si="120"/>
        <v>0</v>
      </c>
      <c r="R90" s="103">
        <f t="shared" si="113"/>
        <v>0</v>
      </c>
      <c r="S90" s="103"/>
      <c r="T90" s="104">
        <v>37147</v>
      </c>
      <c r="U90" s="104"/>
      <c r="V90" s="105">
        <v>0</v>
      </c>
      <c r="W90" s="106">
        <f t="shared" si="116"/>
        <v>0</v>
      </c>
      <c r="X90" s="106">
        <f t="shared" si="117"/>
        <v>0</v>
      </c>
      <c r="Y90" s="106">
        <f t="shared" si="117"/>
        <v>0</v>
      </c>
      <c r="Z90" s="106">
        <f t="shared" si="117"/>
        <v>0</v>
      </c>
      <c r="AA90" s="106">
        <f t="shared" si="121"/>
        <v>0</v>
      </c>
      <c r="AB90" s="106">
        <f t="shared" si="122"/>
        <v>0</v>
      </c>
      <c r="AC90" s="106">
        <f t="shared" si="122"/>
        <v>0</v>
      </c>
      <c r="AD90" s="106">
        <f t="shared" si="122"/>
        <v>0</v>
      </c>
      <c r="AE90" s="106">
        <f t="shared" ref="AE90:AH94" si="127">AD90</f>
        <v>0</v>
      </c>
      <c r="AF90" s="106">
        <f t="shared" si="127"/>
        <v>0</v>
      </c>
      <c r="AG90" s="106">
        <f t="shared" si="127"/>
        <v>0</v>
      </c>
      <c r="AH90" s="106">
        <f t="shared" si="127"/>
        <v>0</v>
      </c>
      <c r="AI90" s="106">
        <f t="shared" si="123"/>
        <v>0</v>
      </c>
      <c r="AJ90" s="106">
        <f t="shared" si="123"/>
        <v>0</v>
      </c>
      <c r="AK90" s="106">
        <f t="shared" si="123"/>
        <v>0</v>
      </c>
      <c r="AL90" s="106">
        <f t="shared" ref="AL90:AO93" si="128">AK90</f>
        <v>0</v>
      </c>
      <c r="AM90" s="106">
        <f t="shared" si="128"/>
        <v>0</v>
      </c>
      <c r="AN90" s="106">
        <f t="shared" si="128"/>
        <v>0</v>
      </c>
      <c r="AO90" s="106">
        <f t="shared" si="128"/>
        <v>0</v>
      </c>
      <c r="AP90" s="106">
        <f t="shared" si="124"/>
        <v>0</v>
      </c>
      <c r="AQ90" s="106">
        <f t="shared" si="124"/>
        <v>0</v>
      </c>
      <c r="AR90" s="106">
        <f t="shared" si="124"/>
        <v>0</v>
      </c>
      <c r="AS90" s="106">
        <f t="shared" si="118"/>
        <v>0</v>
      </c>
      <c r="AT90" s="106">
        <f t="shared" si="118"/>
        <v>0</v>
      </c>
      <c r="AU90" s="106">
        <f t="shared" si="110"/>
        <v>0</v>
      </c>
      <c r="AV90" s="106">
        <f t="shared" si="125"/>
        <v>0</v>
      </c>
      <c r="AW90" s="106">
        <f t="shared" si="126"/>
        <v>0</v>
      </c>
      <c r="AX90" s="106">
        <f t="shared" si="126"/>
        <v>0</v>
      </c>
      <c r="AY90" s="106">
        <f t="shared" si="114"/>
        <v>0</v>
      </c>
      <c r="AZ90" s="106"/>
      <c r="BA90" s="104"/>
      <c r="BB90" s="104">
        <f t="shared" ref="BB90:BB105" si="129">SUM(V90:AZ90)</f>
        <v>0</v>
      </c>
      <c r="BC90" s="106">
        <f t="shared" ref="BC90:BC104" si="130">+BB90/30</f>
        <v>0</v>
      </c>
      <c r="BD90" s="106">
        <f t="shared" si="90"/>
        <v>0</v>
      </c>
      <c r="BE90" s="104"/>
      <c r="BF90" s="103"/>
      <c r="BO90" s="107"/>
      <c r="EM90" s="108"/>
      <c r="EP90" s="99">
        <v>450</v>
      </c>
      <c r="EQ90" s="99" t="s">
        <v>178</v>
      </c>
      <c r="FH90" s="108"/>
      <c r="FI90" s="108"/>
      <c r="FJ90" s="108"/>
      <c r="FK90" s="108"/>
      <c r="FL90" s="108"/>
      <c r="FM90" s="108"/>
      <c r="FN90" s="108"/>
      <c r="FO90" s="108"/>
      <c r="FP90" s="108"/>
      <c r="FQ90" s="108"/>
      <c r="FR90" s="225"/>
      <c r="FS90" s="108"/>
      <c r="FT90" s="108"/>
      <c r="FU90" s="108"/>
      <c r="FV90" s="108"/>
      <c r="FW90" s="108"/>
      <c r="FX90" s="108"/>
      <c r="FY90" s="108"/>
      <c r="FZ90" s="108"/>
      <c r="GA90" s="108"/>
      <c r="GB90" s="108"/>
      <c r="GC90" s="108"/>
      <c r="GD90" s="108"/>
      <c r="GE90" s="108"/>
      <c r="GF90" s="108"/>
      <c r="GG90" s="108"/>
      <c r="GH90" s="108"/>
      <c r="GI90" s="108"/>
      <c r="GJ90" s="108"/>
      <c r="GK90" s="108"/>
      <c r="GL90" s="108"/>
      <c r="GM90" s="108"/>
      <c r="GN90" s="108"/>
      <c r="GO90" s="108"/>
      <c r="GP90" s="108"/>
      <c r="GQ90" s="108"/>
      <c r="GR90" s="108"/>
      <c r="GS90" s="108"/>
      <c r="GT90" s="108"/>
      <c r="GU90" s="108"/>
      <c r="GV90" s="108"/>
      <c r="GW90" s="108"/>
      <c r="GX90" s="108"/>
      <c r="GY90" s="108"/>
      <c r="GZ90" s="108"/>
      <c r="HA90" s="108"/>
      <c r="HB90" s="108"/>
      <c r="HC90" s="108"/>
      <c r="HD90" s="108"/>
      <c r="HP90" s="103">
        <f t="shared" si="111"/>
        <v>450</v>
      </c>
      <c r="HQ90" s="103"/>
    </row>
    <row r="91" spans="1:225" s="108" customFormat="1" ht="15.75">
      <c r="A91" s="108" t="s">
        <v>198</v>
      </c>
      <c r="B91" s="109">
        <v>4</v>
      </c>
      <c r="C91" s="108">
        <v>164</v>
      </c>
      <c r="D91" s="26"/>
      <c r="E91" s="108">
        <v>10</v>
      </c>
      <c r="F91" s="108" t="s">
        <v>330</v>
      </c>
      <c r="G91" s="108" t="s">
        <v>129</v>
      </c>
      <c r="H91" s="102">
        <v>36336</v>
      </c>
      <c r="I91" s="108" t="s">
        <v>111</v>
      </c>
      <c r="J91" s="108" t="s">
        <v>112</v>
      </c>
      <c r="K91" s="109"/>
      <c r="L91" s="108" t="s">
        <v>118</v>
      </c>
      <c r="M91" s="61"/>
      <c r="N91" s="108" t="str">
        <f t="shared" si="95"/>
        <v>4R</v>
      </c>
      <c r="O91" s="108" t="str">
        <f t="shared" si="96"/>
        <v>4RBase</v>
      </c>
      <c r="Q91" s="103">
        <f t="shared" si="120"/>
        <v>0</v>
      </c>
      <c r="R91" s="110">
        <f t="shared" si="113"/>
        <v>0</v>
      </c>
      <c r="S91" s="110"/>
      <c r="T91" s="106">
        <v>37147</v>
      </c>
      <c r="U91" s="106"/>
      <c r="V91" s="105">
        <v>0</v>
      </c>
      <c r="W91" s="106">
        <f t="shared" si="116"/>
        <v>0</v>
      </c>
      <c r="X91" s="106">
        <f t="shared" si="117"/>
        <v>0</v>
      </c>
      <c r="Y91" s="106">
        <f t="shared" si="117"/>
        <v>0</v>
      </c>
      <c r="Z91" s="106">
        <f t="shared" si="117"/>
        <v>0</v>
      </c>
      <c r="AA91" s="106">
        <f t="shared" si="121"/>
        <v>0</v>
      </c>
      <c r="AB91" s="106">
        <f t="shared" si="122"/>
        <v>0</v>
      </c>
      <c r="AC91" s="106">
        <f t="shared" si="122"/>
        <v>0</v>
      </c>
      <c r="AD91" s="106">
        <f t="shared" si="122"/>
        <v>0</v>
      </c>
      <c r="AE91" s="106">
        <f t="shared" si="127"/>
        <v>0</v>
      </c>
      <c r="AF91" s="106">
        <f t="shared" si="127"/>
        <v>0</v>
      </c>
      <c r="AG91" s="106">
        <f t="shared" si="127"/>
        <v>0</v>
      </c>
      <c r="AH91" s="106">
        <f t="shared" si="127"/>
        <v>0</v>
      </c>
      <c r="AI91" s="106">
        <f t="shared" si="123"/>
        <v>0</v>
      </c>
      <c r="AJ91" s="106">
        <f t="shared" si="123"/>
        <v>0</v>
      </c>
      <c r="AK91" s="106">
        <f t="shared" si="123"/>
        <v>0</v>
      </c>
      <c r="AL91" s="106">
        <f t="shared" si="128"/>
        <v>0</v>
      </c>
      <c r="AM91" s="106">
        <f t="shared" si="128"/>
        <v>0</v>
      </c>
      <c r="AN91" s="106">
        <f t="shared" si="128"/>
        <v>0</v>
      </c>
      <c r="AO91" s="106">
        <f t="shared" si="128"/>
        <v>0</v>
      </c>
      <c r="AP91" s="106">
        <f t="shared" si="124"/>
        <v>0</v>
      </c>
      <c r="AQ91" s="106">
        <f t="shared" si="124"/>
        <v>0</v>
      </c>
      <c r="AR91" s="106">
        <f t="shared" si="124"/>
        <v>0</v>
      </c>
      <c r="AS91" s="106">
        <f t="shared" si="118"/>
        <v>0</v>
      </c>
      <c r="AT91" s="106">
        <f t="shared" si="118"/>
        <v>0</v>
      </c>
      <c r="AU91" s="106">
        <f t="shared" si="110"/>
        <v>0</v>
      </c>
      <c r="AV91" s="106">
        <f t="shared" si="125"/>
        <v>0</v>
      </c>
      <c r="AW91" s="106">
        <f t="shared" si="126"/>
        <v>0</v>
      </c>
      <c r="AX91" s="106">
        <f t="shared" si="126"/>
        <v>0</v>
      </c>
      <c r="AY91" s="106">
        <f t="shared" si="114"/>
        <v>0</v>
      </c>
      <c r="AZ91" s="106"/>
      <c r="BA91" s="106"/>
      <c r="BB91" s="104">
        <f t="shared" si="129"/>
        <v>0</v>
      </c>
      <c r="BC91" s="106">
        <f t="shared" si="130"/>
        <v>0</v>
      </c>
      <c r="BD91" s="106">
        <f t="shared" si="90"/>
        <v>0</v>
      </c>
      <c r="BE91" s="106"/>
      <c r="BF91" s="110"/>
      <c r="BO91" s="111"/>
      <c r="EM91" s="108" t="s">
        <v>181</v>
      </c>
      <c r="EP91" s="108">
        <v>4297</v>
      </c>
      <c r="EQ91" s="108" t="s">
        <v>391</v>
      </c>
      <c r="FR91" s="225"/>
      <c r="HP91" s="103">
        <f t="shared" si="111"/>
        <v>4297</v>
      </c>
      <c r="HQ91" s="110"/>
    </row>
    <row r="92" spans="1:225" s="108" customFormat="1" ht="15.75">
      <c r="A92" s="108" t="s">
        <v>198</v>
      </c>
      <c r="B92" s="109">
        <v>4</v>
      </c>
      <c r="C92" s="108">
        <v>150</v>
      </c>
      <c r="D92" s="26"/>
      <c r="E92" s="108">
        <v>10</v>
      </c>
      <c r="F92" s="108" t="s">
        <v>328</v>
      </c>
      <c r="G92" s="108" t="s">
        <v>129</v>
      </c>
      <c r="H92" s="102">
        <v>36336</v>
      </c>
      <c r="I92" s="108" t="s">
        <v>111</v>
      </c>
      <c r="J92" s="108" t="s">
        <v>112</v>
      </c>
      <c r="K92" s="109"/>
      <c r="L92" s="108" t="s">
        <v>113</v>
      </c>
      <c r="M92" s="54"/>
      <c r="N92" s="108" t="str">
        <f t="shared" si="95"/>
        <v>4R</v>
      </c>
      <c r="O92" s="108" t="str">
        <f t="shared" si="96"/>
        <v>4RBase</v>
      </c>
      <c r="Q92" s="103">
        <f t="shared" si="120"/>
        <v>0</v>
      </c>
      <c r="R92" s="110">
        <f t="shared" si="113"/>
        <v>0</v>
      </c>
      <c r="S92" s="110"/>
      <c r="T92" s="106">
        <v>37147</v>
      </c>
      <c r="U92" s="106"/>
      <c r="V92" s="105">
        <v>0</v>
      </c>
      <c r="W92" s="106">
        <f t="shared" si="116"/>
        <v>0</v>
      </c>
      <c r="X92" s="106">
        <f t="shared" si="117"/>
        <v>0</v>
      </c>
      <c r="Y92" s="106">
        <f t="shared" si="117"/>
        <v>0</v>
      </c>
      <c r="Z92" s="106">
        <f t="shared" si="117"/>
        <v>0</v>
      </c>
      <c r="AA92" s="106">
        <f t="shared" si="121"/>
        <v>0</v>
      </c>
      <c r="AB92" s="106">
        <f t="shared" si="122"/>
        <v>0</v>
      </c>
      <c r="AC92" s="106">
        <f t="shared" si="122"/>
        <v>0</v>
      </c>
      <c r="AD92" s="106">
        <f t="shared" si="122"/>
        <v>0</v>
      </c>
      <c r="AE92" s="106">
        <f t="shared" si="127"/>
        <v>0</v>
      </c>
      <c r="AF92" s="106">
        <f t="shared" si="127"/>
        <v>0</v>
      </c>
      <c r="AG92" s="106">
        <f t="shared" si="127"/>
        <v>0</v>
      </c>
      <c r="AH92" s="106">
        <f t="shared" si="127"/>
        <v>0</v>
      </c>
      <c r="AI92" s="106">
        <f t="shared" si="123"/>
        <v>0</v>
      </c>
      <c r="AJ92" s="106">
        <f t="shared" si="123"/>
        <v>0</v>
      </c>
      <c r="AK92" s="106">
        <f t="shared" si="123"/>
        <v>0</v>
      </c>
      <c r="AL92" s="106">
        <f t="shared" si="128"/>
        <v>0</v>
      </c>
      <c r="AM92" s="106">
        <f t="shared" si="128"/>
        <v>0</v>
      </c>
      <c r="AN92" s="106">
        <f t="shared" si="128"/>
        <v>0</v>
      </c>
      <c r="AO92" s="106">
        <f t="shared" si="128"/>
        <v>0</v>
      </c>
      <c r="AP92" s="106">
        <f t="shared" si="124"/>
        <v>0</v>
      </c>
      <c r="AQ92" s="106">
        <f t="shared" si="124"/>
        <v>0</v>
      </c>
      <c r="AR92" s="106">
        <f t="shared" si="124"/>
        <v>0</v>
      </c>
      <c r="AS92" s="106">
        <f t="shared" si="118"/>
        <v>0</v>
      </c>
      <c r="AT92" s="106">
        <f t="shared" si="118"/>
        <v>0</v>
      </c>
      <c r="AU92" s="106">
        <f t="shared" si="110"/>
        <v>0</v>
      </c>
      <c r="AV92" s="106">
        <f t="shared" si="125"/>
        <v>0</v>
      </c>
      <c r="AW92" s="106">
        <f t="shared" si="126"/>
        <v>0</v>
      </c>
      <c r="AX92" s="106">
        <f t="shared" si="126"/>
        <v>0</v>
      </c>
      <c r="AY92" s="106">
        <f t="shared" si="114"/>
        <v>0</v>
      </c>
      <c r="AZ92" s="106"/>
      <c r="BA92" s="106"/>
      <c r="BB92" s="104">
        <f t="shared" si="129"/>
        <v>0</v>
      </c>
      <c r="BC92" s="106">
        <f t="shared" si="130"/>
        <v>0</v>
      </c>
      <c r="BD92" s="106">
        <f t="shared" si="90"/>
        <v>0</v>
      </c>
      <c r="BE92" s="106"/>
      <c r="BF92" s="110"/>
      <c r="BO92" s="111"/>
      <c r="EM92" s="108" t="s">
        <v>184</v>
      </c>
      <c r="FR92" s="225"/>
      <c r="HP92" s="103">
        <f t="shared" si="111"/>
        <v>0</v>
      </c>
      <c r="HQ92" s="110"/>
    </row>
    <row r="93" spans="1:225" s="108" customFormat="1" ht="15.75">
      <c r="A93" s="108" t="s">
        <v>198</v>
      </c>
      <c r="B93" s="109">
        <v>4</v>
      </c>
      <c r="C93" s="108">
        <v>172</v>
      </c>
      <c r="D93" s="26"/>
      <c r="E93" s="108">
        <v>10</v>
      </c>
      <c r="F93" s="108" t="s">
        <v>329</v>
      </c>
      <c r="G93" s="108" t="s">
        <v>129</v>
      </c>
      <c r="H93" s="102">
        <v>36336</v>
      </c>
      <c r="I93" s="108" t="s">
        <v>111</v>
      </c>
      <c r="J93" s="108" t="s">
        <v>112</v>
      </c>
      <c r="K93" s="109"/>
      <c r="L93" s="108" t="s">
        <v>113</v>
      </c>
      <c r="M93" s="54"/>
      <c r="N93" s="112" t="str">
        <f t="shared" si="95"/>
        <v>4R</v>
      </c>
      <c r="O93" s="108" t="str">
        <f t="shared" si="96"/>
        <v>4RBase</v>
      </c>
      <c r="Q93" s="103">
        <f t="shared" si="120"/>
        <v>0</v>
      </c>
      <c r="R93" s="110">
        <f t="shared" si="113"/>
        <v>0</v>
      </c>
      <c r="S93" s="110"/>
      <c r="T93" s="106">
        <v>37147</v>
      </c>
      <c r="U93" s="106"/>
      <c r="V93" s="105">
        <v>0</v>
      </c>
      <c r="W93" s="106">
        <f t="shared" si="116"/>
        <v>0</v>
      </c>
      <c r="X93" s="106">
        <f t="shared" si="117"/>
        <v>0</v>
      </c>
      <c r="Y93" s="106">
        <f t="shared" si="117"/>
        <v>0</v>
      </c>
      <c r="Z93" s="106">
        <f t="shared" si="117"/>
        <v>0</v>
      </c>
      <c r="AA93" s="106">
        <f t="shared" si="121"/>
        <v>0</v>
      </c>
      <c r="AB93" s="106">
        <f t="shared" si="122"/>
        <v>0</v>
      </c>
      <c r="AC93" s="106">
        <f t="shared" si="122"/>
        <v>0</v>
      </c>
      <c r="AD93" s="106">
        <f t="shared" si="122"/>
        <v>0</v>
      </c>
      <c r="AE93" s="106">
        <f t="shared" si="127"/>
        <v>0</v>
      </c>
      <c r="AF93" s="106">
        <f t="shared" si="127"/>
        <v>0</v>
      </c>
      <c r="AG93" s="106">
        <f t="shared" si="127"/>
        <v>0</v>
      </c>
      <c r="AH93" s="106">
        <f t="shared" si="127"/>
        <v>0</v>
      </c>
      <c r="AI93" s="106">
        <f t="shared" si="123"/>
        <v>0</v>
      </c>
      <c r="AJ93" s="106">
        <f t="shared" si="123"/>
        <v>0</v>
      </c>
      <c r="AK93" s="106">
        <f t="shared" si="123"/>
        <v>0</v>
      </c>
      <c r="AL93" s="106">
        <f t="shared" si="128"/>
        <v>0</v>
      </c>
      <c r="AM93" s="106">
        <f t="shared" si="128"/>
        <v>0</v>
      </c>
      <c r="AN93" s="106">
        <f t="shared" si="128"/>
        <v>0</v>
      </c>
      <c r="AO93" s="106">
        <f t="shared" si="128"/>
        <v>0</v>
      </c>
      <c r="AP93" s="106">
        <f t="shared" si="124"/>
        <v>0</v>
      </c>
      <c r="AQ93" s="106">
        <f t="shared" si="124"/>
        <v>0</v>
      </c>
      <c r="AR93" s="106">
        <f t="shared" si="124"/>
        <v>0</v>
      </c>
      <c r="AS93" s="106">
        <f t="shared" si="118"/>
        <v>0</v>
      </c>
      <c r="AT93" s="106">
        <f t="shared" si="118"/>
        <v>0</v>
      </c>
      <c r="AU93" s="106">
        <f t="shared" si="110"/>
        <v>0</v>
      </c>
      <c r="AV93" s="106">
        <f t="shared" si="125"/>
        <v>0</v>
      </c>
      <c r="AW93" s="106">
        <f t="shared" si="126"/>
        <v>0</v>
      </c>
      <c r="AX93" s="106">
        <f t="shared" si="126"/>
        <v>0</v>
      </c>
      <c r="AY93" s="106">
        <f t="shared" si="114"/>
        <v>0</v>
      </c>
      <c r="AZ93" s="106"/>
      <c r="BA93" s="106"/>
      <c r="BB93" s="104">
        <f t="shared" si="129"/>
        <v>0</v>
      </c>
      <c r="BC93" s="106">
        <f t="shared" si="130"/>
        <v>0</v>
      </c>
      <c r="BD93" s="106">
        <f t="shared" si="90"/>
        <v>0</v>
      </c>
      <c r="BE93" s="106"/>
      <c r="BF93" s="110"/>
      <c r="BO93" s="111"/>
      <c r="EM93" s="108" t="s">
        <v>194</v>
      </c>
      <c r="EP93" s="108">
        <v>168</v>
      </c>
      <c r="EQ93" s="108" t="s">
        <v>392</v>
      </c>
      <c r="FR93" s="225"/>
      <c r="HP93" s="103">
        <f t="shared" si="111"/>
        <v>168</v>
      </c>
      <c r="HQ93" s="110"/>
    </row>
    <row r="94" spans="1:225" s="113" customFormat="1" ht="16.5">
      <c r="A94" s="113" t="s">
        <v>198</v>
      </c>
      <c r="B94" s="114">
        <v>4</v>
      </c>
      <c r="C94" s="113">
        <v>116</v>
      </c>
      <c r="E94" s="113">
        <v>10</v>
      </c>
      <c r="F94" s="113" t="s">
        <v>200</v>
      </c>
      <c r="G94" s="113" t="s">
        <v>129</v>
      </c>
      <c r="H94" s="115">
        <v>36336</v>
      </c>
      <c r="I94" s="113" t="s">
        <v>111</v>
      </c>
      <c r="J94" s="113" t="s">
        <v>112</v>
      </c>
      <c r="K94" s="114"/>
      <c r="L94" s="113" t="s">
        <v>118</v>
      </c>
      <c r="M94" s="54"/>
      <c r="N94" s="113" t="str">
        <f t="shared" si="95"/>
        <v>4R</v>
      </c>
      <c r="O94" s="113" t="str">
        <f t="shared" si="96"/>
        <v>4RBase</v>
      </c>
      <c r="Q94" s="103">
        <f t="shared" si="120"/>
        <v>0</v>
      </c>
      <c r="R94" s="116">
        <f t="shared" si="113"/>
        <v>0</v>
      </c>
      <c r="S94" s="116"/>
      <c r="T94" s="117">
        <v>37147</v>
      </c>
      <c r="U94" s="117"/>
      <c r="V94" s="175">
        <v>0</v>
      </c>
      <c r="W94" s="117">
        <f t="shared" si="116"/>
        <v>0</v>
      </c>
      <c r="X94" s="117">
        <f>W94</f>
        <v>0</v>
      </c>
      <c r="Y94" s="117">
        <f>X94</f>
        <v>0</v>
      </c>
      <c r="Z94" s="117">
        <f>Y94</f>
        <v>0</v>
      </c>
      <c r="AA94" s="117">
        <f t="shared" si="121"/>
        <v>0</v>
      </c>
      <c r="AB94" s="117">
        <f>AA94</f>
        <v>0</v>
      </c>
      <c r="AC94" s="117">
        <f>AB94</f>
        <v>0</v>
      </c>
      <c r="AD94" s="117">
        <f>AC94</f>
        <v>0</v>
      </c>
      <c r="AE94" s="117">
        <f t="shared" si="127"/>
        <v>0</v>
      </c>
      <c r="AF94" s="117">
        <f t="shared" si="127"/>
        <v>0</v>
      </c>
      <c r="AG94" s="117">
        <f t="shared" si="127"/>
        <v>0</v>
      </c>
      <c r="AH94" s="117">
        <f t="shared" si="127"/>
        <v>0</v>
      </c>
      <c r="AI94" s="117">
        <f t="shared" ref="AI94:AU94" si="131">AH94</f>
        <v>0</v>
      </c>
      <c r="AJ94" s="117">
        <f t="shared" si="131"/>
        <v>0</v>
      </c>
      <c r="AK94" s="117">
        <f t="shared" si="131"/>
        <v>0</v>
      </c>
      <c r="AL94" s="117">
        <f t="shared" si="131"/>
        <v>0</v>
      </c>
      <c r="AM94" s="117">
        <f t="shared" si="131"/>
        <v>0</v>
      </c>
      <c r="AN94" s="117">
        <f t="shared" si="131"/>
        <v>0</v>
      </c>
      <c r="AO94" s="117">
        <f t="shared" si="131"/>
        <v>0</v>
      </c>
      <c r="AP94" s="117">
        <f t="shared" si="131"/>
        <v>0</v>
      </c>
      <c r="AQ94" s="117">
        <f t="shared" si="131"/>
        <v>0</v>
      </c>
      <c r="AR94" s="117">
        <f t="shared" si="131"/>
        <v>0</v>
      </c>
      <c r="AS94" s="117">
        <f t="shared" si="131"/>
        <v>0</v>
      </c>
      <c r="AT94" s="117">
        <f t="shared" si="131"/>
        <v>0</v>
      </c>
      <c r="AU94" s="117">
        <f t="shared" si="131"/>
        <v>0</v>
      </c>
      <c r="AV94" s="117">
        <f t="shared" si="125"/>
        <v>0</v>
      </c>
      <c r="AW94" s="117">
        <f>AV94</f>
        <v>0</v>
      </c>
      <c r="AX94" s="117">
        <f>AW94</f>
        <v>0</v>
      </c>
      <c r="AY94" s="117">
        <f>AX94</f>
        <v>0</v>
      </c>
      <c r="AZ94" s="117"/>
      <c r="BA94" s="117"/>
      <c r="BB94" s="104">
        <f t="shared" si="129"/>
        <v>0</v>
      </c>
      <c r="BC94" s="106">
        <f t="shared" si="130"/>
        <v>0</v>
      </c>
      <c r="BD94" s="106">
        <f t="shared" si="90"/>
        <v>0</v>
      </c>
      <c r="BE94" s="117"/>
      <c r="BF94" s="116"/>
      <c r="BO94" s="118"/>
      <c r="EM94" s="108"/>
      <c r="EP94" s="113">
        <v>0</v>
      </c>
      <c r="EQ94" s="113" t="s">
        <v>119</v>
      </c>
      <c r="FH94" s="108"/>
      <c r="FI94" s="108"/>
      <c r="FJ94" s="108"/>
      <c r="FK94" s="108"/>
      <c r="FL94" s="108"/>
      <c r="FM94" s="108"/>
      <c r="FN94" s="108"/>
      <c r="FO94" s="108"/>
      <c r="FP94" s="108"/>
      <c r="FQ94" s="108"/>
      <c r="FR94" s="225"/>
      <c r="FS94" s="108"/>
      <c r="FT94" s="108"/>
      <c r="FU94" s="108"/>
      <c r="FV94" s="108"/>
      <c r="FW94" s="108"/>
      <c r="FX94" s="108"/>
      <c r="FY94" s="108"/>
      <c r="FZ94" s="108"/>
      <c r="GA94" s="108"/>
      <c r="GB94" s="108"/>
      <c r="GC94" s="108"/>
      <c r="GD94" s="108"/>
      <c r="GE94" s="108"/>
      <c r="GF94" s="108"/>
      <c r="GG94" s="108"/>
      <c r="GH94" s="108"/>
      <c r="GI94" s="108"/>
      <c r="GJ94" s="108"/>
      <c r="GK94" s="108"/>
      <c r="GL94" s="108"/>
      <c r="GM94" s="108"/>
      <c r="GN94" s="108"/>
      <c r="GO94" s="108"/>
      <c r="GP94" s="108"/>
      <c r="GQ94" s="108"/>
      <c r="GR94" s="108"/>
      <c r="GS94" s="108"/>
      <c r="GT94" s="108"/>
      <c r="GU94" s="108"/>
      <c r="GV94" s="108"/>
      <c r="GW94" s="108"/>
      <c r="GX94" s="108"/>
      <c r="GY94" s="108"/>
      <c r="GZ94" s="108"/>
      <c r="HA94" s="108"/>
      <c r="HB94" s="108"/>
      <c r="HC94" s="108"/>
      <c r="HD94" s="108"/>
      <c r="HP94" s="119">
        <f t="shared" si="111"/>
        <v>0</v>
      </c>
      <c r="HQ94" s="116"/>
    </row>
    <row r="95" spans="1:225" s="108" customFormat="1" ht="15.75">
      <c r="A95" s="108" t="s">
        <v>201</v>
      </c>
      <c r="B95" s="109" t="s">
        <v>202</v>
      </c>
      <c r="D95" s="26">
        <v>30</v>
      </c>
      <c r="E95" s="108">
        <v>10</v>
      </c>
      <c r="F95" s="108" t="s">
        <v>370</v>
      </c>
      <c r="G95" s="108" t="s">
        <v>203</v>
      </c>
      <c r="H95" s="102">
        <v>36336</v>
      </c>
      <c r="I95" s="108" t="s">
        <v>111</v>
      </c>
      <c r="J95" s="108" t="s">
        <v>122</v>
      </c>
      <c r="K95" s="109"/>
      <c r="L95" s="108" t="s">
        <v>113</v>
      </c>
      <c r="M95" s="61"/>
      <c r="N95" s="108" t="str">
        <f>CONCATENATE(B95,J95)</f>
        <v>loudounW</v>
      </c>
      <c r="O95" s="108" t="str">
        <f>CONCATENATE(B95,J95,I95)</f>
        <v>loudounWBase</v>
      </c>
      <c r="Q95" s="103">
        <f>+BC95</f>
        <v>0</v>
      </c>
      <c r="R95" s="110">
        <f t="shared" si="113"/>
        <v>0</v>
      </c>
      <c r="S95" s="110"/>
      <c r="T95" s="106">
        <v>37147</v>
      </c>
      <c r="U95" s="106"/>
      <c r="V95" s="105">
        <v>0</v>
      </c>
      <c r="W95" s="106">
        <f t="shared" si="116"/>
        <v>0</v>
      </c>
      <c r="X95" s="106">
        <f t="shared" ref="X95:X106" si="132">W95</f>
        <v>0</v>
      </c>
      <c r="Y95" s="106">
        <f t="shared" ref="Y95:Y106" si="133">X95</f>
        <v>0</v>
      </c>
      <c r="Z95" s="106">
        <f t="shared" ref="Z95:Z106" si="134">Y95</f>
        <v>0</v>
      </c>
      <c r="AA95" s="106">
        <f t="shared" ref="AA95:AA106" si="135">Z95</f>
        <v>0</v>
      </c>
      <c r="AB95" s="106">
        <f t="shared" si="122"/>
        <v>0</v>
      </c>
      <c r="AC95" s="106">
        <f t="shared" si="122"/>
        <v>0</v>
      </c>
      <c r="AD95" s="106">
        <f t="shared" si="122"/>
        <v>0</v>
      </c>
      <c r="AE95" s="106">
        <f t="shared" ref="AE95:AF106" si="136">AD95</f>
        <v>0</v>
      </c>
      <c r="AF95" s="106">
        <f t="shared" si="136"/>
        <v>0</v>
      </c>
      <c r="AG95" s="106">
        <f t="shared" ref="AG95:AH106" si="137">AF95</f>
        <v>0</v>
      </c>
      <c r="AH95" s="106">
        <f t="shared" si="137"/>
        <v>0</v>
      </c>
      <c r="AI95" s="106">
        <f t="shared" si="123"/>
        <v>0</v>
      </c>
      <c r="AJ95" s="106">
        <f t="shared" si="123"/>
        <v>0</v>
      </c>
      <c r="AK95" s="106">
        <f t="shared" si="123"/>
        <v>0</v>
      </c>
      <c r="AL95" s="106">
        <f t="shared" ref="AL95:AL106" si="138">AK95</f>
        <v>0</v>
      </c>
      <c r="AM95" s="106">
        <f t="shared" ref="AM95:AM106" si="139">AL95</f>
        <v>0</v>
      </c>
      <c r="AN95" s="106">
        <f t="shared" ref="AN95:AN106" si="140">AM95</f>
        <v>0</v>
      </c>
      <c r="AO95" s="106">
        <f t="shared" ref="AO95:AO106" si="141">AN95</f>
        <v>0</v>
      </c>
      <c r="AP95" s="106">
        <f t="shared" ref="AP95:AQ106" si="142">AO95</f>
        <v>0</v>
      </c>
      <c r="AQ95" s="106">
        <f t="shared" si="142"/>
        <v>0</v>
      </c>
      <c r="AR95" s="106">
        <f t="shared" ref="AR95:AR106" si="143">AQ95</f>
        <v>0</v>
      </c>
      <c r="AS95" s="106">
        <f t="shared" si="118"/>
        <v>0</v>
      </c>
      <c r="AT95" s="106">
        <f t="shared" si="118"/>
        <v>0</v>
      </c>
      <c r="AU95" s="106">
        <f t="shared" si="110"/>
        <v>0</v>
      </c>
      <c r="AV95" s="106">
        <f t="shared" ref="AV95:AV106" si="144">AU95</f>
        <v>0</v>
      </c>
      <c r="AW95" s="106">
        <f t="shared" ref="AW95:AX106" si="145">AV95</f>
        <v>0</v>
      </c>
      <c r="AX95" s="106">
        <f t="shared" si="145"/>
        <v>0</v>
      </c>
      <c r="AY95" s="106">
        <f t="shared" ref="AY95:AY106" si="146">AX95</f>
        <v>0</v>
      </c>
      <c r="AZ95" s="106"/>
      <c r="BA95" s="106"/>
      <c r="BB95" s="104">
        <f>SUM(V95:AZ95)</f>
        <v>0</v>
      </c>
      <c r="BC95" s="106">
        <f t="shared" si="130"/>
        <v>0</v>
      </c>
      <c r="BD95" s="106">
        <f>MAX(V95:AZ95)</f>
        <v>0</v>
      </c>
      <c r="BE95" s="106"/>
      <c r="BF95" s="110"/>
      <c r="BO95" s="111"/>
      <c r="BU95" s="108" t="s">
        <v>204</v>
      </c>
      <c r="EP95" s="108">
        <v>4</v>
      </c>
      <c r="EQ95" s="108" t="s">
        <v>136</v>
      </c>
      <c r="FR95" s="225"/>
      <c r="HP95" s="103">
        <f t="shared" si="111"/>
        <v>4</v>
      </c>
      <c r="HQ95" s="110"/>
    </row>
    <row r="96" spans="1:225" s="108" customFormat="1" ht="15.75">
      <c r="A96" s="108" t="s">
        <v>201</v>
      </c>
      <c r="B96" s="109" t="s">
        <v>202</v>
      </c>
      <c r="D96" s="26">
        <v>30</v>
      </c>
      <c r="E96" s="108">
        <v>10</v>
      </c>
      <c r="F96" s="108" t="s">
        <v>369</v>
      </c>
      <c r="G96" s="108" t="s">
        <v>203</v>
      </c>
      <c r="H96" s="102">
        <v>36336</v>
      </c>
      <c r="I96" s="108" t="s">
        <v>111</v>
      </c>
      <c r="J96" s="108" t="s">
        <v>122</v>
      </c>
      <c r="K96" s="109"/>
      <c r="L96" s="108" t="s">
        <v>113</v>
      </c>
      <c r="M96" s="61"/>
      <c r="N96" s="108" t="str">
        <f t="shared" si="95"/>
        <v>loudounW</v>
      </c>
      <c r="O96" s="108" t="str">
        <f t="shared" si="96"/>
        <v>loudounWBase</v>
      </c>
      <c r="Q96" s="103">
        <f t="shared" si="120"/>
        <v>0</v>
      </c>
      <c r="R96" s="110">
        <f t="shared" si="113"/>
        <v>0</v>
      </c>
      <c r="S96" s="110"/>
      <c r="T96" s="106">
        <v>37147</v>
      </c>
      <c r="U96" s="106"/>
      <c r="V96" s="105">
        <v>0</v>
      </c>
      <c r="W96" s="106">
        <f t="shared" si="116"/>
        <v>0</v>
      </c>
      <c r="X96" s="106">
        <f t="shared" si="132"/>
        <v>0</v>
      </c>
      <c r="Y96" s="106">
        <f t="shared" si="133"/>
        <v>0</v>
      </c>
      <c r="Z96" s="106">
        <f t="shared" si="134"/>
        <v>0</v>
      </c>
      <c r="AA96" s="106">
        <f t="shared" si="135"/>
        <v>0</v>
      </c>
      <c r="AB96" s="106">
        <f t="shared" si="122"/>
        <v>0</v>
      </c>
      <c r="AC96" s="106">
        <f t="shared" si="122"/>
        <v>0</v>
      </c>
      <c r="AD96" s="106">
        <f t="shared" si="122"/>
        <v>0</v>
      </c>
      <c r="AE96" s="106">
        <f t="shared" si="136"/>
        <v>0</v>
      </c>
      <c r="AF96" s="106">
        <f t="shared" si="136"/>
        <v>0</v>
      </c>
      <c r="AG96" s="106">
        <f t="shared" si="137"/>
        <v>0</v>
      </c>
      <c r="AH96" s="106">
        <f t="shared" si="137"/>
        <v>0</v>
      </c>
      <c r="AI96" s="106">
        <f t="shared" si="123"/>
        <v>0</v>
      </c>
      <c r="AJ96" s="106">
        <f t="shared" si="123"/>
        <v>0</v>
      </c>
      <c r="AK96" s="106">
        <f t="shared" si="123"/>
        <v>0</v>
      </c>
      <c r="AL96" s="106">
        <f t="shared" si="138"/>
        <v>0</v>
      </c>
      <c r="AM96" s="106">
        <f t="shared" si="139"/>
        <v>0</v>
      </c>
      <c r="AN96" s="106">
        <f t="shared" si="140"/>
        <v>0</v>
      </c>
      <c r="AO96" s="106">
        <f t="shared" si="141"/>
        <v>0</v>
      </c>
      <c r="AP96" s="106">
        <f t="shared" si="142"/>
        <v>0</v>
      </c>
      <c r="AQ96" s="106">
        <f t="shared" si="142"/>
        <v>0</v>
      </c>
      <c r="AR96" s="106">
        <f t="shared" si="143"/>
        <v>0</v>
      </c>
      <c r="AS96" s="106">
        <f t="shared" si="118"/>
        <v>0</v>
      </c>
      <c r="AT96" s="106">
        <f t="shared" si="118"/>
        <v>0</v>
      </c>
      <c r="AU96" s="106">
        <f t="shared" si="110"/>
        <v>0</v>
      </c>
      <c r="AV96" s="106">
        <f t="shared" si="144"/>
        <v>0</v>
      </c>
      <c r="AW96" s="106">
        <f t="shared" si="145"/>
        <v>0</v>
      </c>
      <c r="AX96" s="106">
        <f t="shared" si="145"/>
        <v>0</v>
      </c>
      <c r="AY96" s="106">
        <f t="shared" si="146"/>
        <v>0</v>
      </c>
      <c r="AZ96" s="106"/>
      <c r="BA96" s="106"/>
      <c r="BB96" s="104">
        <f t="shared" si="129"/>
        <v>0</v>
      </c>
      <c r="BC96" s="106">
        <f t="shared" si="130"/>
        <v>0</v>
      </c>
      <c r="BD96" s="106">
        <f t="shared" si="90"/>
        <v>0</v>
      </c>
      <c r="BE96" s="106"/>
      <c r="BF96" s="110"/>
      <c r="BO96" s="111"/>
      <c r="BU96" s="108" t="s">
        <v>204</v>
      </c>
      <c r="EP96" s="108">
        <v>1000</v>
      </c>
      <c r="EQ96" s="108" t="s">
        <v>393</v>
      </c>
      <c r="FR96" s="225"/>
      <c r="HP96" s="103">
        <f t="shared" si="111"/>
        <v>1000</v>
      </c>
      <c r="HQ96" s="110"/>
    </row>
    <row r="97" spans="1:225" s="108" customFormat="1" ht="15.75">
      <c r="A97" s="108" t="s">
        <v>201</v>
      </c>
      <c r="B97" s="109" t="s">
        <v>202</v>
      </c>
      <c r="D97" s="26">
        <v>30</v>
      </c>
      <c r="E97" s="108">
        <v>10</v>
      </c>
      <c r="F97" s="108" t="s">
        <v>389</v>
      </c>
      <c r="G97" s="108" t="s">
        <v>203</v>
      </c>
      <c r="H97" s="102">
        <v>36336</v>
      </c>
      <c r="I97" s="108" t="s">
        <v>111</v>
      </c>
      <c r="J97" s="108" t="s">
        <v>122</v>
      </c>
      <c r="K97" s="109"/>
      <c r="L97" s="108" t="s">
        <v>113</v>
      </c>
      <c r="M97" s="61"/>
      <c r="N97" s="108" t="str">
        <f>CONCATENATE(B97,J97)</f>
        <v>loudounW</v>
      </c>
      <c r="O97" s="108" t="str">
        <f>CONCATENATE(B97,J97,I97)</f>
        <v>loudounWBase</v>
      </c>
      <c r="Q97" s="103">
        <f>+BC97</f>
        <v>0</v>
      </c>
      <c r="R97" s="110">
        <f t="shared" si="113"/>
        <v>0</v>
      </c>
      <c r="S97" s="110"/>
      <c r="T97" s="106">
        <v>37147</v>
      </c>
      <c r="U97" s="106"/>
      <c r="V97" s="105">
        <v>0</v>
      </c>
      <c r="W97" s="106">
        <f t="shared" si="116"/>
        <v>0</v>
      </c>
      <c r="X97" s="106">
        <f t="shared" si="132"/>
        <v>0</v>
      </c>
      <c r="Y97" s="106">
        <f t="shared" si="133"/>
        <v>0</v>
      </c>
      <c r="Z97" s="106">
        <f t="shared" si="134"/>
        <v>0</v>
      </c>
      <c r="AA97" s="106">
        <f t="shared" si="135"/>
        <v>0</v>
      </c>
      <c r="AB97" s="106">
        <f t="shared" si="122"/>
        <v>0</v>
      </c>
      <c r="AC97" s="106">
        <f t="shared" si="122"/>
        <v>0</v>
      </c>
      <c r="AD97" s="106">
        <f t="shared" si="122"/>
        <v>0</v>
      </c>
      <c r="AE97" s="106">
        <f t="shared" si="136"/>
        <v>0</v>
      </c>
      <c r="AF97" s="106">
        <f t="shared" si="136"/>
        <v>0</v>
      </c>
      <c r="AG97" s="106">
        <f t="shared" si="137"/>
        <v>0</v>
      </c>
      <c r="AH97" s="106">
        <f t="shared" si="137"/>
        <v>0</v>
      </c>
      <c r="AI97" s="106">
        <f t="shared" si="123"/>
        <v>0</v>
      </c>
      <c r="AJ97" s="106">
        <f t="shared" si="123"/>
        <v>0</v>
      </c>
      <c r="AK97" s="106">
        <f t="shared" si="123"/>
        <v>0</v>
      </c>
      <c r="AL97" s="106">
        <f t="shared" si="138"/>
        <v>0</v>
      </c>
      <c r="AM97" s="106">
        <f t="shared" si="139"/>
        <v>0</v>
      </c>
      <c r="AN97" s="106">
        <f t="shared" si="140"/>
        <v>0</v>
      </c>
      <c r="AO97" s="106">
        <f t="shared" si="141"/>
        <v>0</v>
      </c>
      <c r="AP97" s="106">
        <f t="shared" si="142"/>
        <v>0</v>
      </c>
      <c r="AQ97" s="106">
        <f t="shared" si="142"/>
        <v>0</v>
      </c>
      <c r="AR97" s="106">
        <f t="shared" si="143"/>
        <v>0</v>
      </c>
      <c r="AS97" s="106">
        <f t="shared" si="118"/>
        <v>0</v>
      </c>
      <c r="AT97" s="106">
        <f t="shared" si="118"/>
        <v>0</v>
      </c>
      <c r="AU97" s="106">
        <f t="shared" si="110"/>
        <v>0</v>
      </c>
      <c r="AV97" s="106">
        <f t="shared" si="144"/>
        <v>0</v>
      </c>
      <c r="AW97" s="106">
        <f t="shared" si="145"/>
        <v>0</v>
      </c>
      <c r="AX97" s="106">
        <f t="shared" si="145"/>
        <v>0</v>
      </c>
      <c r="AY97" s="106">
        <f t="shared" si="146"/>
        <v>0</v>
      </c>
      <c r="AZ97" s="106"/>
      <c r="BA97" s="106"/>
      <c r="BB97" s="104">
        <f>SUM(V97:AZ97)</f>
        <v>0</v>
      </c>
      <c r="BC97" s="106">
        <f t="shared" si="130"/>
        <v>0</v>
      </c>
      <c r="BD97" s="106">
        <f>MAX(V97:AZ97)</f>
        <v>0</v>
      </c>
      <c r="BE97" s="106"/>
      <c r="BF97" s="110"/>
      <c r="BO97" s="111"/>
      <c r="BU97" s="108" t="s">
        <v>204</v>
      </c>
      <c r="EP97" s="108">
        <v>1464</v>
      </c>
      <c r="FR97" s="225"/>
      <c r="HP97" s="103">
        <f t="shared" si="111"/>
        <v>1464</v>
      </c>
      <c r="HQ97" s="110"/>
    </row>
    <row r="98" spans="1:225" s="108" customFormat="1" ht="15.75">
      <c r="A98" s="108" t="s">
        <v>22</v>
      </c>
      <c r="B98" s="109">
        <v>46</v>
      </c>
      <c r="D98" s="26">
        <v>30</v>
      </c>
      <c r="E98" s="108">
        <v>10</v>
      </c>
      <c r="F98" s="108" t="s">
        <v>115</v>
      </c>
      <c r="G98" s="108" t="s">
        <v>135</v>
      </c>
      <c r="H98" s="102">
        <v>36336</v>
      </c>
      <c r="I98" s="108" t="s">
        <v>111</v>
      </c>
      <c r="J98" s="108" t="s">
        <v>112</v>
      </c>
      <c r="K98" s="109"/>
      <c r="L98" s="108" t="s">
        <v>118</v>
      </c>
      <c r="M98" s="61"/>
      <c r="N98" s="108" t="str">
        <f t="shared" si="95"/>
        <v>46R</v>
      </c>
      <c r="O98" s="108" t="str">
        <f t="shared" si="96"/>
        <v>46RBase</v>
      </c>
      <c r="Q98" s="103">
        <f t="shared" si="120"/>
        <v>0</v>
      </c>
      <c r="R98" s="110">
        <f t="shared" si="113"/>
        <v>0</v>
      </c>
      <c r="S98" s="110"/>
      <c r="T98" s="106">
        <v>37147</v>
      </c>
      <c r="U98" s="106"/>
      <c r="V98" s="105">
        <v>0</v>
      </c>
      <c r="W98" s="106">
        <f t="shared" si="116"/>
        <v>0</v>
      </c>
      <c r="X98" s="106">
        <f t="shared" si="132"/>
        <v>0</v>
      </c>
      <c r="Y98" s="106">
        <f t="shared" si="133"/>
        <v>0</v>
      </c>
      <c r="Z98" s="106">
        <f t="shared" si="134"/>
        <v>0</v>
      </c>
      <c r="AA98" s="106">
        <f t="shared" si="135"/>
        <v>0</v>
      </c>
      <c r="AB98" s="106">
        <f t="shared" si="122"/>
        <v>0</v>
      </c>
      <c r="AC98" s="106">
        <f t="shared" si="122"/>
        <v>0</v>
      </c>
      <c r="AD98" s="106">
        <f t="shared" si="122"/>
        <v>0</v>
      </c>
      <c r="AE98" s="106">
        <f t="shared" si="136"/>
        <v>0</v>
      </c>
      <c r="AF98" s="106">
        <f t="shared" si="136"/>
        <v>0</v>
      </c>
      <c r="AG98" s="106">
        <f t="shared" si="137"/>
        <v>0</v>
      </c>
      <c r="AH98" s="106">
        <f t="shared" si="137"/>
        <v>0</v>
      </c>
      <c r="AI98" s="106">
        <f t="shared" si="123"/>
        <v>0</v>
      </c>
      <c r="AJ98" s="106">
        <f t="shared" si="123"/>
        <v>0</v>
      </c>
      <c r="AK98" s="106">
        <f t="shared" si="123"/>
        <v>0</v>
      </c>
      <c r="AL98" s="106">
        <f t="shared" si="138"/>
        <v>0</v>
      </c>
      <c r="AM98" s="106">
        <f t="shared" si="139"/>
        <v>0</v>
      </c>
      <c r="AN98" s="106">
        <f t="shared" si="140"/>
        <v>0</v>
      </c>
      <c r="AO98" s="106">
        <f t="shared" si="141"/>
        <v>0</v>
      </c>
      <c r="AP98" s="106">
        <f t="shared" si="142"/>
        <v>0</v>
      </c>
      <c r="AQ98" s="106">
        <f t="shared" si="142"/>
        <v>0</v>
      </c>
      <c r="AR98" s="106">
        <f t="shared" si="143"/>
        <v>0</v>
      </c>
      <c r="AS98" s="106">
        <f t="shared" si="118"/>
        <v>0</v>
      </c>
      <c r="AT98" s="106">
        <f t="shared" si="118"/>
        <v>0</v>
      </c>
      <c r="AU98" s="106">
        <f t="shared" si="110"/>
        <v>0</v>
      </c>
      <c r="AV98" s="106">
        <f t="shared" si="144"/>
        <v>0</v>
      </c>
      <c r="AW98" s="106">
        <f t="shared" si="145"/>
        <v>0</v>
      </c>
      <c r="AX98" s="106">
        <f t="shared" si="145"/>
        <v>0</v>
      </c>
      <c r="AY98" s="106">
        <f t="shared" si="146"/>
        <v>0</v>
      </c>
      <c r="AZ98" s="106"/>
      <c r="BA98" s="106"/>
      <c r="BB98" s="104">
        <f t="shared" si="129"/>
        <v>0</v>
      </c>
      <c r="BC98" s="106">
        <f t="shared" si="130"/>
        <v>0</v>
      </c>
      <c r="BD98" s="106">
        <f t="shared" si="90"/>
        <v>0</v>
      </c>
      <c r="BE98" s="106"/>
      <c r="BF98" s="110"/>
      <c r="BO98" s="111"/>
      <c r="EP98" s="108">
        <v>480</v>
      </c>
      <c r="EQ98" s="173" t="s">
        <v>142</v>
      </c>
      <c r="FR98" s="225"/>
      <c r="HP98" s="103">
        <f t="shared" si="111"/>
        <v>480</v>
      </c>
      <c r="HQ98" s="110"/>
    </row>
    <row r="99" spans="1:225" s="108" customFormat="1" ht="15.75">
      <c r="A99" s="108" t="s">
        <v>22</v>
      </c>
      <c r="B99" s="109">
        <v>46</v>
      </c>
      <c r="D99" s="26">
        <v>30</v>
      </c>
      <c r="E99" s="108">
        <v>10</v>
      </c>
      <c r="F99" s="108" t="s">
        <v>115</v>
      </c>
      <c r="G99" s="108" t="s">
        <v>135</v>
      </c>
      <c r="H99" s="102">
        <v>36336</v>
      </c>
      <c r="I99" s="108" t="s">
        <v>111</v>
      </c>
      <c r="J99" s="108" t="s">
        <v>112</v>
      </c>
      <c r="K99" s="109"/>
      <c r="L99" s="108" t="s">
        <v>113</v>
      </c>
      <c r="M99" s="162" t="s">
        <v>296</v>
      </c>
      <c r="N99" s="108" t="str">
        <f>CONCATENATE(B99,J99)</f>
        <v>46R</v>
      </c>
      <c r="O99" s="108" t="str">
        <f>CONCATENATE(B99,J99,I99)</f>
        <v>46RBase</v>
      </c>
      <c r="Q99" s="103">
        <f t="shared" si="120"/>
        <v>0</v>
      </c>
      <c r="R99" s="110">
        <f t="shared" si="113"/>
        <v>0</v>
      </c>
      <c r="S99" s="110"/>
      <c r="T99" s="106">
        <v>37147</v>
      </c>
      <c r="U99" s="106"/>
      <c r="V99" s="105">
        <v>0</v>
      </c>
      <c r="W99" s="106">
        <f t="shared" si="116"/>
        <v>0</v>
      </c>
      <c r="X99" s="106">
        <f t="shared" si="132"/>
        <v>0</v>
      </c>
      <c r="Y99" s="106">
        <f t="shared" si="133"/>
        <v>0</v>
      </c>
      <c r="Z99" s="106">
        <f t="shared" si="134"/>
        <v>0</v>
      </c>
      <c r="AA99" s="106">
        <f t="shared" si="135"/>
        <v>0</v>
      </c>
      <c r="AB99" s="106">
        <f t="shared" si="122"/>
        <v>0</v>
      </c>
      <c r="AC99" s="106">
        <f t="shared" si="122"/>
        <v>0</v>
      </c>
      <c r="AD99" s="106">
        <f t="shared" si="122"/>
        <v>0</v>
      </c>
      <c r="AE99" s="106">
        <f t="shared" si="136"/>
        <v>0</v>
      </c>
      <c r="AF99" s="106">
        <f t="shared" si="136"/>
        <v>0</v>
      </c>
      <c r="AG99" s="106">
        <f t="shared" si="137"/>
        <v>0</v>
      </c>
      <c r="AH99" s="106">
        <f t="shared" si="137"/>
        <v>0</v>
      </c>
      <c r="AI99" s="106">
        <f t="shared" si="123"/>
        <v>0</v>
      </c>
      <c r="AJ99" s="106">
        <f t="shared" si="123"/>
        <v>0</v>
      </c>
      <c r="AK99" s="106">
        <f t="shared" si="123"/>
        <v>0</v>
      </c>
      <c r="AL99" s="106">
        <f t="shared" si="138"/>
        <v>0</v>
      </c>
      <c r="AM99" s="106">
        <f t="shared" si="139"/>
        <v>0</v>
      </c>
      <c r="AN99" s="106">
        <f t="shared" si="140"/>
        <v>0</v>
      </c>
      <c r="AO99" s="106">
        <f t="shared" si="141"/>
        <v>0</v>
      </c>
      <c r="AP99" s="106">
        <f t="shared" si="142"/>
        <v>0</v>
      </c>
      <c r="AQ99" s="106">
        <f t="shared" si="142"/>
        <v>0</v>
      </c>
      <c r="AR99" s="106">
        <f t="shared" si="143"/>
        <v>0</v>
      </c>
      <c r="AS99" s="106">
        <f t="shared" si="118"/>
        <v>0</v>
      </c>
      <c r="AT99" s="106">
        <f t="shared" si="118"/>
        <v>0</v>
      </c>
      <c r="AU99" s="106">
        <f t="shared" si="110"/>
        <v>0</v>
      </c>
      <c r="AV99" s="106">
        <f t="shared" si="144"/>
        <v>0</v>
      </c>
      <c r="AW99" s="106">
        <f t="shared" si="145"/>
        <v>0</v>
      </c>
      <c r="AX99" s="106">
        <f t="shared" si="145"/>
        <v>0</v>
      </c>
      <c r="AY99" s="106">
        <f t="shared" si="146"/>
        <v>0</v>
      </c>
      <c r="AZ99" s="106"/>
      <c r="BA99" s="106"/>
      <c r="BB99" s="104">
        <f t="shared" si="129"/>
        <v>0</v>
      </c>
      <c r="BC99" s="106">
        <f t="shared" si="130"/>
        <v>0</v>
      </c>
      <c r="BD99" s="106">
        <f t="shared" si="90"/>
        <v>0</v>
      </c>
      <c r="BE99" s="106"/>
      <c r="BF99" s="110"/>
      <c r="BO99" s="111"/>
      <c r="EP99" s="108">
        <v>0</v>
      </c>
      <c r="EQ99" s="173" t="s">
        <v>142</v>
      </c>
      <c r="FR99" s="225"/>
      <c r="HP99" s="103">
        <f t="shared" si="111"/>
        <v>0</v>
      </c>
      <c r="HQ99" s="110"/>
    </row>
    <row r="100" spans="1:225" s="108" customFormat="1" ht="15.75">
      <c r="A100" s="108" t="s">
        <v>22</v>
      </c>
      <c r="B100" s="109">
        <v>46</v>
      </c>
      <c r="D100" s="26">
        <v>31</v>
      </c>
      <c r="E100" s="108">
        <v>10</v>
      </c>
      <c r="F100" s="108" t="s">
        <v>115</v>
      </c>
      <c r="G100" s="108" t="s">
        <v>135</v>
      </c>
      <c r="H100" s="102">
        <v>36336</v>
      </c>
      <c r="I100" s="108" t="s">
        <v>111</v>
      </c>
      <c r="J100" s="108" t="s">
        <v>112</v>
      </c>
      <c r="K100" s="109"/>
      <c r="L100" s="108" t="s">
        <v>118</v>
      </c>
      <c r="M100" s="54"/>
      <c r="N100" s="108" t="str">
        <f t="shared" si="95"/>
        <v>46R</v>
      </c>
      <c r="O100" s="108" t="str">
        <f t="shared" si="96"/>
        <v>46RBase</v>
      </c>
      <c r="Q100" s="103">
        <f t="shared" si="120"/>
        <v>0</v>
      </c>
      <c r="R100" s="110">
        <f t="shared" si="113"/>
        <v>0</v>
      </c>
      <c r="S100" s="110"/>
      <c r="T100" s="106">
        <v>37147</v>
      </c>
      <c r="U100" s="106"/>
      <c r="V100" s="105">
        <v>0</v>
      </c>
      <c r="W100" s="106">
        <f t="shared" si="116"/>
        <v>0</v>
      </c>
      <c r="X100" s="106">
        <f t="shared" si="132"/>
        <v>0</v>
      </c>
      <c r="Y100" s="106">
        <f t="shared" si="133"/>
        <v>0</v>
      </c>
      <c r="Z100" s="106">
        <f t="shared" si="134"/>
        <v>0</v>
      </c>
      <c r="AA100" s="106">
        <f t="shared" si="135"/>
        <v>0</v>
      </c>
      <c r="AB100" s="106">
        <f t="shared" si="122"/>
        <v>0</v>
      </c>
      <c r="AC100" s="106">
        <f t="shared" si="122"/>
        <v>0</v>
      </c>
      <c r="AD100" s="106">
        <f t="shared" si="122"/>
        <v>0</v>
      </c>
      <c r="AE100" s="106">
        <f t="shared" si="136"/>
        <v>0</v>
      </c>
      <c r="AF100" s="106">
        <f t="shared" si="136"/>
        <v>0</v>
      </c>
      <c r="AG100" s="106">
        <f t="shared" si="137"/>
        <v>0</v>
      </c>
      <c r="AH100" s="106">
        <f t="shared" si="137"/>
        <v>0</v>
      </c>
      <c r="AI100" s="106">
        <f t="shared" si="123"/>
        <v>0</v>
      </c>
      <c r="AJ100" s="106">
        <f t="shared" si="123"/>
        <v>0</v>
      </c>
      <c r="AK100" s="106">
        <f t="shared" si="123"/>
        <v>0</v>
      </c>
      <c r="AL100" s="106">
        <f t="shared" si="138"/>
        <v>0</v>
      </c>
      <c r="AM100" s="106">
        <f t="shared" si="139"/>
        <v>0</v>
      </c>
      <c r="AN100" s="106">
        <f t="shared" si="140"/>
        <v>0</v>
      </c>
      <c r="AO100" s="106">
        <f t="shared" si="141"/>
        <v>0</v>
      </c>
      <c r="AP100" s="106">
        <f t="shared" si="142"/>
        <v>0</v>
      </c>
      <c r="AQ100" s="106">
        <f t="shared" si="142"/>
        <v>0</v>
      </c>
      <c r="AR100" s="106">
        <f t="shared" si="143"/>
        <v>0</v>
      </c>
      <c r="AS100" s="106">
        <f t="shared" si="118"/>
        <v>0</v>
      </c>
      <c r="AT100" s="106">
        <f t="shared" si="118"/>
        <v>0</v>
      </c>
      <c r="AU100" s="106">
        <f t="shared" si="110"/>
        <v>0</v>
      </c>
      <c r="AV100" s="106">
        <f t="shared" si="144"/>
        <v>0</v>
      </c>
      <c r="AW100" s="106">
        <f t="shared" si="145"/>
        <v>0</v>
      </c>
      <c r="AX100" s="106">
        <f t="shared" si="145"/>
        <v>0</v>
      </c>
      <c r="AY100" s="106">
        <f t="shared" si="146"/>
        <v>0</v>
      </c>
      <c r="AZ100" s="106"/>
      <c r="BA100" s="106"/>
      <c r="BB100" s="104">
        <f t="shared" si="129"/>
        <v>0</v>
      </c>
      <c r="BC100" s="106">
        <f t="shared" si="130"/>
        <v>0</v>
      </c>
      <c r="BD100" s="106">
        <f t="shared" si="90"/>
        <v>0</v>
      </c>
      <c r="BE100" s="106"/>
      <c r="BF100" s="110"/>
      <c r="BO100" s="111"/>
      <c r="CI100" s="108" t="s">
        <v>194</v>
      </c>
      <c r="EP100" s="108">
        <v>31</v>
      </c>
      <c r="EQ100" s="108" t="s">
        <v>314</v>
      </c>
      <c r="FR100" s="225"/>
      <c r="HP100" s="103">
        <f t="shared" si="111"/>
        <v>31</v>
      </c>
      <c r="HQ100" s="110"/>
    </row>
    <row r="101" spans="1:225" s="108" customFormat="1" ht="15.75">
      <c r="A101" s="108" t="s">
        <v>22</v>
      </c>
      <c r="B101" s="109">
        <v>46</v>
      </c>
      <c r="D101" s="26">
        <v>30</v>
      </c>
      <c r="E101" s="108">
        <v>10</v>
      </c>
      <c r="F101" s="108" t="s">
        <v>150</v>
      </c>
      <c r="G101" s="108" t="s">
        <v>135</v>
      </c>
      <c r="H101" s="102">
        <v>36336</v>
      </c>
      <c r="I101" s="108" t="s">
        <v>111</v>
      </c>
      <c r="J101" s="108" t="s">
        <v>112</v>
      </c>
      <c r="K101" s="109"/>
      <c r="L101" s="108" t="s">
        <v>113</v>
      </c>
      <c r="M101" s="54" t="s">
        <v>295</v>
      </c>
      <c r="N101" s="108" t="str">
        <f t="shared" si="95"/>
        <v>46R</v>
      </c>
      <c r="O101" s="108" t="str">
        <f t="shared" si="96"/>
        <v>46RBase</v>
      </c>
      <c r="Q101" s="103">
        <f t="shared" si="120"/>
        <v>0</v>
      </c>
      <c r="R101" s="110">
        <f t="shared" si="113"/>
        <v>0</v>
      </c>
      <c r="S101" s="110"/>
      <c r="T101" s="106">
        <v>37147</v>
      </c>
      <c r="U101" s="106"/>
      <c r="V101" s="105">
        <v>0</v>
      </c>
      <c r="W101" s="106">
        <f t="shared" si="116"/>
        <v>0</v>
      </c>
      <c r="X101" s="106">
        <f t="shared" si="132"/>
        <v>0</v>
      </c>
      <c r="Y101" s="106">
        <f t="shared" si="133"/>
        <v>0</v>
      </c>
      <c r="Z101" s="106">
        <f t="shared" si="134"/>
        <v>0</v>
      </c>
      <c r="AA101" s="106">
        <f t="shared" si="135"/>
        <v>0</v>
      </c>
      <c r="AB101" s="106">
        <f t="shared" si="122"/>
        <v>0</v>
      </c>
      <c r="AC101" s="106">
        <f t="shared" si="122"/>
        <v>0</v>
      </c>
      <c r="AD101" s="106">
        <f t="shared" si="122"/>
        <v>0</v>
      </c>
      <c r="AE101" s="106">
        <f t="shared" si="136"/>
        <v>0</v>
      </c>
      <c r="AF101" s="106">
        <f t="shared" si="136"/>
        <v>0</v>
      </c>
      <c r="AG101" s="106">
        <f t="shared" si="137"/>
        <v>0</v>
      </c>
      <c r="AH101" s="106">
        <f t="shared" si="137"/>
        <v>0</v>
      </c>
      <c r="AI101" s="106">
        <f t="shared" si="123"/>
        <v>0</v>
      </c>
      <c r="AJ101" s="106">
        <f t="shared" si="123"/>
        <v>0</v>
      </c>
      <c r="AK101" s="106">
        <f t="shared" si="123"/>
        <v>0</v>
      </c>
      <c r="AL101" s="106">
        <f t="shared" si="138"/>
        <v>0</v>
      </c>
      <c r="AM101" s="106">
        <f t="shared" si="139"/>
        <v>0</v>
      </c>
      <c r="AN101" s="106">
        <f t="shared" si="140"/>
        <v>0</v>
      </c>
      <c r="AO101" s="106">
        <f t="shared" si="141"/>
        <v>0</v>
      </c>
      <c r="AP101" s="106">
        <f t="shared" si="142"/>
        <v>0</v>
      </c>
      <c r="AQ101" s="106">
        <f t="shared" si="142"/>
        <v>0</v>
      </c>
      <c r="AR101" s="106">
        <f t="shared" si="143"/>
        <v>0</v>
      </c>
      <c r="AS101" s="106">
        <f t="shared" si="118"/>
        <v>0</v>
      </c>
      <c r="AT101" s="106">
        <f t="shared" si="118"/>
        <v>0</v>
      </c>
      <c r="AU101" s="106">
        <f t="shared" si="110"/>
        <v>0</v>
      </c>
      <c r="AV101" s="106">
        <f t="shared" si="144"/>
        <v>0</v>
      </c>
      <c r="AW101" s="106">
        <f t="shared" si="145"/>
        <v>0</v>
      </c>
      <c r="AX101" s="106">
        <f t="shared" si="145"/>
        <v>0</v>
      </c>
      <c r="AY101" s="106">
        <f t="shared" si="146"/>
        <v>0</v>
      </c>
      <c r="AZ101" s="106"/>
      <c r="BA101" s="106"/>
      <c r="BB101" s="104">
        <f t="shared" si="129"/>
        <v>0</v>
      </c>
      <c r="BC101" s="106">
        <f t="shared" si="130"/>
        <v>0</v>
      </c>
      <c r="BD101" s="106">
        <f t="shared" si="90"/>
        <v>0</v>
      </c>
      <c r="BE101" s="106"/>
      <c r="BF101" s="110"/>
      <c r="BO101" s="111"/>
      <c r="BX101" s="108">
        <v>303</v>
      </c>
      <c r="BY101" s="108" t="s">
        <v>133</v>
      </c>
      <c r="CH101" s="108">
        <v>911</v>
      </c>
      <c r="CN101" s="108">
        <v>51</v>
      </c>
      <c r="CO101" s="108" t="s">
        <v>131</v>
      </c>
      <c r="EP101" s="108">
        <v>21</v>
      </c>
      <c r="EQ101" s="108" t="s">
        <v>146</v>
      </c>
      <c r="FH101" s="207"/>
      <c r="FI101" s="207"/>
      <c r="FJ101" s="207"/>
      <c r="FK101" s="207"/>
      <c r="FL101" s="207"/>
      <c r="FM101" s="207"/>
      <c r="FN101" s="207"/>
      <c r="FO101" s="207"/>
      <c r="FP101" s="207"/>
      <c r="FQ101" s="207"/>
      <c r="FR101" s="226"/>
      <c r="FS101" s="207"/>
      <c r="FT101" s="207"/>
      <c r="FU101" s="207"/>
      <c r="FV101" s="207"/>
      <c r="FW101" s="207"/>
      <c r="FX101" s="207"/>
      <c r="FY101" s="207"/>
      <c r="FZ101" s="207"/>
      <c r="GA101" s="207"/>
      <c r="GB101" s="207"/>
      <c r="GC101" s="207"/>
      <c r="GD101" s="207"/>
      <c r="GE101" s="207"/>
      <c r="GF101" s="207"/>
      <c r="GG101" s="207"/>
      <c r="GH101" s="207"/>
      <c r="GI101" s="207"/>
      <c r="GJ101" s="207"/>
      <c r="GK101" s="207"/>
      <c r="GL101" s="207"/>
      <c r="GM101" s="207"/>
      <c r="GN101" s="207"/>
      <c r="GO101" s="207"/>
      <c r="GP101" s="207"/>
      <c r="GQ101" s="207"/>
      <c r="GR101" s="207"/>
      <c r="GS101" s="207"/>
      <c r="GT101" s="207"/>
      <c r="GU101" s="207"/>
      <c r="GV101" s="207"/>
      <c r="GW101" s="207"/>
      <c r="GX101" s="207"/>
      <c r="GY101" s="207"/>
      <c r="GZ101" s="207"/>
      <c r="HA101" s="207"/>
      <c r="HB101" s="207"/>
      <c r="HC101" s="207"/>
      <c r="HD101" s="207"/>
      <c r="HP101" s="103">
        <f t="shared" si="111"/>
        <v>1286</v>
      </c>
      <c r="HQ101" s="110"/>
    </row>
    <row r="102" spans="1:225" s="108" customFormat="1" ht="15.75">
      <c r="A102" s="108" t="s">
        <v>205</v>
      </c>
      <c r="B102" s="109">
        <v>62</v>
      </c>
      <c r="D102" s="26"/>
      <c r="E102" s="108">
        <v>10</v>
      </c>
      <c r="F102" s="108" t="s">
        <v>115</v>
      </c>
      <c r="G102" s="108" t="s">
        <v>348</v>
      </c>
      <c r="H102" s="102">
        <v>36336</v>
      </c>
      <c r="I102" s="108" t="s">
        <v>111</v>
      </c>
      <c r="J102" s="108" t="s">
        <v>112</v>
      </c>
      <c r="K102" s="109"/>
      <c r="L102" s="108" t="s">
        <v>113</v>
      </c>
      <c r="M102" s="54"/>
      <c r="N102" s="108" t="str">
        <f t="shared" si="95"/>
        <v>62R</v>
      </c>
      <c r="O102" s="108" t="str">
        <f t="shared" si="96"/>
        <v>62RBase</v>
      </c>
      <c r="Q102" s="103">
        <f t="shared" si="120"/>
        <v>0</v>
      </c>
      <c r="R102" s="110">
        <f t="shared" si="113"/>
        <v>0</v>
      </c>
      <c r="S102" s="110"/>
      <c r="T102" s="106">
        <v>37147</v>
      </c>
      <c r="U102" s="106"/>
      <c r="V102" s="105">
        <v>0</v>
      </c>
      <c r="W102" s="106">
        <f t="shared" si="116"/>
        <v>0</v>
      </c>
      <c r="X102" s="106">
        <f t="shared" si="132"/>
        <v>0</v>
      </c>
      <c r="Y102" s="106">
        <f t="shared" si="133"/>
        <v>0</v>
      </c>
      <c r="Z102" s="106">
        <f t="shared" si="134"/>
        <v>0</v>
      </c>
      <c r="AA102" s="106">
        <f t="shared" si="135"/>
        <v>0</v>
      </c>
      <c r="AB102" s="106">
        <f t="shared" si="122"/>
        <v>0</v>
      </c>
      <c r="AC102" s="106">
        <f t="shared" si="122"/>
        <v>0</v>
      </c>
      <c r="AD102" s="106">
        <f t="shared" si="122"/>
        <v>0</v>
      </c>
      <c r="AE102" s="106">
        <f t="shared" si="136"/>
        <v>0</v>
      </c>
      <c r="AF102" s="106">
        <f t="shared" si="136"/>
        <v>0</v>
      </c>
      <c r="AG102" s="106">
        <f t="shared" si="137"/>
        <v>0</v>
      </c>
      <c r="AH102" s="106">
        <f t="shared" si="137"/>
        <v>0</v>
      </c>
      <c r="AI102" s="106">
        <f t="shared" si="123"/>
        <v>0</v>
      </c>
      <c r="AJ102" s="106">
        <f t="shared" si="123"/>
        <v>0</v>
      </c>
      <c r="AK102" s="106">
        <f t="shared" si="123"/>
        <v>0</v>
      </c>
      <c r="AL102" s="106">
        <f t="shared" si="138"/>
        <v>0</v>
      </c>
      <c r="AM102" s="106">
        <f t="shared" si="139"/>
        <v>0</v>
      </c>
      <c r="AN102" s="106">
        <f t="shared" si="140"/>
        <v>0</v>
      </c>
      <c r="AO102" s="106">
        <f t="shared" si="141"/>
        <v>0</v>
      </c>
      <c r="AP102" s="106">
        <f t="shared" si="142"/>
        <v>0</v>
      </c>
      <c r="AQ102" s="106">
        <f t="shared" si="142"/>
        <v>0</v>
      </c>
      <c r="AR102" s="106">
        <f t="shared" si="143"/>
        <v>0</v>
      </c>
      <c r="AS102" s="106">
        <f t="shared" si="118"/>
        <v>0</v>
      </c>
      <c r="AT102" s="106">
        <f t="shared" si="118"/>
        <v>0</v>
      </c>
      <c r="AU102" s="106">
        <f t="shared" si="110"/>
        <v>0</v>
      </c>
      <c r="AV102" s="106">
        <f t="shared" si="144"/>
        <v>0</v>
      </c>
      <c r="AW102" s="106">
        <f t="shared" si="145"/>
        <v>0</v>
      </c>
      <c r="AX102" s="106">
        <f t="shared" si="145"/>
        <v>0</v>
      </c>
      <c r="AY102" s="106">
        <f t="shared" si="146"/>
        <v>0</v>
      </c>
      <c r="AZ102" s="106"/>
      <c r="BA102" s="106"/>
      <c r="BB102" s="104">
        <f t="shared" si="129"/>
        <v>0</v>
      </c>
      <c r="BC102" s="106">
        <f t="shared" si="130"/>
        <v>0</v>
      </c>
      <c r="BD102" s="106">
        <f t="shared" si="90"/>
        <v>0</v>
      </c>
      <c r="BE102" s="106"/>
      <c r="BF102" s="110"/>
      <c r="BO102" s="111"/>
      <c r="EP102" s="108">
        <v>0</v>
      </c>
      <c r="EQ102" s="108" t="s">
        <v>147</v>
      </c>
      <c r="FR102" s="225"/>
      <c r="HP102" s="103">
        <f t="shared" si="111"/>
        <v>0</v>
      </c>
      <c r="HQ102" s="110"/>
    </row>
    <row r="103" spans="1:225" s="108" customFormat="1" ht="15.75">
      <c r="A103" s="108" t="s">
        <v>206</v>
      </c>
      <c r="B103" s="109">
        <v>78</v>
      </c>
      <c r="D103" s="26">
        <v>30</v>
      </c>
      <c r="E103" s="108">
        <v>10</v>
      </c>
      <c r="F103" s="108" t="s">
        <v>150</v>
      </c>
      <c r="G103" s="108" t="s">
        <v>129</v>
      </c>
      <c r="H103" s="102">
        <v>36336</v>
      </c>
      <c r="I103" s="108" t="s">
        <v>111</v>
      </c>
      <c r="J103" s="108" t="s">
        <v>112</v>
      </c>
      <c r="K103" s="109"/>
      <c r="L103" s="108" t="s">
        <v>113</v>
      </c>
      <c r="M103" s="61"/>
      <c r="N103" s="108" t="str">
        <f t="shared" si="95"/>
        <v>78R</v>
      </c>
      <c r="O103" s="108" t="str">
        <f t="shared" si="96"/>
        <v>78RBase</v>
      </c>
      <c r="Q103" s="103">
        <f t="shared" si="120"/>
        <v>0</v>
      </c>
      <c r="R103" s="110">
        <f t="shared" si="113"/>
        <v>0</v>
      </c>
      <c r="S103" s="110"/>
      <c r="T103" s="106">
        <v>37147</v>
      </c>
      <c r="U103" s="106"/>
      <c r="V103" s="193">
        <v>0</v>
      </c>
      <c r="W103" s="106">
        <f t="shared" si="116"/>
        <v>0</v>
      </c>
      <c r="X103" s="106">
        <f t="shared" si="132"/>
        <v>0</v>
      </c>
      <c r="Y103" s="106">
        <f t="shared" si="133"/>
        <v>0</v>
      </c>
      <c r="Z103" s="106">
        <f t="shared" si="134"/>
        <v>0</v>
      </c>
      <c r="AA103" s="106">
        <f t="shared" si="135"/>
        <v>0</v>
      </c>
      <c r="AB103" s="106">
        <f t="shared" si="122"/>
        <v>0</v>
      </c>
      <c r="AC103" s="106">
        <f t="shared" si="122"/>
        <v>0</v>
      </c>
      <c r="AD103" s="106">
        <f t="shared" si="122"/>
        <v>0</v>
      </c>
      <c r="AE103" s="106">
        <f t="shared" si="136"/>
        <v>0</v>
      </c>
      <c r="AF103" s="106">
        <f t="shared" si="136"/>
        <v>0</v>
      </c>
      <c r="AG103" s="106">
        <f t="shared" si="137"/>
        <v>0</v>
      </c>
      <c r="AH103" s="106">
        <f t="shared" si="137"/>
        <v>0</v>
      </c>
      <c r="AI103" s="106">
        <f t="shared" si="123"/>
        <v>0</v>
      </c>
      <c r="AJ103" s="106">
        <f t="shared" si="123"/>
        <v>0</v>
      </c>
      <c r="AK103" s="106">
        <f t="shared" si="123"/>
        <v>0</v>
      </c>
      <c r="AL103" s="106">
        <f t="shared" si="138"/>
        <v>0</v>
      </c>
      <c r="AM103" s="106">
        <f t="shared" si="139"/>
        <v>0</v>
      </c>
      <c r="AN103" s="106">
        <f t="shared" si="140"/>
        <v>0</v>
      </c>
      <c r="AO103" s="106">
        <f t="shared" si="141"/>
        <v>0</v>
      </c>
      <c r="AP103" s="106">
        <f t="shared" si="142"/>
        <v>0</v>
      </c>
      <c r="AQ103" s="106">
        <f t="shared" si="142"/>
        <v>0</v>
      </c>
      <c r="AR103" s="106">
        <f t="shared" si="143"/>
        <v>0</v>
      </c>
      <c r="AS103" s="106">
        <f t="shared" si="118"/>
        <v>0</v>
      </c>
      <c r="AT103" s="106">
        <f t="shared" si="118"/>
        <v>0</v>
      </c>
      <c r="AU103" s="106">
        <f t="shared" si="110"/>
        <v>0</v>
      </c>
      <c r="AV103" s="106">
        <f t="shared" si="144"/>
        <v>0</v>
      </c>
      <c r="AW103" s="106">
        <f t="shared" si="145"/>
        <v>0</v>
      </c>
      <c r="AX103" s="106">
        <f t="shared" si="145"/>
        <v>0</v>
      </c>
      <c r="AY103" s="106">
        <f t="shared" si="146"/>
        <v>0</v>
      </c>
      <c r="AZ103" s="106"/>
      <c r="BA103" s="106"/>
      <c r="BB103" s="104">
        <f t="shared" si="129"/>
        <v>0</v>
      </c>
      <c r="BC103" s="106">
        <f t="shared" si="130"/>
        <v>0</v>
      </c>
      <c r="BD103" s="106">
        <f>MAX(V103:AZ103)</f>
        <v>0</v>
      </c>
      <c r="BE103" s="106"/>
      <c r="BF103" s="110"/>
      <c r="BO103" s="111"/>
      <c r="EP103" s="108">
        <v>1982</v>
      </c>
      <c r="EQ103" s="108" t="s">
        <v>171</v>
      </c>
      <c r="FR103" s="225"/>
      <c r="HP103" s="103">
        <f t="shared" si="111"/>
        <v>1982</v>
      </c>
      <c r="HQ103" s="110"/>
    </row>
    <row r="104" spans="1:225" s="108" customFormat="1" ht="15.75">
      <c r="A104" s="108" t="s">
        <v>206</v>
      </c>
      <c r="B104" s="109">
        <v>78</v>
      </c>
      <c r="D104" s="26">
        <v>30</v>
      </c>
      <c r="E104" s="108">
        <v>10</v>
      </c>
      <c r="F104" s="108" t="s">
        <v>115</v>
      </c>
      <c r="G104" s="108" t="s">
        <v>129</v>
      </c>
      <c r="H104" s="102">
        <v>36336</v>
      </c>
      <c r="I104" s="108" t="s">
        <v>111</v>
      </c>
      <c r="J104" s="108" t="s">
        <v>112</v>
      </c>
      <c r="K104" s="109"/>
      <c r="L104" s="108" t="s">
        <v>113</v>
      </c>
      <c r="M104" s="61"/>
      <c r="N104" s="108" t="str">
        <f t="shared" si="95"/>
        <v>78R</v>
      </c>
      <c r="O104" s="108" t="str">
        <f t="shared" si="96"/>
        <v>78RBase</v>
      </c>
      <c r="Q104" s="103">
        <f t="shared" si="120"/>
        <v>0</v>
      </c>
      <c r="R104" s="110">
        <f t="shared" si="113"/>
        <v>0</v>
      </c>
      <c r="S104" s="110"/>
      <c r="T104" s="106">
        <v>37147</v>
      </c>
      <c r="U104" s="106"/>
      <c r="V104" s="193">
        <v>0</v>
      </c>
      <c r="W104" s="106">
        <f t="shared" si="116"/>
        <v>0</v>
      </c>
      <c r="X104" s="106">
        <f t="shared" si="132"/>
        <v>0</v>
      </c>
      <c r="Y104" s="106">
        <f t="shared" si="133"/>
        <v>0</v>
      </c>
      <c r="Z104" s="106">
        <f t="shared" si="134"/>
        <v>0</v>
      </c>
      <c r="AA104" s="106">
        <f t="shared" si="135"/>
        <v>0</v>
      </c>
      <c r="AB104" s="106">
        <f t="shared" si="122"/>
        <v>0</v>
      </c>
      <c r="AC104" s="106">
        <f t="shared" si="122"/>
        <v>0</v>
      </c>
      <c r="AD104" s="106">
        <f t="shared" si="122"/>
        <v>0</v>
      </c>
      <c r="AE104" s="106">
        <f t="shared" si="136"/>
        <v>0</v>
      </c>
      <c r="AF104" s="106">
        <f t="shared" si="136"/>
        <v>0</v>
      </c>
      <c r="AG104" s="106">
        <f t="shared" si="137"/>
        <v>0</v>
      </c>
      <c r="AH104" s="106">
        <f t="shared" si="137"/>
        <v>0</v>
      </c>
      <c r="AI104" s="106">
        <f t="shared" si="123"/>
        <v>0</v>
      </c>
      <c r="AJ104" s="106">
        <f t="shared" si="123"/>
        <v>0</v>
      </c>
      <c r="AK104" s="106">
        <f t="shared" si="123"/>
        <v>0</v>
      </c>
      <c r="AL104" s="106">
        <f t="shared" si="138"/>
        <v>0</v>
      </c>
      <c r="AM104" s="106">
        <f t="shared" si="139"/>
        <v>0</v>
      </c>
      <c r="AN104" s="106">
        <f t="shared" si="140"/>
        <v>0</v>
      </c>
      <c r="AO104" s="106">
        <f t="shared" si="141"/>
        <v>0</v>
      </c>
      <c r="AP104" s="106">
        <f t="shared" si="142"/>
        <v>0</v>
      </c>
      <c r="AQ104" s="106">
        <f t="shared" si="142"/>
        <v>0</v>
      </c>
      <c r="AR104" s="106">
        <f t="shared" si="143"/>
        <v>0</v>
      </c>
      <c r="AS104" s="106">
        <f t="shared" si="118"/>
        <v>0</v>
      </c>
      <c r="AT104" s="106">
        <f t="shared" si="118"/>
        <v>0</v>
      </c>
      <c r="AU104" s="106">
        <f t="shared" si="110"/>
        <v>0</v>
      </c>
      <c r="AV104" s="106">
        <f t="shared" si="144"/>
        <v>0</v>
      </c>
      <c r="AW104" s="106">
        <f t="shared" si="145"/>
        <v>0</v>
      </c>
      <c r="AX104" s="106">
        <f t="shared" si="145"/>
        <v>0</v>
      </c>
      <c r="AY104" s="106">
        <f t="shared" si="146"/>
        <v>0</v>
      </c>
      <c r="AZ104" s="106"/>
      <c r="BA104" s="106"/>
      <c r="BB104" s="104">
        <f t="shared" si="129"/>
        <v>0</v>
      </c>
      <c r="BC104" s="106">
        <f t="shared" si="130"/>
        <v>0</v>
      </c>
      <c r="BD104" s="106">
        <f>MAX(V104:AZ104)</f>
        <v>0</v>
      </c>
      <c r="BE104" s="106"/>
      <c r="BF104" s="110"/>
      <c r="BO104" s="111"/>
      <c r="EP104" s="108">
        <v>1022</v>
      </c>
      <c r="EQ104" s="108" t="s">
        <v>315</v>
      </c>
      <c r="FH104" s="120"/>
      <c r="FI104" s="120"/>
      <c r="FJ104" s="120"/>
      <c r="FK104" s="120"/>
      <c r="FL104" s="120"/>
      <c r="FM104" s="120"/>
      <c r="FN104" s="120"/>
      <c r="FO104" s="120"/>
      <c r="FP104" s="120"/>
      <c r="FQ104" s="120"/>
      <c r="FR104" s="227"/>
      <c r="FS104" s="120"/>
      <c r="FT104" s="120"/>
      <c r="FU104" s="120"/>
      <c r="FV104" s="120"/>
      <c r="FW104" s="120"/>
      <c r="FX104" s="120"/>
      <c r="FY104" s="120"/>
      <c r="FZ104" s="120"/>
      <c r="GA104" s="120"/>
      <c r="GB104" s="120"/>
      <c r="GC104" s="120"/>
      <c r="GD104" s="120"/>
      <c r="GE104" s="120"/>
      <c r="GF104" s="120"/>
      <c r="GG104" s="120"/>
      <c r="GH104" s="120"/>
      <c r="GI104" s="120"/>
      <c r="GJ104" s="120"/>
      <c r="GK104" s="120"/>
      <c r="GL104" s="120"/>
      <c r="GM104" s="120"/>
      <c r="GN104" s="120"/>
      <c r="GO104" s="120"/>
      <c r="GP104" s="120"/>
      <c r="GQ104" s="120"/>
      <c r="GR104" s="120"/>
      <c r="GS104" s="120"/>
      <c r="GT104" s="120"/>
      <c r="GU104" s="120"/>
      <c r="GV104" s="120"/>
      <c r="GW104" s="120"/>
      <c r="GX104" s="120"/>
      <c r="GY104" s="120"/>
      <c r="GZ104" s="120"/>
      <c r="HA104" s="120"/>
      <c r="HB104" s="120"/>
      <c r="HC104" s="120"/>
      <c r="HD104" s="120"/>
      <c r="HP104" s="103">
        <f t="shared" ref="HP104:HP135" si="147">SUM(BG104:HO104)-V104</f>
        <v>1022</v>
      </c>
      <c r="HQ104" s="110"/>
    </row>
    <row r="105" spans="1:225" s="26" customFormat="1" ht="15.75" hidden="1">
      <c r="A105" s="26" t="s">
        <v>206</v>
      </c>
      <c r="B105" s="25">
        <v>78</v>
      </c>
      <c r="D105" s="26">
        <v>30</v>
      </c>
      <c r="E105" s="26">
        <v>10</v>
      </c>
      <c r="F105" s="26" t="s">
        <v>199</v>
      </c>
      <c r="G105" s="26" t="s">
        <v>129</v>
      </c>
      <c r="H105" s="165"/>
      <c r="I105" s="26" t="s">
        <v>111</v>
      </c>
      <c r="J105" s="26" t="s">
        <v>112</v>
      </c>
      <c r="K105" s="25"/>
      <c r="L105" s="26" t="s">
        <v>113</v>
      </c>
      <c r="M105" s="35"/>
      <c r="N105" s="26" t="str">
        <f t="shared" si="95"/>
        <v>78R</v>
      </c>
      <c r="O105" s="26" t="str">
        <f t="shared" si="96"/>
        <v>78RBase</v>
      </c>
      <c r="Q105" s="169">
        <f t="shared" si="120"/>
        <v>0</v>
      </c>
      <c r="R105" s="166">
        <f t="shared" si="113"/>
        <v>0</v>
      </c>
      <c r="S105" s="166"/>
      <c r="T105" s="167">
        <v>37147</v>
      </c>
      <c r="U105" s="167"/>
      <c r="V105" s="178">
        <v>0</v>
      </c>
      <c r="W105" s="167">
        <f t="shared" si="116"/>
        <v>0</v>
      </c>
      <c r="X105" s="167">
        <f t="shared" si="132"/>
        <v>0</v>
      </c>
      <c r="Y105" s="167">
        <f t="shared" si="133"/>
        <v>0</v>
      </c>
      <c r="Z105" s="167">
        <f t="shared" si="134"/>
        <v>0</v>
      </c>
      <c r="AA105" s="167">
        <f t="shared" si="135"/>
        <v>0</v>
      </c>
      <c r="AB105" s="167">
        <f t="shared" si="122"/>
        <v>0</v>
      </c>
      <c r="AC105" s="167">
        <f t="shared" si="122"/>
        <v>0</v>
      </c>
      <c r="AD105" s="167">
        <f t="shared" si="122"/>
        <v>0</v>
      </c>
      <c r="AE105" s="167">
        <f t="shared" si="136"/>
        <v>0</v>
      </c>
      <c r="AF105" s="167">
        <f t="shared" si="136"/>
        <v>0</v>
      </c>
      <c r="AG105" s="167">
        <f t="shared" si="137"/>
        <v>0</v>
      </c>
      <c r="AH105" s="167">
        <f t="shared" si="137"/>
        <v>0</v>
      </c>
      <c r="AI105" s="167">
        <f t="shared" si="123"/>
        <v>0</v>
      </c>
      <c r="AJ105" s="167">
        <f t="shared" si="123"/>
        <v>0</v>
      </c>
      <c r="AK105" s="167">
        <f t="shared" si="123"/>
        <v>0</v>
      </c>
      <c r="AL105" s="167">
        <f t="shared" si="138"/>
        <v>0</v>
      </c>
      <c r="AM105" s="167">
        <f t="shared" si="139"/>
        <v>0</v>
      </c>
      <c r="AN105" s="167">
        <f t="shared" si="140"/>
        <v>0</v>
      </c>
      <c r="AO105" s="167">
        <f t="shared" si="141"/>
        <v>0</v>
      </c>
      <c r="AP105" s="167">
        <f t="shared" si="142"/>
        <v>0</v>
      </c>
      <c r="AQ105" s="167">
        <f t="shared" si="142"/>
        <v>0</v>
      </c>
      <c r="AR105" s="167">
        <f t="shared" si="143"/>
        <v>0</v>
      </c>
      <c r="AS105" s="167">
        <f t="shared" si="118"/>
        <v>0</v>
      </c>
      <c r="AT105" s="167">
        <f t="shared" si="118"/>
        <v>0</v>
      </c>
      <c r="AU105" s="167">
        <f t="shared" si="110"/>
        <v>0</v>
      </c>
      <c r="AV105" s="167">
        <f t="shared" si="144"/>
        <v>0</v>
      </c>
      <c r="AW105" s="167">
        <f t="shared" si="145"/>
        <v>0</v>
      </c>
      <c r="AX105" s="167">
        <f t="shared" si="145"/>
        <v>0</v>
      </c>
      <c r="AY105" s="167">
        <f t="shared" si="146"/>
        <v>0</v>
      </c>
      <c r="AZ105" s="167"/>
      <c r="BA105" s="167"/>
      <c r="BB105" s="176">
        <f t="shared" si="129"/>
        <v>0</v>
      </c>
      <c r="BC105" s="106">
        <f>+BB105/31</f>
        <v>0</v>
      </c>
      <c r="BD105" s="106">
        <f>MAX(V105:AZ105)</f>
        <v>0</v>
      </c>
      <c r="BE105" s="167"/>
      <c r="BF105" s="166"/>
      <c r="BO105" s="168"/>
      <c r="BW105" s="26" t="s">
        <v>207</v>
      </c>
      <c r="CM105" s="26" t="s">
        <v>324</v>
      </c>
      <c r="EP105" s="26">
        <v>0</v>
      </c>
      <c r="EQ105" s="26" t="s">
        <v>318</v>
      </c>
      <c r="FH105" s="61"/>
      <c r="FI105" s="61"/>
      <c r="FJ105" s="61"/>
      <c r="FK105" s="61"/>
      <c r="FL105" s="61"/>
      <c r="FM105" s="61"/>
      <c r="FN105" s="61"/>
      <c r="FO105" s="61"/>
      <c r="FP105" s="61"/>
      <c r="FQ105" s="61"/>
      <c r="FR105" s="217"/>
      <c r="FS105" s="61"/>
      <c r="FT105" s="61"/>
      <c r="FU105" s="61"/>
      <c r="FV105" s="61"/>
      <c r="FW105" s="61"/>
      <c r="FX105" s="61"/>
      <c r="FY105" s="61"/>
      <c r="FZ105" s="61"/>
      <c r="GA105" s="61"/>
      <c r="GB105" s="61"/>
      <c r="GC105" s="61"/>
      <c r="GD105" s="61"/>
      <c r="GE105" s="61"/>
      <c r="GF105" s="61"/>
      <c r="GG105" s="61"/>
      <c r="GH105" s="61"/>
      <c r="GI105" s="61"/>
      <c r="GJ105" s="61"/>
      <c r="GK105" s="61"/>
      <c r="GL105" s="61"/>
      <c r="GM105" s="61"/>
      <c r="GN105" s="61"/>
      <c r="GO105" s="61"/>
      <c r="GP105" s="61"/>
      <c r="GQ105" s="61"/>
      <c r="GR105" s="61"/>
      <c r="GS105" s="61"/>
      <c r="GT105" s="61"/>
      <c r="GU105" s="61"/>
      <c r="GV105" s="61"/>
      <c r="GW105" s="61"/>
      <c r="GX105" s="61"/>
      <c r="GY105" s="61"/>
      <c r="GZ105" s="61"/>
      <c r="HA105" s="61"/>
      <c r="HB105" s="61"/>
      <c r="HC105" s="61"/>
      <c r="HD105" s="61"/>
      <c r="HP105" s="169">
        <f t="shared" si="147"/>
        <v>0</v>
      </c>
      <c r="HQ105" s="166"/>
    </row>
    <row r="106" spans="1:225" s="108" customFormat="1" ht="15.75" hidden="1">
      <c r="A106" s="108" t="s">
        <v>206</v>
      </c>
      <c r="B106" s="109">
        <v>78</v>
      </c>
      <c r="D106" s="26">
        <v>30</v>
      </c>
      <c r="E106" s="108">
        <v>10</v>
      </c>
      <c r="F106" s="108" t="s">
        <v>208</v>
      </c>
      <c r="H106" s="102">
        <v>36336</v>
      </c>
      <c r="I106" s="108" t="s">
        <v>111</v>
      </c>
      <c r="J106" s="108" t="s">
        <v>112</v>
      </c>
      <c r="K106" s="109"/>
      <c r="L106" s="108" t="s">
        <v>113</v>
      </c>
      <c r="M106" s="54"/>
      <c r="N106" s="108" t="str">
        <f t="shared" si="95"/>
        <v>78R</v>
      </c>
      <c r="O106" s="108" t="str">
        <f t="shared" si="96"/>
        <v>78RBase</v>
      </c>
      <c r="Q106" s="103">
        <f t="shared" si="120"/>
        <v>0</v>
      </c>
      <c r="R106" s="110">
        <f t="shared" si="113"/>
        <v>0</v>
      </c>
      <c r="S106" s="110"/>
      <c r="T106" s="106">
        <v>37147</v>
      </c>
      <c r="U106" s="106"/>
      <c r="V106" s="105">
        <v>0</v>
      </c>
      <c r="W106" s="106">
        <f t="shared" si="116"/>
        <v>0</v>
      </c>
      <c r="X106" s="106">
        <f t="shared" si="132"/>
        <v>0</v>
      </c>
      <c r="Y106" s="106">
        <f t="shared" si="133"/>
        <v>0</v>
      </c>
      <c r="Z106" s="106">
        <f t="shared" si="134"/>
        <v>0</v>
      </c>
      <c r="AA106" s="106">
        <f t="shared" si="135"/>
        <v>0</v>
      </c>
      <c r="AB106" s="106">
        <f t="shared" si="122"/>
        <v>0</v>
      </c>
      <c r="AC106" s="106">
        <f t="shared" si="122"/>
        <v>0</v>
      </c>
      <c r="AD106" s="106">
        <f t="shared" si="122"/>
        <v>0</v>
      </c>
      <c r="AE106" s="106">
        <f t="shared" si="136"/>
        <v>0</v>
      </c>
      <c r="AF106" s="106">
        <f t="shared" si="136"/>
        <v>0</v>
      </c>
      <c r="AG106" s="106">
        <f t="shared" si="137"/>
        <v>0</v>
      </c>
      <c r="AH106" s="106">
        <f t="shared" si="137"/>
        <v>0</v>
      </c>
      <c r="AI106" s="106">
        <f t="shared" si="123"/>
        <v>0</v>
      </c>
      <c r="AJ106" s="106">
        <f t="shared" si="123"/>
        <v>0</v>
      </c>
      <c r="AK106" s="106">
        <f t="shared" si="123"/>
        <v>0</v>
      </c>
      <c r="AL106" s="106">
        <f t="shared" si="138"/>
        <v>0</v>
      </c>
      <c r="AM106" s="106">
        <f t="shared" si="139"/>
        <v>0</v>
      </c>
      <c r="AN106" s="106">
        <f t="shared" si="140"/>
        <v>0</v>
      </c>
      <c r="AO106" s="106">
        <f t="shared" si="141"/>
        <v>0</v>
      </c>
      <c r="AP106" s="106">
        <f t="shared" si="142"/>
        <v>0</v>
      </c>
      <c r="AQ106" s="106">
        <f t="shared" si="142"/>
        <v>0</v>
      </c>
      <c r="AR106" s="106">
        <f t="shared" si="143"/>
        <v>0</v>
      </c>
      <c r="AS106" s="106">
        <f t="shared" si="118"/>
        <v>0</v>
      </c>
      <c r="AT106" s="106">
        <f t="shared" si="118"/>
        <v>0</v>
      </c>
      <c r="AU106" s="106">
        <f t="shared" si="110"/>
        <v>0</v>
      </c>
      <c r="AV106" s="106">
        <f t="shared" si="144"/>
        <v>0</v>
      </c>
      <c r="AW106" s="106">
        <f t="shared" si="145"/>
        <v>0</v>
      </c>
      <c r="AX106" s="106">
        <f t="shared" si="145"/>
        <v>0</v>
      </c>
      <c r="AY106" s="106">
        <f t="shared" si="146"/>
        <v>0</v>
      </c>
      <c r="AZ106" s="106"/>
      <c r="BA106" s="106"/>
      <c r="BB106" s="104">
        <f>SUM(V106:AZ106)</f>
        <v>0</v>
      </c>
      <c r="BC106" s="106">
        <f>+BB106/31</f>
        <v>0</v>
      </c>
      <c r="BD106" s="106">
        <f>MAX(V106:AZ106)</f>
        <v>0</v>
      </c>
      <c r="BE106" s="106"/>
      <c r="BF106" s="110"/>
      <c r="BO106" s="111"/>
      <c r="EM106" s="120"/>
      <c r="FH106" s="61"/>
      <c r="FI106" s="61"/>
      <c r="FJ106" s="61"/>
      <c r="FK106" s="61"/>
      <c r="FL106" s="61"/>
      <c r="FM106" s="61"/>
      <c r="FN106" s="61"/>
      <c r="FO106" s="61"/>
      <c r="FP106" s="61"/>
      <c r="FQ106" s="61"/>
      <c r="FR106" s="217"/>
      <c r="FS106" s="61"/>
      <c r="FT106" s="61"/>
      <c r="FU106" s="61"/>
      <c r="FV106" s="61"/>
      <c r="FW106" s="61"/>
      <c r="FX106" s="61"/>
      <c r="FY106" s="61"/>
      <c r="FZ106" s="61"/>
      <c r="GA106" s="61"/>
      <c r="GB106" s="61"/>
      <c r="GC106" s="61"/>
      <c r="GD106" s="61"/>
      <c r="GE106" s="61"/>
      <c r="GF106" s="61"/>
      <c r="GG106" s="61"/>
      <c r="GH106" s="61"/>
      <c r="GI106" s="61"/>
      <c r="GJ106" s="61"/>
      <c r="GK106" s="61"/>
      <c r="GL106" s="61"/>
      <c r="GM106" s="61"/>
      <c r="GN106" s="61"/>
      <c r="GO106" s="61"/>
      <c r="GP106" s="61"/>
      <c r="GQ106" s="61"/>
      <c r="GR106" s="61"/>
      <c r="GS106" s="61"/>
      <c r="GT106" s="61"/>
      <c r="GU106" s="61"/>
      <c r="GV106" s="61"/>
      <c r="GW106" s="61"/>
      <c r="GX106" s="61"/>
      <c r="GY106" s="61"/>
      <c r="GZ106" s="61"/>
      <c r="HA106" s="61"/>
      <c r="HB106" s="61"/>
      <c r="HC106" s="61"/>
      <c r="HD106" s="61"/>
      <c r="HP106" s="103">
        <f t="shared" si="147"/>
        <v>0</v>
      </c>
      <c r="HQ106" s="110"/>
    </row>
    <row r="107" spans="1:225" s="108" customFormat="1" ht="15.75">
      <c r="B107" s="109"/>
      <c r="D107" s="26"/>
      <c r="H107" s="102"/>
      <c r="K107" s="109"/>
      <c r="M107" s="54"/>
      <c r="Q107" s="110"/>
      <c r="R107" s="110"/>
      <c r="S107" s="110"/>
      <c r="T107" s="106"/>
      <c r="U107" s="106"/>
      <c r="V107" s="105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10"/>
      <c r="BO107" s="111"/>
      <c r="EM107" s="120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212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P107" s="103"/>
      <c r="HQ107" s="110"/>
    </row>
    <row r="108" spans="1:225" s="120" customFormat="1" ht="15.75">
      <c r="A108" s="120" t="s">
        <v>209</v>
      </c>
      <c r="B108" s="121" t="s">
        <v>209</v>
      </c>
      <c r="D108" s="93"/>
      <c r="E108" s="120" t="s">
        <v>210</v>
      </c>
      <c r="F108" s="120" t="s">
        <v>211</v>
      </c>
      <c r="G108" s="120" t="s">
        <v>179</v>
      </c>
      <c r="H108" s="122">
        <v>36336</v>
      </c>
      <c r="I108" s="120" t="s">
        <v>111</v>
      </c>
      <c r="J108" s="120" t="s">
        <v>122</v>
      </c>
      <c r="K108" s="121"/>
      <c r="L108" s="120" t="s">
        <v>113</v>
      </c>
      <c r="M108" s="54"/>
      <c r="N108" s="120" t="str">
        <f t="shared" si="95"/>
        <v>STOIW</v>
      </c>
      <c r="O108" s="120" t="str">
        <f t="shared" si="96"/>
        <v>STOIWBase</v>
      </c>
      <c r="Q108" s="123">
        <f t="shared" si="120"/>
        <v>0</v>
      </c>
      <c r="R108" s="123">
        <f t="shared" si="113"/>
        <v>0</v>
      </c>
      <c r="S108" s="123"/>
      <c r="T108" s="124" t="s">
        <v>212</v>
      </c>
      <c r="U108" s="124"/>
      <c r="V108" s="125">
        <v>0</v>
      </c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4"/>
      <c r="BB108" s="124">
        <f>SUM(V108:AZ108)</f>
        <v>0</v>
      </c>
      <c r="BC108" s="124">
        <f>+BB108/31</f>
        <v>0</v>
      </c>
      <c r="BD108" s="124">
        <f>MAX(V108:AX108)</f>
        <v>0</v>
      </c>
      <c r="BE108" s="124"/>
      <c r="BF108" s="123"/>
      <c r="BO108" s="126"/>
      <c r="EM108" s="61"/>
      <c r="FH108" s="61"/>
      <c r="FI108" s="61"/>
      <c r="FJ108" s="61"/>
      <c r="FK108" s="61"/>
      <c r="FL108" s="61"/>
      <c r="FM108" s="61"/>
      <c r="FN108" s="61"/>
      <c r="FO108" s="61"/>
      <c r="FP108" s="61"/>
      <c r="FQ108" s="61"/>
      <c r="FR108" s="217"/>
      <c r="FS108" s="61"/>
      <c r="FT108" s="61"/>
      <c r="FU108" s="61"/>
      <c r="FV108" s="61"/>
      <c r="FW108" s="61"/>
      <c r="FX108" s="61"/>
      <c r="FY108" s="61"/>
      <c r="FZ108" s="61"/>
      <c r="GA108" s="61"/>
      <c r="GB108" s="61"/>
      <c r="GC108" s="61"/>
      <c r="GD108" s="61"/>
      <c r="GE108" s="61"/>
      <c r="GF108" s="61"/>
      <c r="GG108" s="61"/>
      <c r="GH108" s="61"/>
      <c r="GI108" s="61"/>
      <c r="GJ108" s="61"/>
      <c r="GK108" s="61"/>
      <c r="GL108" s="61"/>
      <c r="GM108" s="61"/>
      <c r="GN108" s="61"/>
      <c r="GO108" s="61"/>
      <c r="GP108" s="61"/>
      <c r="GQ108" s="61"/>
      <c r="GR108" s="61"/>
      <c r="GS108" s="61"/>
      <c r="GT108" s="61"/>
      <c r="GU108" s="61"/>
      <c r="GV108" s="61"/>
      <c r="GW108" s="61"/>
      <c r="GX108" s="61"/>
      <c r="GY108" s="61"/>
      <c r="GZ108" s="61"/>
      <c r="HA108" s="61"/>
      <c r="HB108" s="61"/>
      <c r="HC108" s="61"/>
      <c r="HD108" s="61"/>
      <c r="HP108" s="127">
        <f>SUM(BG108:HO108)-V108</f>
        <v>0</v>
      </c>
      <c r="HQ108" s="123"/>
    </row>
    <row r="109" spans="1:225" s="61" customFormat="1" ht="15.75">
      <c r="A109" s="61" t="s">
        <v>209</v>
      </c>
      <c r="B109" s="62" t="s">
        <v>209</v>
      </c>
      <c r="D109" s="14"/>
      <c r="E109" s="61" t="s">
        <v>210</v>
      </c>
      <c r="F109" s="61" t="s">
        <v>211</v>
      </c>
      <c r="G109" s="61" t="s">
        <v>172</v>
      </c>
      <c r="H109" s="64">
        <v>36336</v>
      </c>
      <c r="I109" s="61" t="s">
        <v>111</v>
      </c>
      <c r="J109" s="61" t="s">
        <v>122</v>
      </c>
      <c r="K109" s="62"/>
      <c r="L109" s="61" t="s">
        <v>113</v>
      </c>
      <c r="N109" s="61" t="str">
        <f t="shared" si="95"/>
        <v>STOIW</v>
      </c>
      <c r="O109" s="61" t="str">
        <f t="shared" si="96"/>
        <v>STOIWBase</v>
      </c>
      <c r="Q109" s="23">
        <f t="shared" si="120"/>
        <v>0</v>
      </c>
      <c r="R109" s="23">
        <f t="shared" si="113"/>
        <v>0</v>
      </c>
      <c r="S109" s="23"/>
      <c r="T109" s="67">
        <v>37147</v>
      </c>
      <c r="U109" s="67"/>
      <c r="V109" s="68">
        <v>0</v>
      </c>
      <c r="W109" s="67">
        <f t="shared" ref="W109:AX109" si="148">V109</f>
        <v>0</v>
      </c>
      <c r="X109" s="67">
        <f t="shared" si="148"/>
        <v>0</v>
      </c>
      <c r="Y109" s="67">
        <f t="shared" si="148"/>
        <v>0</v>
      </c>
      <c r="Z109" s="67">
        <f t="shared" si="148"/>
        <v>0</v>
      </c>
      <c r="AA109" s="67">
        <f t="shared" si="148"/>
        <v>0</v>
      </c>
      <c r="AB109" s="67">
        <f t="shared" si="148"/>
        <v>0</v>
      </c>
      <c r="AC109" s="67">
        <f t="shared" si="148"/>
        <v>0</v>
      </c>
      <c r="AD109" s="67">
        <f t="shared" si="148"/>
        <v>0</v>
      </c>
      <c r="AE109" s="67">
        <f t="shared" si="148"/>
        <v>0</v>
      </c>
      <c r="AF109" s="67">
        <f t="shared" si="148"/>
        <v>0</v>
      </c>
      <c r="AG109" s="67">
        <f t="shared" si="148"/>
        <v>0</v>
      </c>
      <c r="AH109" s="67">
        <f t="shared" si="148"/>
        <v>0</v>
      </c>
      <c r="AI109" s="67">
        <f t="shared" si="148"/>
        <v>0</v>
      </c>
      <c r="AJ109" s="67">
        <f t="shared" si="148"/>
        <v>0</v>
      </c>
      <c r="AK109" s="67">
        <f t="shared" si="148"/>
        <v>0</v>
      </c>
      <c r="AL109" s="67">
        <f t="shared" si="148"/>
        <v>0</v>
      </c>
      <c r="AM109" s="67">
        <f t="shared" si="148"/>
        <v>0</v>
      </c>
      <c r="AN109" s="67">
        <f t="shared" si="148"/>
        <v>0</v>
      </c>
      <c r="AO109" s="67">
        <f t="shared" si="148"/>
        <v>0</v>
      </c>
      <c r="AP109" s="67">
        <f t="shared" si="148"/>
        <v>0</v>
      </c>
      <c r="AQ109" s="67">
        <f t="shared" si="148"/>
        <v>0</v>
      </c>
      <c r="AR109" s="67">
        <f t="shared" si="148"/>
        <v>0</v>
      </c>
      <c r="AS109" s="67">
        <f t="shared" si="148"/>
        <v>0</v>
      </c>
      <c r="AT109" s="67">
        <f t="shared" si="148"/>
        <v>0</v>
      </c>
      <c r="AU109" s="67">
        <f t="shared" si="148"/>
        <v>0</v>
      </c>
      <c r="AV109" s="67">
        <f t="shared" si="148"/>
        <v>0</v>
      </c>
      <c r="AW109" s="67">
        <f t="shared" si="148"/>
        <v>0</v>
      </c>
      <c r="AX109" s="67">
        <f t="shared" si="148"/>
        <v>0</v>
      </c>
      <c r="AY109" s="67">
        <f>AX109</f>
        <v>0</v>
      </c>
      <c r="AZ109" s="67"/>
      <c r="BA109" s="67"/>
      <c r="BB109" s="67">
        <f>SUM(V109:AZ109)</f>
        <v>0</v>
      </c>
      <c r="BC109" s="67">
        <f>+BB109/31</f>
        <v>0</v>
      </c>
      <c r="BD109" s="67">
        <f>MAX(V109:AX109)</f>
        <v>0</v>
      </c>
      <c r="BE109" s="67"/>
      <c r="BF109" s="23"/>
      <c r="BK109" s="61">
        <v>11777</v>
      </c>
      <c r="BO109" s="69" t="s">
        <v>190</v>
      </c>
      <c r="BQ109" s="61" t="s">
        <v>213</v>
      </c>
      <c r="BS109" s="61" t="s">
        <v>214</v>
      </c>
      <c r="BU109" s="61" t="s">
        <v>215</v>
      </c>
      <c r="BW109" s="61" t="s">
        <v>191</v>
      </c>
      <c r="CG109" s="61" t="s">
        <v>152</v>
      </c>
      <c r="CK109" s="61" t="s">
        <v>153</v>
      </c>
      <c r="DI109" s="61" t="s">
        <v>153</v>
      </c>
      <c r="DK109" s="61" t="s">
        <v>153</v>
      </c>
      <c r="DM109" s="61" t="s">
        <v>153</v>
      </c>
      <c r="DO109" s="61" t="s">
        <v>153</v>
      </c>
      <c r="DQ109" s="61" t="s">
        <v>153</v>
      </c>
      <c r="DS109" s="61" t="s">
        <v>153</v>
      </c>
      <c r="DU109" s="61" t="s">
        <v>153</v>
      </c>
      <c r="DW109" s="61" t="s">
        <v>153</v>
      </c>
      <c r="DX109" s="61">
        <v>2554</v>
      </c>
      <c r="DY109" s="61" t="s">
        <v>153</v>
      </c>
      <c r="EA109" s="61" t="s">
        <v>153</v>
      </c>
      <c r="EC109" s="61" t="s">
        <v>153</v>
      </c>
      <c r="EE109" s="61" t="s">
        <v>153</v>
      </c>
      <c r="EF109" s="61">
        <v>885</v>
      </c>
      <c r="EG109" s="61" t="s">
        <v>153</v>
      </c>
      <c r="EH109" s="61">
        <v>2329</v>
      </c>
      <c r="EI109" s="61" t="s">
        <v>153</v>
      </c>
      <c r="EJ109" s="61">
        <v>763</v>
      </c>
      <c r="EK109" s="61" t="s">
        <v>153</v>
      </c>
      <c r="EN109" s="61">
        <v>6368</v>
      </c>
      <c r="EO109" s="61" t="s">
        <v>395</v>
      </c>
      <c r="EP109" s="61">
        <v>7733</v>
      </c>
      <c r="EQ109" s="61" t="s">
        <v>394</v>
      </c>
      <c r="ES109" s="61" t="s">
        <v>152</v>
      </c>
      <c r="ET109" s="61">
        <v>0</v>
      </c>
      <c r="EU109" s="61" t="s">
        <v>153</v>
      </c>
      <c r="EW109" s="61" t="s">
        <v>153</v>
      </c>
      <c r="EY109" s="61" t="s">
        <v>153</v>
      </c>
      <c r="FA109" s="61" t="s">
        <v>153</v>
      </c>
      <c r="FC109" s="61" t="s">
        <v>153</v>
      </c>
      <c r="FE109" s="61" t="s">
        <v>153</v>
      </c>
      <c r="FG109" s="61" t="s">
        <v>153</v>
      </c>
      <c r="FP109" s="61">
        <v>1731</v>
      </c>
      <c r="FR109" s="217"/>
      <c r="HE109" s="61" t="s">
        <v>153</v>
      </c>
      <c r="HO109" s="61" t="s">
        <v>152</v>
      </c>
      <c r="HP109" s="128">
        <f>SUM(BG109:HO109)-V109</f>
        <v>34140</v>
      </c>
      <c r="HQ109" s="23">
        <f>SUM(BG109:HO109)</f>
        <v>34140</v>
      </c>
    </row>
    <row r="110" spans="1:225" s="61" customFormat="1" ht="15.75">
      <c r="B110" s="62"/>
      <c r="D110" s="14"/>
      <c r="K110" s="62"/>
      <c r="Q110" s="23"/>
      <c r="R110" s="23"/>
      <c r="S110" s="23"/>
      <c r="T110" s="67"/>
      <c r="U110" s="67"/>
      <c r="V110" s="68"/>
      <c r="BE110" s="67"/>
      <c r="BF110" s="23"/>
      <c r="BO110" s="69"/>
      <c r="FR110" s="217"/>
      <c r="GH110" s="93"/>
    </row>
    <row r="111" spans="1:225" s="14" customFormat="1" ht="15.75">
      <c r="B111" s="13"/>
      <c r="F111" s="15" t="s">
        <v>217</v>
      </c>
      <c r="K111" s="13"/>
      <c r="M111" s="13" t="s">
        <v>218</v>
      </c>
      <c r="N111" s="13"/>
      <c r="O111" s="13"/>
      <c r="P111" s="13"/>
      <c r="Q111" s="15">
        <f>SUM(Q8:Q109)</f>
        <v>0</v>
      </c>
      <c r="R111" s="15">
        <f>SUM(R8:R109)</f>
        <v>0</v>
      </c>
      <c r="S111" s="15">
        <f>SUM(S8:S109)</f>
        <v>0</v>
      </c>
      <c r="T111" s="16"/>
      <c r="U111" s="16"/>
      <c r="V111" s="17">
        <f t="shared" ref="V111:AX111" si="149">SUM(V8:V109)</f>
        <v>0</v>
      </c>
      <c r="W111" s="16">
        <f t="shared" si="149"/>
        <v>0</v>
      </c>
      <c r="X111" s="16">
        <f t="shared" si="149"/>
        <v>0</v>
      </c>
      <c r="Y111" s="16">
        <f t="shared" si="149"/>
        <v>0</v>
      </c>
      <c r="Z111" s="16">
        <f t="shared" si="149"/>
        <v>0</v>
      </c>
      <c r="AA111" s="16">
        <f t="shared" si="149"/>
        <v>0</v>
      </c>
      <c r="AB111" s="16">
        <f t="shared" si="149"/>
        <v>0</v>
      </c>
      <c r="AC111" s="16">
        <f t="shared" si="149"/>
        <v>0</v>
      </c>
      <c r="AD111" s="16">
        <f t="shared" si="149"/>
        <v>0</v>
      </c>
      <c r="AE111" s="16">
        <f t="shared" si="149"/>
        <v>0</v>
      </c>
      <c r="AF111" s="16">
        <f t="shared" si="149"/>
        <v>0</v>
      </c>
      <c r="AG111" s="16">
        <f t="shared" si="149"/>
        <v>0</v>
      </c>
      <c r="AH111" s="16">
        <f t="shared" si="149"/>
        <v>0</v>
      </c>
      <c r="AI111" s="16">
        <f t="shared" si="149"/>
        <v>0</v>
      </c>
      <c r="AJ111" s="16">
        <f t="shared" si="149"/>
        <v>0</v>
      </c>
      <c r="AK111" s="16">
        <f t="shared" si="149"/>
        <v>0</v>
      </c>
      <c r="AL111" s="16">
        <f t="shared" si="149"/>
        <v>0</v>
      </c>
      <c r="AM111" s="16">
        <f t="shared" si="149"/>
        <v>0</v>
      </c>
      <c r="AN111" s="16">
        <f t="shared" si="149"/>
        <v>0</v>
      </c>
      <c r="AO111" s="16">
        <f t="shared" si="149"/>
        <v>0</v>
      </c>
      <c r="AP111" s="16">
        <f t="shared" si="149"/>
        <v>0</v>
      </c>
      <c r="AQ111" s="16">
        <f t="shared" si="149"/>
        <v>0</v>
      </c>
      <c r="AR111" s="16">
        <f t="shared" si="149"/>
        <v>0</v>
      </c>
      <c r="AS111" s="16">
        <f t="shared" si="149"/>
        <v>0</v>
      </c>
      <c r="AT111" s="16">
        <f t="shared" si="149"/>
        <v>0</v>
      </c>
      <c r="AU111" s="16">
        <f t="shared" si="149"/>
        <v>0</v>
      </c>
      <c r="AV111" s="16">
        <f t="shared" si="149"/>
        <v>0</v>
      </c>
      <c r="AW111" s="16">
        <f t="shared" si="149"/>
        <v>0</v>
      </c>
      <c r="AX111" s="16">
        <f t="shared" si="149"/>
        <v>0</v>
      </c>
      <c r="AY111" s="16">
        <f>SUM(AY8:AY109)</f>
        <v>0</v>
      </c>
      <c r="AZ111" s="16"/>
      <c r="BA111" s="16"/>
      <c r="BB111" s="16">
        <f>SUM(BB8:BB109)</f>
        <v>0</v>
      </c>
      <c r="BC111" s="16">
        <f>BB111/31</f>
        <v>0</v>
      </c>
      <c r="BD111" s="16">
        <f>MAX(V111:AX111)</f>
        <v>0</v>
      </c>
      <c r="BE111" s="16"/>
      <c r="BF111" s="15"/>
      <c r="BG111" s="14">
        <f>BG3-SUM(BG8:BG109)</f>
        <v>0</v>
      </c>
      <c r="BH111" s="14">
        <f>BH3-SUM(BH8:BH109)</f>
        <v>0</v>
      </c>
      <c r="BI111" s="14">
        <f>BI3-SUM(BI8:BI109)</f>
        <v>0</v>
      </c>
      <c r="BK111" s="14">
        <f>BK3-SUM(BK8:BK109)</f>
        <v>27845</v>
      </c>
      <c r="BM111" s="14">
        <f>BM3-SUM(BM8:BM109)</f>
        <v>103</v>
      </c>
      <c r="BN111" s="14">
        <f>BN3-SUM(BN8:BN109)</f>
        <v>0</v>
      </c>
      <c r="BO111" s="20"/>
      <c r="BP111" s="14">
        <f>BP3-SUM(BP8:BP109)</f>
        <v>0</v>
      </c>
      <c r="BR111" s="14">
        <f>BR3-SUM(BR8:BR109)</f>
        <v>0</v>
      </c>
      <c r="BT111" s="14">
        <f>BT3-SUM(BT8:BT109)</f>
        <v>0</v>
      </c>
      <c r="BV111" s="14">
        <f>BV3-SUM(BV8:BV109)</f>
        <v>0</v>
      </c>
      <c r="BX111" s="14">
        <f>BX3-SUM(BX8:BX109)</f>
        <v>0</v>
      </c>
      <c r="BZ111" s="14">
        <f>BZ3-SUM(BZ8:BZ109)</f>
        <v>0</v>
      </c>
      <c r="CB111" s="14">
        <f>CB3-SUM(CB8:CB109)</f>
        <v>0</v>
      </c>
      <c r="CD111" s="14">
        <f>CD3-SUM(CD8:CD109)</f>
        <v>0</v>
      </c>
      <c r="CF111" s="14">
        <f>CF3-SUM(CF8:CF109)</f>
        <v>0</v>
      </c>
      <c r="CH111" s="14">
        <f>CH3-SUM(CH8:CH109)</f>
        <v>0</v>
      </c>
      <c r="CJ111" s="14">
        <f>CJ3-SUM(CJ8:CJ109)</f>
        <v>0</v>
      </c>
      <c r="CL111" s="14">
        <f>CL3-SUM(CL8:CL109)</f>
        <v>40000</v>
      </c>
      <c r="CN111" s="14">
        <f>CN3-SUM(CN8:CN109)</f>
        <v>0</v>
      </c>
      <c r="CP111" s="14">
        <f>CP3-SUM(CP8:CP109)</f>
        <v>0</v>
      </c>
      <c r="CR111" s="14">
        <f>CR3-SUM(CR8:CR109)</f>
        <v>0</v>
      </c>
      <c r="CT111" s="14">
        <f>CT3-SUM(CT8:CT109)</f>
        <v>0</v>
      </c>
      <c r="CV111" s="14">
        <f>CV3-SUM(CV8:CV109)</f>
        <v>0</v>
      </c>
      <c r="CX111" s="14">
        <f>CX3-SUM(CX8:CX109)</f>
        <v>0</v>
      </c>
      <c r="CZ111" s="14">
        <f>CZ3-SUM(CZ8:CZ109)</f>
        <v>0</v>
      </c>
      <c r="DB111" s="14">
        <f>DB3-SUM(DB8:DB109)</f>
        <v>0</v>
      </c>
      <c r="DD111" s="14">
        <f>DD3-SUM(DD8:DD109)</f>
        <v>0</v>
      </c>
      <c r="DF111" s="14">
        <f>DF3-SUM(DF8:DF109)</f>
        <v>0</v>
      </c>
      <c r="DH111" s="14">
        <f>DH3-SUM(DH8:DH109)</f>
        <v>0</v>
      </c>
      <c r="DJ111" s="14">
        <f>DJ3-SUM(DJ8:DJ109)</f>
        <v>0</v>
      </c>
      <c r="DL111" s="14">
        <f>DL3-SUM(DL8:DL109)</f>
        <v>0</v>
      </c>
      <c r="DN111" s="14">
        <f>DN3-SUM(DN8:DN109)</f>
        <v>0</v>
      </c>
      <c r="DP111" s="14">
        <f>DP3-SUM(DP8:DP109)</f>
        <v>0</v>
      </c>
      <c r="DR111" s="14">
        <f>DR3-SUM(DR8:DR109)</f>
        <v>0</v>
      </c>
      <c r="DT111" s="14">
        <f>DT3-SUM(DT8:DT109)</f>
        <v>0</v>
      </c>
      <c r="DV111" s="14">
        <f>DV3-SUM(DV8:DV109)</f>
        <v>-5</v>
      </c>
      <c r="DX111" s="14">
        <f>DX3-SUM(DX8:DX109)</f>
        <v>-83</v>
      </c>
      <c r="DZ111" s="14">
        <f>DZ3-SUM(DZ8:DZ109)</f>
        <v>42</v>
      </c>
      <c r="EB111" s="14">
        <f>EB3-SUM(EB8:EB109)</f>
        <v>46</v>
      </c>
      <c r="ED111" s="14">
        <f>ED3-SUM(ED8:ED109)</f>
        <v>0</v>
      </c>
      <c r="EF111" s="14">
        <f>EF3-SUM(EF8:EF109)</f>
        <v>0</v>
      </c>
      <c r="EH111" s="14">
        <f>EH3-SUM(EH8:EH109)</f>
        <v>0</v>
      </c>
      <c r="EJ111" s="14">
        <f>EJ3-SUM(EJ8:EJ109)</f>
        <v>0</v>
      </c>
      <c r="EL111" s="14">
        <f>EL3-SUM(EL8:EL109)</f>
        <v>5000</v>
      </c>
      <c r="EN111" s="14">
        <f>EN3-SUM(EN8:EN109)</f>
        <v>0</v>
      </c>
      <c r="EP111" s="14">
        <f>EP3-SUM(EP8:EP109)</f>
        <v>0</v>
      </c>
      <c r="ER111" s="14">
        <f>ER3-SUM(ER8:ER109)</f>
        <v>0</v>
      </c>
      <c r="ET111" s="14">
        <f>ET3-SUM(ET8:ET109)</f>
        <v>500</v>
      </c>
      <c r="EV111" s="14">
        <f>EV3-SUM(EV8:EV109)</f>
        <v>0</v>
      </c>
      <c r="EX111" s="14">
        <f>EX3-SUM(EX8:EX109)</f>
        <v>0</v>
      </c>
      <c r="EZ111" s="14">
        <f>EZ3-SUM(EZ8:EZ109)</f>
        <v>0</v>
      </c>
      <c r="FB111" s="14">
        <f>FB3-SUM(FB8:FB109)</f>
        <v>0</v>
      </c>
      <c r="FD111" s="14">
        <f>FD3-SUM(FD8:FD109)</f>
        <v>0</v>
      </c>
      <c r="FF111" s="14">
        <f>FF3-SUM(FF8:FF109)</f>
        <v>0</v>
      </c>
      <c r="FH111" s="14">
        <f>FH3-SUM(FH8:FH109)</f>
        <v>3992</v>
      </c>
      <c r="FI111" s="61"/>
      <c r="FJ111" s="14">
        <f>FJ3-SUM(FJ8:FJ109)</f>
        <v>8</v>
      </c>
      <c r="FK111" s="61"/>
      <c r="FL111" s="14">
        <f>FL3-SUM(FL8:FL109)</f>
        <v>3988</v>
      </c>
      <c r="FN111" s="14">
        <f>FN3-SUM(FN8:FN109)</f>
        <v>12</v>
      </c>
      <c r="FO111" s="61"/>
      <c r="FP111" s="14">
        <f>FP3-SUM(FP8:FP109)</f>
        <v>0</v>
      </c>
      <c r="FQ111" s="61"/>
      <c r="FR111" s="212">
        <f>FR3-SUM(FR8:FR109)</f>
        <v>0</v>
      </c>
      <c r="FS111" s="61"/>
      <c r="FT111" s="14">
        <f>FT3-SUM(FT8:FT109)</f>
        <v>5</v>
      </c>
      <c r="FU111" s="61"/>
      <c r="FV111" s="14">
        <f>FV3-SUM(FV8:FV109)</f>
        <v>27</v>
      </c>
      <c r="FW111" s="61"/>
      <c r="FX111" s="14">
        <f>FX3-SUM(FX8:FX109)</f>
        <v>3</v>
      </c>
      <c r="FY111" s="61"/>
      <c r="FZ111" s="14">
        <f>FZ3-SUM(FZ8:FZ109)</f>
        <v>17</v>
      </c>
      <c r="GB111" s="14">
        <f>GB3-SUM(GB8:GB109)</f>
        <v>0</v>
      </c>
      <c r="GD111" s="14">
        <f>GD3-SUM(GD8:GD109)</f>
        <v>0</v>
      </c>
      <c r="GF111" s="14">
        <f>GF3-SUM(GF8:GF109)</f>
        <v>20000</v>
      </c>
      <c r="GH111" s="14">
        <f>GH3-SUM(GH8:GH109)</f>
        <v>887</v>
      </c>
      <c r="GI111" s="61"/>
      <c r="GJ111" s="14">
        <f>GJ3-SUM(GJ8:GJ109)</f>
        <v>15138</v>
      </c>
      <c r="GK111" s="61"/>
      <c r="GL111" s="14">
        <f>GL3-SUM(GL8:GL109)</f>
        <v>2273</v>
      </c>
      <c r="GM111" s="61"/>
      <c r="GN111" s="14">
        <f>GN3-SUM(GN8:GN109)</f>
        <v>1763</v>
      </c>
      <c r="GO111" s="61"/>
      <c r="GP111" s="14">
        <f>GP3-SUM(GP8:GP109)</f>
        <v>14119</v>
      </c>
      <c r="GQ111" s="61"/>
      <c r="GR111" s="14">
        <f>GR3-SUM(GR8:GR109)</f>
        <v>2405</v>
      </c>
      <c r="GS111" s="61"/>
      <c r="GT111" s="14">
        <f>GT3-SUM(GT8:GT109)</f>
        <v>2573</v>
      </c>
      <c r="GU111" s="61"/>
      <c r="GV111" s="14">
        <f>GV3-SUM(GV8:GV109)</f>
        <v>3128</v>
      </c>
      <c r="GW111" s="61"/>
      <c r="GX111" s="14">
        <f>GX3-SUM(GX8:GX109)</f>
        <v>7377</v>
      </c>
      <c r="GY111" s="61"/>
      <c r="GZ111" s="14">
        <f>GZ3-SUM(GZ8:GZ109)</f>
        <v>2977</v>
      </c>
      <c r="HA111" s="61"/>
      <c r="HB111" s="14">
        <f>HB3-SUM(HB8:HB109)</f>
        <v>1654</v>
      </c>
      <c r="HC111" s="61"/>
      <c r="HD111" s="14">
        <f>HD3-SUM(HD8:HD109)</f>
        <v>33</v>
      </c>
      <c r="HF111" s="14">
        <f>HF3-SUM(HF8:HF109)</f>
        <v>24</v>
      </c>
      <c r="HH111" s="14">
        <f>HH3-SUM(HH8:HH109)</f>
        <v>8527</v>
      </c>
      <c r="HJ111" s="14">
        <f>HJ3-SUM(HJ8:HJ109)</f>
        <v>3000</v>
      </c>
      <c r="HL111" s="14">
        <f>HL3-SUM(HL8:HL109)</f>
        <v>3473</v>
      </c>
      <c r="HN111" s="14">
        <f>HN3-SUM(HN8:HN109)</f>
        <v>21</v>
      </c>
    </row>
    <row r="112" spans="1:225" s="61" customFormat="1" ht="15.75">
      <c r="B112" s="62"/>
      <c r="D112" s="14"/>
      <c r="F112" s="15" t="s">
        <v>219</v>
      </c>
      <c r="K112" s="62"/>
      <c r="M112" s="13"/>
      <c r="N112" s="13"/>
      <c r="O112" s="13"/>
      <c r="P112" s="62"/>
      <c r="Q112" s="15"/>
      <c r="R112" s="15"/>
      <c r="S112" s="15"/>
      <c r="T112" s="16"/>
      <c r="U112" s="16"/>
      <c r="V112" s="17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23"/>
      <c r="BG112" s="61">
        <f>+BG3-BG111</f>
        <v>0</v>
      </c>
      <c r="BH112" s="61">
        <f>+BH3-BH111</f>
        <v>0</v>
      </c>
      <c r="BI112" s="61">
        <f>+BI3-BI111</f>
        <v>600</v>
      </c>
      <c r="BK112" s="61">
        <f>+BK3-BK111</f>
        <v>22155</v>
      </c>
      <c r="BM112" s="61">
        <f>+BM3-BM111</f>
        <v>33</v>
      </c>
      <c r="BN112" s="61">
        <f>+BN3-BN111</f>
        <v>4000</v>
      </c>
      <c r="BO112" s="69"/>
      <c r="BP112" s="61">
        <f>+BP3-BP111</f>
        <v>8000</v>
      </c>
      <c r="BR112" s="61">
        <f>+BR3-BR111</f>
        <v>1000</v>
      </c>
      <c r="BT112" s="61">
        <f>+BT3-BT111</f>
        <v>2000</v>
      </c>
      <c r="BV112" s="61">
        <f>+BV3-BV111</f>
        <v>2000</v>
      </c>
      <c r="BX112" s="61">
        <f>+BX3-BX111</f>
        <v>303</v>
      </c>
      <c r="BZ112" s="61">
        <f>+BZ3-BZ111</f>
        <v>16</v>
      </c>
      <c r="CB112" s="61">
        <f>+CB3-CB111</f>
        <v>87</v>
      </c>
      <c r="CD112" s="61">
        <f>+CD3-CD111</f>
        <v>18</v>
      </c>
      <c r="CF112" s="61">
        <f>+CF3-CF111</f>
        <v>92</v>
      </c>
      <c r="CH112" s="61">
        <f>+CH3-CH111</f>
        <v>911</v>
      </c>
      <c r="CJ112" s="61">
        <f>+CJ3-CJ111</f>
        <v>1</v>
      </c>
      <c r="CL112" s="61">
        <f>+CL3-CL111</f>
        <v>0</v>
      </c>
      <c r="CN112" s="61">
        <f>+CN3-CN111</f>
        <v>51</v>
      </c>
      <c r="CP112" s="61">
        <f>+CP3-CP111</f>
        <v>1</v>
      </c>
      <c r="CR112" s="61">
        <f>+CR3-CR111</f>
        <v>1</v>
      </c>
      <c r="CT112" s="61">
        <f>+CT3-CT111</f>
        <v>8</v>
      </c>
      <c r="CV112" s="61">
        <f>+CV3-CV111</f>
        <v>2</v>
      </c>
      <c r="CX112" s="61">
        <f>+CX3-CX111</f>
        <v>34</v>
      </c>
      <c r="CZ112" s="61">
        <f>+CZ3-CZ111</f>
        <v>3</v>
      </c>
      <c r="DB112" s="61">
        <f>+DB3-DB111</f>
        <v>23</v>
      </c>
      <c r="DD112" s="61">
        <f>+DD3-DD111</f>
        <v>4</v>
      </c>
      <c r="DF112" s="61">
        <f>+DF3-DF111</f>
        <v>1</v>
      </c>
      <c r="DH112" s="61">
        <f>+DH3-DH111</f>
        <v>2</v>
      </c>
      <c r="DJ112" s="61">
        <f>+DJ3-DJ111</f>
        <v>10</v>
      </c>
      <c r="DL112" s="61">
        <f>+DL3-DL111</f>
        <v>2300</v>
      </c>
      <c r="DN112" s="61">
        <f>+DN3-DN111</f>
        <v>38</v>
      </c>
      <c r="DP112" s="61">
        <f>+DP3-DP111</f>
        <v>13</v>
      </c>
      <c r="DR112" s="61">
        <f>+DR3-DR111</f>
        <v>63</v>
      </c>
      <c r="DT112" s="61">
        <f>+DT3-DT111</f>
        <v>14</v>
      </c>
      <c r="DV112" s="61">
        <f>+DV3-DV111</f>
        <v>45</v>
      </c>
      <c r="DX112" s="61">
        <f>+DX3-DX111</f>
        <v>9401</v>
      </c>
      <c r="DZ112" s="61">
        <f>+DZ3-DZ111</f>
        <v>81</v>
      </c>
      <c r="EB112" s="61">
        <f>+EB3-EB111</f>
        <v>92</v>
      </c>
      <c r="ED112" s="61">
        <f>+ED3-ED111</f>
        <v>4427</v>
      </c>
      <c r="EF112" s="61">
        <f>+EF3-EF111</f>
        <v>900</v>
      </c>
      <c r="EH112" s="61">
        <f>+EH3-EH111</f>
        <v>5329</v>
      </c>
      <c r="EJ112" s="61">
        <f>+EJ3-EJ111</f>
        <v>763</v>
      </c>
      <c r="EL112" s="61">
        <f>+EL3-EL111</f>
        <v>0</v>
      </c>
      <c r="EN112" s="61">
        <f>+EN3-EN111</f>
        <v>20000</v>
      </c>
      <c r="EP112" s="61">
        <f>+EP3-EP111</f>
        <v>19293</v>
      </c>
      <c r="ER112" s="61">
        <f>+ER3-ER111</f>
        <v>34</v>
      </c>
      <c r="ET112" s="61">
        <f>+ET3-ET111</f>
        <v>0</v>
      </c>
      <c r="EV112" s="61">
        <f>+EV3-EV111</f>
        <v>3</v>
      </c>
      <c r="EX112" s="61">
        <f>+EX3-EX111</f>
        <v>1</v>
      </c>
      <c r="EZ112" s="61">
        <f>+EZ3-EZ111</f>
        <v>1</v>
      </c>
      <c r="FB112" s="61">
        <f>+FB3-FB111</f>
        <v>1</v>
      </c>
      <c r="FD112" s="61">
        <f>+FD3-FD111</f>
        <v>1</v>
      </c>
      <c r="FF112" s="61">
        <f>+FF3-FF111</f>
        <v>4</v>
      </c>
      <c r="FH112" s="61">
        <f>+FH3-FH111</f>
        <v>0</v>
      </c>
      <c r="FJ112" s="61">
        <f>+FJ3-FJ111</f>
        <v>0</v>
      </c>
      <c r="FL112" s="61">
        <f>+FL3-FL111</f>
        <v>0</v>
      </c>
      <c r="FN112" s="61">
        <f>+FN3-FN111</f>
        <v>0</v>
      </c>
      <c r="FP112" s="61">
        <f>+FP3-FP111</f>
        <v>4000</v>
      </c>
      <c r="FR112" s="217">
        <f>+FR3-FR111</f>
        <v>0</v>
      </c>
      <c r="FT112" s="61">
        <f>+FT3-FT111</f>
        <v>0</v>
      </c>
      <c r="FV112" s="61">
        <f>+FV3-FV111</f>
        <v>0</v>
      </c>
      <c r="FX112" s="61">
        <f>+FX3-FX111</f>
        <v>0</v>
      </c>
      <c r="FZ112" s="61">
        <f>+FZ3-FZ111</f>
        <v>0</v>
      </c>
      <c r="GB112" s="61">
        <f>+GB3-GB111</f>
        <v>1</v>
      </c>
      <c r="GD112" s="61">
        <f>+GD3-GD111</f>
        <v>1</v>
      </c>
      <c r="GF112" s="61">
        <f>+GF3-GF111</f>
        <v>0</v>
      </c>
      <c r="GH112" s="61">
        <f>+GH3-GH111</f>
        <v>0</v>
      </c>
      <c r="GJ112" s="61">
        <f>+GJ3-GJ111</f>
        <v>0</v>
      </c>
      <c r="GL112" s="61">
        <f>+GL3-GL111</f>
        <v>0</v>
      </c>
      <c r="GN112" s="61">
        <f>+GN3-GN111</f>
        <v>0</v>
      </c>
      <c r="GP112" s="61">
        <f>+GP3-GP111</f>
        <v>0</v>
      </c>
      <c r="GR112" s="61">
        <f>+GR3-GR111</f>
        <v>0</v>
      </c>
      <c r="GT112" s="61">
        <f>+GT3-GT111</f>
        <v>0</v>
      </c>
      <c r="GV112" s="61">
        <f>+GV3-GV111</f>
        <v>0</v>
      </c>
      <c r="GX112" s="61">
        <f>+GX3-GX111</f>
        <v>0</v>
      </c>
      <c r="GZ112" s="61">
        <f>+GZ3-GZ111</f>
        <v>0</v>
      </c>
      <c r="HB112" s="61">
        <f>+HB3-HB111</f>
        <v>0</v>
      </c>
      <c r="HD112" s="61">
        <f>+HD3-HD111</f>
        <v>0</v>
      </c>
      <c r="HF112" s="61">
        <f>+HF3-HF111</f>
        <v>0</v>
      </c>
      <c r="HH112" s="61">
        <f>+HH3-HH111</f>
        <v>0</v>
      </c>
      <c r="HJ112" s="61">
        <f>+HJ3-HJ111</f>
        <v>0</v>
      </c>
      <c r="HL112" s="61">
        <f>+HL3-HL111</f>
        <v>0</v>
      </c>
      <c r="HN112" s="61">
        <f>+HN3-HN111</f>
        <v>0</v>
      </c>
    </row>
    <row r="113" spans="1:225" s="61" customFormat="1" ht="15.75">
      <c r="B113" s="62"/>
      <c r="D113" s="14"/>
      <c r="I113" s="28"/>
      <c r="J113" s="28"/>
      <c r="K113" s="62"/>
      <c r="Q113" s="27"/>
      <c r="R113" s="15"/>
      <c r="S113" s="23"/>
      <c r="T113" s="67"/>
      <c r="U113" s="67"/>
      <c r="V113" s="68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23"/>
      <c r="BO113" s="69"/>
      <c r="EH113" s="93">
        <f>SUM(EF112:EJ112)</f>
        <v>6992</v>
      </c>
      <c r="FR113" s="217"/>
    </row>
    <row r="114" spans="1:225" s="61" customFormat="1" ht="15.75" outlineLevel="1">
      <c r="A114" s="129" t="s">
        <v>220</v>
      </c>
      <c r="B114" s="62"/>
      <c r="D114" s="14"/>
      <c r="G114" s="23"/>
      <c r="K114" s="62"/>
      <c r="Q114" s="23"/>
      <c r="R114" s="23"/>
      <c r="S114" s="23"/>
      <c r="T114" s="67"/>
      <c r="U114" s="67"/>
      <c r="V114" s="68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23"/>
      <c r="BO114" s="69"/>
      <c r="DX114" s="93">
        <f>SUM(DV112:EB112)</f>
        <v>9619</v>
      </c>
      <c r="FR114" s="217"/>
    </row>
    <row r="115" spans="1:225" s="61" customFormat="1" ht="15.75" outlineLevel="1">
      <c r="A115" s="14"/>
      <c r="B115" s="13"/>
      <c r="C115" s="14"/>
      <c r="D115" s="14"/>
      <c r="E115" s="14"/>
      <c r="F115" s="14"/>
      <c r="G115" s="14"/>
      <c r="H115" s="14"/>
      <c r="I115" s="14"/>
      <c r="J115" s="14"/>
      <c r="K115" s="13"/>
      <c r="L115" s="14"/>
      <c r="M115" s="14"/>
      <c r="N115" s="14"/>
      <c r="O115" s="14"/>
      <c r="P115" s="14"/>
      <c r="Q115" s="27" t="s">
        <v>44</v>
      </c>
      <c r="R115" s="230" t="s">
        <v>45</v>
      </c>
      <c r="S115" s="230"/>
      <c r="T115" s="29" t="s">
        <v>46</v>
      </c>
      <c r="U115" s="30"/>
      <c r="V115" s="17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23"/>
      <c r="BO115" s="69"/>
      <c r="FH115" s="133"/>
      <c r="FI115" s="133"/>
      <c r="FJ115" s="133"/>
      <c r="FK115" s="133"/>
      <c r="FL115" s="133"/>
      <c r="FM115" s="133"/>
      <c r="FN115" s="133"/>
      <c r="FO115" s="133"/>
      <c r="FP115" s="133"/>
      <c r="FQ115" s="133"/>
      <c r="FR115" s="228"/>
      <c r="FS115" s="133"/>
      <c r="FT115" s="133"/>
      <c r="FU115" s="133"/>
      <c r="FV115" s="133"/>
      <c r="FW115" s="133"/>
      <c r="FX115" s="133"/>
      <c r="FY115" s="133"/>
      <c r="FZ115" s="133"/>
      <c r="GA115" s="133"/>
      <c r="GB115" s="133"/>
      <c r="GC115" s="133"/>
      <c r="GD115" s="133"/>
      <c r="GE115" s="133"/>
      <c r="GF115" s="133"/>
      <c r="GG115" s="133"/>
      <c r="GH115" s="133"/>
      <c r="GI115" s="133"/>
      <c r="GJ115" s="133"/>
      <c r="GK115" s="133"/>
      <c r="GL115" s="133"/>
      <c r="GM115" s="133"/>
      <c r="GN115" s="133"/>
      <c r="GO115" s="133"/>
      <c r="GP115" s="133"/>
      <c r="GQ115" s="133"/>
      <c r="GR115" s="133"/>
      <c r="GS115" s="133"/>
      <c r="GT115" s="133"/>
      <c r="GU115" s="133"/>
      <c r="GV115" s="133"/>
      <c r="GW115" s="133"/>
      <c r="GX115" s="133"/>
      <c r="GY115" s="133"/>
      <c r="GZ115" s="133"/>
      <c r="HA115" s="133"/>
      <c r="HB115" s="133"/>
      <c r="HC115" s="133"/>
      <c r="HD115" s="133"/>
    </row>
    <row r="116" spans="1:225" s="61" customFormat="1" ht="15.75" outlineLevel="1">
      <c r="A116" s="46" t="s">
        <v>88</v>
      </c>
      <c r="B116" s="47" t="s">
        <v>89</v>
      </c>
      <c r="C116" s="46" t="s">
        <v>90</v>
      </c>
      <c r="D116" s="46"/>
      <c r="E116" s="46" t="s">
        <v>92</v>
      </c>
      <c r="F116" s="46" t="s">
        <v>221</v>
      </c>
      <c r="G116" s="46" t="s">
        <v>93</v>
      </c>
      <c r="H116" s="46" t="s">
        <v>94</v>
      </c>
      <c r="I116" s="46" t="s">
        <v>95</v>
      </c>
      <c r="J116" s="46" t="s">
        <v>96</v>
      </c>
      <c r="K116" s="47" t="s">
        <v>222</v>
      </c>
      <c r="L116" s="46" t="s">
        <v>97</v>
      </c>
      <c r="M116" s="46" t="s">
        <v>177</v>
      </c>
      <c r="N116" s="46"/>
      <c r="O116" s="46"/>
      <c r="P116" s="46"/>
      <c r="Q116" s="46" t="s">
        <v>101</v>
      </c>
      <c r="R116" s="27" t="s">
        <v>352</v>
      </c>
      <c r="S116" s="27" t="s">
        <v>102</v>
      </c>
      <c r="T116" s="47"/>
      <c r="U116" s="130"/>
      <c r="V116" s="131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J116" s="130"/>
      <c r="AK116" s="130"/>
      <c r="AL116" s="130"/>
      <c r="AM116" s="130"/>
      <c r="AN116" s="130"/>
      <c r="AO116" s="130"/>
      <c r="AP116" s="130"/>
      <c r="AQ116" s="130"/>
      <c r="AR116" s="130"/>
      <c r="AS116" s="130"/>
      <c r="AT116" s="130"/>
      <c r="AU116" s="130"/>
      <c r="AV116" s="130"/>
      <c r="AW116" s="130"/>
      <c r="AX116" s="130"/>
      <c r="AY116" s="130"/>
      <c r="AZ116" s="130"/>
      <c r="BA116" s="130"/>
      <c r="BB116" s="130"/>
      <c r="BC116" s="130"/>
      <c r="BD116" s="130"/>
      <c r="BE116" s="130"/>
      <c r="BF116" s="23"/>
      <c r="BO116" s="69"/>
      <c r="FH116" s="133"/>
      <c r="FI116" s="133"/>
      <c r="FJ116" s="133"/>
      <c r="FK116" s="133"/>
      <c r="FL116" s="133"/>
      <c r="FM116" s="133"/>
      <c r="FN116" s="133"/>
      <c r="FO116" s="133"/>
      <c r="FP116" s="133"/>
      <c r="FQ116" s="133"/>
      <c r="FR116" s="228"/>
      <c r="FS116" s="133"/>
      <c r="FT116" s="133"/>
      <c r="FU116" s="133"/>
      <c r="FV116" s="133"/>
      <c r="FW116" s="133"/>
      <c r="FX116" s="133"/>
      <c r="FY116" s="133"/>
      <c r="FZ116" s="133"/>
      <c r="GA116" s="133"/>
      <c r="GB116" s="133"/>
      <c r="GC116" s="133"/>
      <c r="GD116" s="133"/>
      <c r="GE116" s="133"/>
      <c r="GF116" s="133"/>
      <c r="GG116" s="133"/>
      <c r="GH116" s="133"/>
      <c r="GI116" s="133"/>
      <c r="GJ116" s="133"/>
      <c r="GK116" s="133"/>
      <c r="GL116" s="133"/>
      <c r="GM116" s="133"/>
      <c r="GN116" s="133"/>
      <c r="GO116" s="133"/>
      <c r="GP116" s="133"/>
      <c r="GQ116" s="133"/>
      <c r="GR116" s="133"/>
      <c r="GS116" s="133"/>
      <c r="GT116" s="133"/>
      <c r="GU116" s="133"/>
      <c r="GV116" s="133"/>
      <c r="GW116" s="133"/>
      <c r="GX116" s="133"/>
      <c r="GY116" s="133"/>
      <c r="GZ116" s="133"/>
      <c r="HA116" s="133"/>
      <c r="HB116" s="133"/>
      <c r="HC116" s="133"/>
      <c r="HD116" s="133"/>
    </row>
    <row r="117" spans="1:225" s="61" customFormat="1" ht="15.75" outlineLevel="1">
      <c r="A117" s="61" t="s">
        <v>108</v>
      </c>
      <c r="B117" s="62" t="s">
        <v>109</v>
      </c>
      <c r="D117" s="14"/>
      <c r="E117" s="61">
        <v>1</v>
      </c>
      <c r="F117" s="61" t="s">
        <v>223</v>
      </c>
      <c r="G117" s="61" t="s">
        <v>135</v>
      </c>
      <c r="H117" s="98">
        <v>36301</v>
      </c>
      <c r="I117" s="61" t="s">
        <v>224</v>
      </c>
      <c r="J117" s="61" t="s">
        <v>112</v>
      </c>
      <c r="K117" s="62" t="s">
        <v>225</v>
      </c>
      <c r="L117" s="61" t="s">
        <v>113</v>
      </c>
      <c r="M117" s="132" t="s">
        <v>226</v>
      </c>
      <c r="N117" s="61" t="str">
        <f>CONCATENATE(B117,J117)</f>
        <v>30CSR</v>
      </c>
      <c r="Q117" s="23">
        <v>13800</v>
      </c>
      <c r="R117" s="23"/>
      <c r="S117" s="23">
        <f>+Q117</f>
        <v>13800</v>
      </c>
      <c r="T117" s="67">
        <v>37147</v>
      </c>
      <c r="U117" s="67"/>
      <c r="V117" s="68">
        <v>0</v>
      </c>
      <c r="W117" s="67">
        <f t="shared" ref="W117:AX117" si="150">V117</f>
        <v>0</v>
      </c>
      <c r="X117" s="67">
        <f t="shared" si="150"/>
        <v>0</v>
      </c>
      <c r="Y117" s="67">
        <f t="shared" si="150"/>
        <v>0</v>
      </c>
      <c r="Z117" s="67">
        <f t="shared" si="150"/>
        <v>0</v>
      </c>
      <c r="AA117" s="67">
        <f t="shared" si="150"/>
        <v>0</v>
      </c>
      <c r="AB117" s="67">
        <f t="shared" si="150"/>
        <v>0</v>
      </c>
      <c r="AC117" s="67">
        <f t="shared" si="150"/>
        <v>0</v>
      </c>
      <c r="AD117" s="67">
        <f t="shared" si="150"/>
        <v>0</v>
      </c>
      <c r="AE117" s="67">
        <f t="shared" si="150"/>
        <v>0</v>
      </c>
      <c r="AF117" s="67">
        <f t="shared" si="150"/>
        <v>0</v>
      </c>
      <c r="AG117" s="67">
        <f t="shared" si="150"/>
        <v>0</v>
      </c>
      <c r="AH117" s="67">
        <f t="shared" si="150"/>
        <v>0</v>
      </c>
      <c r="AI117" s="67">
        <f t="shared" si="150"/>
        <v>0</v>
      </c>
      <c r="AJ117" s="67">
        <f t="shared" si="150"/>
        <v>0</v>
      </c>
      <c r="AK117" s="67">
        <f t="shared" si="150"/>
        <v>0</v>
      </c>
      <c r="AL117" s="67">
        <f t="shared" si="150"/>
        <v>0</v>
      </c>
      <c r="AM117" s="67">
        <f t="shared" si="150"/>
        <v>0</v>
      </c>
      <c r="AN117" s="67">
        <f t="shared" si="150"/>
        <v>0</v>
      </c>
      <c r="AO117" s="67">
        <f t="shared" si="150"/>
        <v>0</v>
      </c>
      <c r="AP117" s="67">
        <f t="shared" si="150"/>
        <v>0</v>
      </c>
      <c r="AQ117" s="67">
        <f t="shared" si="150"/>
        <v>0</v>
      </c>
      <c r="AR117" s="67">
        <f t="shared" si="150"/>
        <v>0</v>
      </c>
      <c r="AS117" s="67">
        <f t="shared" si="150"/>
        <v>0</v>
      </c>
      <c r="AT117" s="67">
        <f t="shared" si="150"/>
        <v>0</v>
      </c>
      <c r="AU117" s="67">
        <f t="shared" si="150"/>
        <v>0</v>
      </c>
      <c r="AV117" s="67">
        <f t="shared" si="150"/>
        <v>0</v>
      </c>
      <c r="AW117" s="67">
        <f t="shared" si="150"/>
        <v>0</v>
      </c>
      <c r="AX117" s="67">
        <f t="shared" si="150"/>
        <v>0</v>
      </c>
      <c r="AY117" s="67">
        <f t="shared" ref="AY117:AY122" si="151">AX117</f>
        <v>0</v>
      </c>
      <c r="AZ117" s="67"/>
      <c r="BA117" s="67"/>
      <c r="BB117" s="67">
        <f t="shared" ref="BB117:BB122" si="152">SUM(V117:AZ117)</f>
        <v>0</v>
      </c>
      <c r="BC117" s="67">
        <f t="shared" ref="BC117:BC122" si="153">+BB117/31</f>
        <v>0</v>
      </c>
      <c r="BD117" s="67">
        <f t="shared" ref="BD117:BD122" si="154">MAX(V117:AX117)</f>
        <v>0</v>
      </c>
      <c r="BE117" s="67"/>
      <c r="BF117" s="23"/>
      <c r="BO117" s="69"/>
      <c r="FR117" s="217"/>
      <c r="HP117" s="23">
        <f>Q117-SUM(BG117:DE117)</f>
        <v>13800</v>
      </c>
      <c r="HQ117" s="23"/>
    </row>
    <row r="118" spans="1:225" s="61" customFormat="1" ht="15.75" outlineLevel="1">
      <c r="A118" s="61" t="s">
        <v>138</v>
      </c>
      <c r="B118" s="62">
        <v>27</v>
      </c>
      <c r="D118" s="14">
        <v>19</v>
      </c>
      <c r="E118" s="61">
        <v>3</v>
      </c>
      <c r="F118" s="61" t="s">
        <v>227</v>
      </c>
      <c r="G118" s="61" t="s">
        <v>140</v>
      </c>
      <c r="H118" s="98">
        <v>36304</v>
      </c>
      <c r="I118" s="61" t="s">
        <v>224</v>
      </c>
      <c r="J118" s="61" t="s">
        <v>112</v>
      </c>
      <c r="K118" s="62" t="s">
        <v>228</v>
      </c>
      <c r="L118" s="61" t="s">
        <v>118</v>
      </c>
      <c r="N118" s="61" t="str">
        <f>CONCATENATE(B118,J118)</f>
        <v>27R</v>
      </c>
      <c r="Q118" s="23">
        <f>+BC118</f>
        <v>0</v>
      </c>
      <c r="R118" s="23"/>
      <c r="S118" s="23">
        <f>+Q118</f>
        <v>0</v>
      </c>
      <c r="T118" s="67" t="s">
        <v>229</v>
      </c>
      <c r="U118" s="67"/>
      <c r="V118" s="68">
        <v>0</v>
      </c>
      <c r="W118" s="67">
        <f t="shared" ref="W118:AX118" si="155">V118</f>
        <v>0</v>
      </c>
      <c r="X118" s="67">
        <f t="shared" si="155"/>
        <v>0</v>
      </c>
      <c r="Y118" s="67">
        <f t="shared" si="155"/>
        <v>0</v>
      </c>
      <c r="Z118" s="67">
        <f t="shared" si="155"/>
        <v>0</v>
      </c>
      <c r="AA118" s="67">
        <f t="shared" si="155"/>
        <v>0</v>
      </c>
      <c r="AB118" s="67">
        <f t="shared" si="155"/>
        <v>0</v>
      </c>
      <c r="AC118" s="67">
        <f t="shared" si="155"/>
        <v>0</v>
      </c>
      <c r="AD118" s="67">
        <f t="shared" si="155"/>
        <v>0</v>
      </c>
      <c r="AE118" s="67">
        <f t="shared" si="155"/>
        <v>0</v>
      </c>
      <c r="AF118" s="67">
        <f t="shared" si="155"/>
        <v>0</v>
      </c>
      <c r="AG118" s="67">
        <f t="shared" si="155"/>
        <v>0</v>
      </c>
      <c r="AH118" s="67">
        <f t="shared" si="155"/>
        <v>0</v>
      </c>
      <c r="AI118" s="67">
        <f t="shared" si="155"/>
        <v>0</v>
      </c>
      <c r="AJ118" s="67">
        <f t="shared" si="155"/>
        <v>0</v>
      </c>
      <c r="AK118" s="67">
        <f t="shared" si="155"/>
        <v>0</v>
      </c>
      <c r="AL118" s="67">
        <f t="shared" si="155"/>
        <v>0</v>
      </c>
      <c r="AM118" s="67">
        <f t="shared" si="155"/>
        <v>0</v>
      </c>
      <c r="AN118" s="67">
        <f t="shared" si="155"/>
        <v>0</v>
      </c>
      <c r="AO118" s="67">
        <f t="shared" si="155"/>
        <v>0</v>
      </c>
      <c r="AP118" s="67">
        <f t="shared" si="155"/>
        <v>0</v>
      </c>
      <c r="AQ118" s="67">
        <f t="shared" si="155"/>
        <v>0</v>
      </c>
      <c r="AR118" s="67">
        <f t="shared" si="155"/>
        <v>0</v>
      </c>
      <c r="AS118" s="67">
        <f t="shared" si="155"/>
        <v>0</v>
      </c>
      <c r="AT118" s="67">
        <f t="shared" si="155"/>
        <v>0</v>
      </c>
      <c r="AU118" s="67">
        <f t="shared" si="155"/>
        <v>0</v>
      </c>
      <c r="AV118" s="67">
        <f t="shared" si="155"/>
        <v>0</v>
      </c>
      <c r="AW118" s="67">
        <f t="shared" si="155"/>
        <v>0</v>
      </c>
      <c r="AX118" s="67">
        <f t="shared" si="155"/>
        <v>0</v>
      </c>
      <c r="AY118" s="67">
        <f t="shared" si="151"/>
        <v>0</v>
      </c>
      <c r="AZ118" s="67"/>
      <c r="BA118" s="67"/>
      <c r="BB118" s="67">
        <f t="shared" si="152"/>
        <v>0</v>
      </c>
      <c r="BC118" s="67">
        <f t="shared" si="153"/>
        <v>0</v>
      </c>
      <c r="BD118" s="67">
        <f t="shared" si="154"/>
        <v>0</v>
      </c>
      <c r="BE118" s="67"/>
      <c r="BF118" s="23"/>
      <c r="BO118" s="69"/>
      <c r="EM118" s="133"/>
      <c r="FH118" s="54"/>
      <c r="FI118" s="54"/>
      <c r="FJ118" s="54"/>
      <c r="FK118" s="54"/>
      <c r="FL118" s="54"/>
      <c r="FM118" s="54"/>
      <c r="FN118" s="54"/>
      <c r="FO118" s="54"/>
      <c r="FP118" s="54"/>
      <c r="FQ118" s="54"/>
      <c r="FR118" s="216"/>
      <c r="FS118" s="54"/>
      <c r="FT118" s="54"/>
      <c r="FU118" s="54"/>
      <c r="FV118" s="54"/>
      <c r="FW118" s="54"/>
      <c r="FX118" s="54"/>
      <c r="FY118" s="54"/>
      <c r="FZ118" s="54"/>
      <c r="GA118" s="54"/>
      <c r="GB118" s="54"/>
      <c r="GC118" s="54"/>
      <c r="GD118" s="54"/>
      <c r="GE118" s="54"/>
      <c r="GF118" s="54"/>
      <c r="GG118" s="54"/>
      <c r="GH118" s="54"/>
      <c r="GI118" s="54"/>
      <c r="GJ118" s="54"/>
      <c r="GK118" s="54"/>
      <c r="GL118" s="54"/>
      <c r="GM118" s="54"/>
      <c r="GN118" s="54"/>
      <c r="GO118" s="54"/>
      <c r="GP118" s="54"/>
      <c r="GQ118" s="54"/>
      <c r="GR118" s="54"/>
      <c r="GS118" s="54"/>
      <c r="GT118" s="54"/>
      <c r="GU118" s="54"/>
      <c r="GV118" s="54"/>
      <c r="GW118" s="54"/>
      <c r="GX118" s="54"/>
      <c r="GY118" s="54"/>
      <c r="GZ118" s="54"/>
      <c r="HA118" s="54"/>
      <c r="HB118" s="54"/>
      <c r="HC118" s="54"/>
      <c r="HD118" s="54"/>
      <c r="HP118" s="23">
        <f>V118-SUM(BG118:DE118)</f>
        <v>0</v>
      </c>
      <c r="HQ118" s="23"/>
    </row>
    <row r="119" spans="1:225" s="133" customFormat="1" ht="15.75" outlineLevel="1">
      <c r="A119" s="133" t="s">
        <v>148</v>
      </c>
      <c r="B119" s="134" t="s">
        <v>149</v>
      </c>
      <c r="D119" s="135"/>
      <c r="E119" s="133">
        <v>4</v>
      </c>
      <c r="F119" s="133" t="s">
        <v>230</v>
      </c>
      <c r="G119" s="133" t="s">
        <v>135</v>
      </c>
      <c r="H119" s="98">
        <v>36301</v>
      </c>
      <c r="K119" s="134" t="s">
        <v>231</v>
      </c>
      <c r="L119" s="133" t="s">
        <v>113</v>
      </c>
      <c r="M119" s="133" t="s">
        <v>232</v>
      </c>
      <c r="Q119" s="136">
        <v>306</v>
      </c>
      <c r="R119" s="136"/>
      <c r="S119" s="136">
        <v>306</v>
      </c>
      <c r="T119" s="137" t="s">
        <v>233</v>
      </c>
      <c r="U119" s="137"/>
      <c r="V119" s="138">
        <v>0</v>
      </c>
      <c r="W119" s="67">
        <f t="shared" ref="W119:AX119" si="156">V119</f>
        <v>0</v>
      </c>
      <c r="X119" s="67">
        <f t="shared" si="156"/>
        <v>0</v>
      </c>
      <c r="Y119" s="67">
        <f t="shared" si="156"/>
        <v>0</v>
      </c>
      <c r="Z119" s="67">
        <f t="shared" si="156"/>
        <v>0</v>
      </c>
      <c r="AA119" s="67">
        <f t="shared" si="156"/>
        <v>0</v>
      </c>
      <c r="AB119" s="67">
        <f t="shared" si="156"/>
        <v>0</v>
      </c>
      <c r="AC119" s="67">
        <f t="shared" si="156"/>
        <v>0</v>
      </c>
      <c r="AD119" s="67">
        <f t="shared" si="156"/>
        <v>0</v>
      </c>
      <c r="AE119" s="67">
        <f t="shared" si="156"/>
        <v>0</v>
      </c>
      <c r="AF119" s="67">
        <f t="shared" si="156"/>
        <v>0</v>
      </c>
      <c r="AG119" s="67">
        <f t="shared" si="156"/>
        <v>0</v>
      </c>
      <c r="AH119" s="67">
        <f t="shared" si="156"/>
        <v>0</v>
      </c>
      <c r="AI119" s="67">
        <f t="shared" si="156"/>
        <v>0</v>
      </c>
      <c r="AJ119" s="67">
        <f t="shared" si="156"/>
        <v>0</v>
      </c>
      <c r="AK119" s="67">
        <f t="shared" si="156"/>
        <v>0</v>
      </c>
      <c r="AL119" s="67">
        <f t="shared" si="156"/>
        <v>0</v>
      </c>
      <c r="AM119" s="67">
        <f t="shared" si="156"/>
        <v>0</v>
      </c>
      <c r="AN119" s="67">
        <f t="shared" si="156"/>
        <v>0</v>
      </c>
      <c r="AO119" s="67">
        <f t="shared" si="156"/>
        <v>0</v>
      </c>
      <c r="AP119" s="67">
        <f t="shared" si="156"/>
        <v>0</v>
      </c>
      <c r="AQ119" s="67">
        <f t="shared" si="156"/>
        <v>0</v>
      </c>
      <c r="AR119" s="67">
        <f t="shared" si="156"/>
        <v>0</v>
      </c>
      <c r="AS119" s="67">
        <f t="shared" si="156"/>
        <v>0</v>
      </c>
      <c r="AT119" s="67">
        <f t="shared" si="156"/>
        <v>0</v>
      </c>
      <c r="AU119" s="67">
        <f t="shared" si="156"/>
        <v>0</v>
      </c>
      <c r="AV119" s="67">
        <f t="shared" si="156"/>
        <v>0</v>
      </c>
      <c r="AW119" s="67">
        <f t="shared" si="156"/>
        <v>0</v>
      </c>
      <c r="AX119" s="67">
        <f t="shared" si="156"/>
        <v>0</v>
      </c>
      <c r="AY119" s="67">
        <f t="shared" si="151"/>
        <v>0</v>
      </c>
      <c r="AZ119" s="67"/>
      <c r="BA119" s="137"/>
      <c r="BB119" s="67">
        <f t="shared" si="152"/>
        <v>0</v>
      </c>
      <c r="BC119" s="67">
        <f t="shared" si="153"/>
        <v>0</v>
      </c>
      <c r="BD119" s="67">
        <f t="shared" si="154"/>
        <v>0</v>
      </c>
      <c r="BE119" s="137"/>
      <c r="BF119" s="136"/>
      <c r="BO119" s="139"/>
      <c r="FH119" s="61"/>
      <c r="FI119" s="61"/>
      <c r="FJ119" s="61"/>
      <c r="FK119" s="61"/>
      <c r="FL119" s="61"/>
      <c r="FM119" s="61"/>
      <c r="FN119" s="61"/>
      <c r="FO119" s="61"/>
      <c r="FP119" s="61"/>
      <c r="FQ119" s="61"/>
      <c r="FR119" s="217"/>
      <c r="FS119" s="61"/>
      <c r="FT119" s="61"/>
      <c r="FU119" s="61"/>
      <c r="FV119" s="61"/>
      <c r="FW119" s="61"/>
      <c r="FX119" s="61"/>
      <c r="FY119" s="61"/>
      <c r="FZ119" s="61"/>
      <c r="GA119" s="61"/>
      <c r="GB119" s="61"/>
      <c r="GC119" s="61"/>
      <c r="GD119" s="61"/>
      <c r="GE119" s="61"/>
      <c r="GF119" s="61"/>
      <c r="GG119" s="61"/>
      <c r="GH119" s="61"/>
      <c r="GI119" s="61"/>
      <c r="GJ119" s="61"/>
      <c r="GK119" s="61"/>
      <c r="GL119" s="61"/>
      <c r="GM119" s="61"/>
      <c r="GN119" s="61"/>
      <c r="GO119" s="61"/>
      <c r="GP119" s="61"/>
      <c r="GQ119" s="61"/>
      <c r="GR119" s="61"/>
      <c r="GS119" s="61"/>
      <c r="GT119" s="61"/>
      <c r="GU119" s="61"/>
      <c r="GV119" s="61"/>
      <c r="GW119" s="61"/>
      <c r="GX119" s="61"/>
      <c r="GY119" s="61"/>
      <c r="GZ119" s="61"/>
      <c r="HA119" s="61"/>
      <c r="HB119" s="61"/>
      <c r="HC119" s="61"/>
      <c r="HD119" s="61"/>
      <c r="HP119" s="136"/>
      <c r="HQ119" s="136"/>
    </row>
    <row r="120" spans="1:225" s="133" customFormat="1" ht="15.75" outlineLevel="1">
      <c r="A120" s="133" t="s">
        <v>148</v>
      </c>
      <c r="B120" s="134" t="s">
        <v>149</v>
      </c>
      <c r="D120" s="135"/>
      <c r="E120" s="133">
        <v>4</v>
      </c>
      <c r="F120" s="133" t="s">
        <v>230</v>
      </c>
      <c r="G120" s="133" t="s">
        <v>135</v>
      </c>
      <c r="H120" s="98">
        <v>36301</v>
      </c>
      <c r="K120" s="134" t="s">
        <v>234</v>
      </c>
      <c r="L120" s="133" t="s">
        <v>113</v>
      </c>
      <c r="M120" s="133" t="s">
        <v>235</v>
      </c>
      <c r="Q120" s="136">
        <v>1060</v>
      </c>
      <c r="R120" s="136"/>
      <c r="S120" s="136">
        <v>1060</v>
      </c>
      <c r="T120" s="137" t="s">
        <v>233</v>
      </c>
      <c r="U120" s="137"/>
      <c r="V120" s="138">
        <v>0</v>
      </c>
      <c r="W120" s="67">
        <f t="shared" ref="W120:AX120" si="157">V120</f>
        <v>0</v>
      </c>
      <c r="X120" s="67">
        <f t="shared" si="157"/>
        <v>0</v>
      </c>
      <c r="Y120" s="67">
        <f t="shared" si="157"/>
        <v>0</v>
      </c>
      <c r="Z120" s="67">
        <f t="shared" si="157"/>
        <v>0</v>
      </c>
      <c r="AA120" s="67">
        <f t="shared" si="157"/>
        <v>0</v>
      </c>
      <c r="AB120" s="67">
        <f t="shared" si="157"/>
        <v>0</v>
      </c>
      <c r="AC120" s="67">
        <f t="shared" si="157"/>
        <v>0</v>
      </c>
      <c r="AD120" s="67">
        <f t="shared" si="157"/>
        <v>0</v>
      </c>
      <c r="AE120" s="67">
        <f t="shared" si="157"/>
        <v>0</v>
      </c>
      <c r="AF120" s="67">
        <f t="shared" si="157"/>
        <v>0</v>
      </c>
      <c r="AG120" s="67">
        <f t="shared" si="157"/>
        <v>0</v>
      </c>
      <c r="AH120" s="67">
        <f t="shared" si="157"/>
        <v>0</v>
      </c>
      <c r="AI120" s="67">
        <f t="shared" si="157"/>
        <v>0</v>
      </c>
      <c r="AJ120" s="67">
        <f t="shared" si="157"/>
        <v>0</v>
      </c>
      <c r="AK120" s="67">
        <f t="shared" si="157"/>
        <v>0</v>
      </c>
      <c r="AL120" s="67">
        <f t="shared" si="157"/>
        <v>0</v>
      </c>
      <c r="AM120" s="67">
        <f t="shared" si="157"/>
        <v>0</v>
      </c>
      <c r="AN120" s="67">
        <f t="shared" si="157"/>
        <v>0</v>
      </c>
      <c r="AO120" s="67">
        <f t="shared" si="157"/>
        <v>0</v>
      </c>
      <c r="AP120" s="67">
        <f t="shared" si="157"/>
        <v>0</v>
      </c>
      <c r="AQ120" s="67">
        <f t="shared" si="157"/>
        <v>0</v>
      </c>
      <c r="AR120" s="67">
        <f t="shared" si="157"/>
        <v>0</v>
      </c>
      <c r="AS120" s="67">
        <f t="shared" si="157"/>
        <v>0</v>
      </c>
      <c r="AT120" s="67">
        <f t="shared" si="157"/>
        <v>0</v>
      </c>
      <c r="AU120" s="67">
        <f t="shared" si="157"/>
        <v>0</v>
      </c>
      <c r="AV120" s="67">
        <f t="shared" si="157"/>
        <v>0</v>
      </c>
      <c r="AW120" s="67">
        <f t="shared" si="157"/>
        <v>0</v>
      </c>
      <c r="AX120" s="67">
        <f t="shared" si="157"/>
        <v>0</v>
      </c>
      <c r="AY120" s="67">
        <f t="shared" si="151"/>
        <v>0</v>
      </c>
      <c r="AZ120" s="67"/>
      <c r="BA120" s="137"/>
      <c r="BB120" s="67">
        <f t="shared" si="152"/>
        <v>0</v>
      </c>
      <c r="BC120" s="67">
        <f t="shared" si="153"/>
        <v>0</v>
      </c>
      <c r="BD120" s="67">
        <f t="shared" si="154"/>
        <v>0</v>
      </c>
      <c r="BE120" s="137"/>
      <c r="BF120" s="136"/>
      <c r="BO120" s="139"/>
      <c r="EM120" s="61"/>
      <c r="FH120" s="54"/>
      <c r="FI120" s="54"/>
      <c r="FJ120" s="54"/>
      <c r="FK120" s="54"/>
      <c r="FL120" s="54"/>
      <c r="FM120" s="54"/>
      <c r="FN120" s="54"/>
      <c r="FO120" s="54"/>
      <c r="FP120" s="54"/>
      <c r="FQ120" s="54"/>
      <c r="FR120" s="216"/>
      <c r="FS120" s="54"/>
      <c r="FT120" s="54"/>
      <c r="FU120" s="54"/>
      <c r="FV120" s="54"/>
      <c r="FW120" s="54"/>
      <c r="FX120" s="54"/>
      <c r="FY120" s="54"/>
      <c r="FZ120" s="54"/>
      <c r="GA120" s="54"/>
      <c r="GB120" s="54"/>
      <c r="GC120" s="54"/>
      <c r="GD120" s="54"/>
      <c r="GE120" s="54"/>
      <c r="GF120" s="54"/>
      <c r="GG120" s="54"/>
      <c r="GH120" s="54"/>
      <c r="GI120" s="54"/>
      <c r="GJ120" s="54"/>
      <c r="GK120" s="54"/>
      <c r="GL120" s="54"/>
      <c r="GM120" s="54"/>
      <c r="GN120" s="54"/>
      <c r="GO120" s="54"/>
      <c r="GP120" s="54"/>
      <c r="GQ120" s="54"/>
      <c r="GR120" s="54"/>
      <c r="GS120" s="54"/>
      <c r="GT120" s="54"/>
      <c r="GU120" s="54"/>
      <c r="GV120" s="54"/>
      <c r="GW120" s="54"/>
      <c r="GX120" s="54"/>
      <c r="GY120" s="54"/>
      <c r="GZ120" s="54"/>
      <c r="HA120" s="54"/>
      <c r="HB120" s="54"/>
      <c r="HC120" s="54"/>
      <c r="HD120" s="54"/>
      <c r="HP120" s="136"/>
      <c r="HQ120" s="136"/>
    </row>
    <row r="121" spans="1:225" s="61" customFormat="1" ht="15.75" outlineLevel="1">
      <c r="A121" s="61" t="s">
        <v>148</v>
      </c>
      <c r="B121" s="62" t="s">
        <v>149</v>
      </c>
      <c r="D121" s="14"/>
      <c r="E121" s="61">
        <v>4</v>
      </c>
      <c r="F121" s="61" t="s">
        <v>236</v>
      </c>
      <c r="G121" s="133" t="s">
        <v>135</v>
      </c>
      <c r="H121" s="98">
        <v>36301</v>
      </c>
      <c r="I121" s="61" t="s">
        <v>224</v>
      </c>
      <c r="J121" s="61" t="s">
        <v>112</v>
      </c>
      <c r="K121" s="62" t="s">
        <v>237</v>
      </c>
      <c r="L121" s="61" t="s">
        <v>113</v>
      </c>
      <c r="M121" s="132" t="s">
        <v>238</v>
      </c>
      <c r="N121" s="61" t="str">
        <f>CONCATENATE(B121,J121)</f>
        <v>25ER</v>
      </c>
      <c r="Q121" s="23">
        <v>3785</v>
      </c>
      <c r="R121" s="23"/>
      <c r="S121" s="23">
        <f>+Q121</f>
        <v>3785</v>
      </c>
      <c r="T121" s="67">
        <v>37147</v>
      </c>
      <c r="U121" s="67"/>
      <c r="V121" s="68">
        <v>0</v>
      </c>
      <c r="W121" s="67">
        <f t="shared" ref="W121:AX121" si="158">V121</f>
        <v>0</v>
      </c>
      <c r="X121" s="67">
        <f t="shared" si="158"/>
        <v>0</v>
      </c>
      <c r="Y121" s="67">
        <f t="shared" si="158"/>
        <v>0</v>
      </c>
      <c r="Z121" s="67">
        <f t="shared" si="158"/>
        <v>0</v>
      </c>
      <c r="AA121" s="67">
        <f t="shared" si="158"/>
        <v>0</v>
      </c>
      <c r="AB121" s="67">
        <f t="shared" si="158"/>
        <v>0</v>
      </c>
      <c r="AC121" s="67">
        <f t="shared" si="158"/>
        <v>0</v>
      </c>
      <c r="AD121" s="67">
        <f t="shared" si="158"/>
        <v>0</v>
      </c>
      <c r="AE121" s="67">
        <f t="shared" si="158"/>
        <v>0</v>
      </c>
      <c r="AF121" s="67">
        <f t="shared" si="158"/>
        <v>0</v>
      </c>
      <c r="AG121" s="67">
        <f t="shared" si="158"/>
        <v>0</v>
      </c>
      <c r="AH121" s="67">
        <f t="shared" si="158"/>
        <v>0</v>
      </c>
      <c r="AI121" s="67">
        <f t="shared" si="158"/>
        <v>0</v>
      </c>
      <c r="AJ121" s="67">
        <f t="shared" si="158"/>
        <v>0</v>
      </c>
      <c r="AK121" s="67">
        <f t="shared" si="158"/>
        <v>0</v>
      </c>
      <c r="AL121" s="67">
        <f t="shared" si="158"/>
        <v>0</v>
      </c>
      <c r="AM121" s="67">
        <f t="shared" si="158"/>
        <v>0</v>
      </c>
      <c r="AN121" s="67">
        <f t="shared" si="158"/>
        <v>0</v>
      </c>
      <c r="AO121" s="67">
        <f t="shared" si="158"/>
        <v>0</v>
      </c>
      <c r="AP121" s="67">
        <f t="shared" si="158"/>
        <v>0</v>
      </c>
      <c r="AQ121" s="67">
        <f t="shared" si="158"/>
        <v>0</v>
      </c>
      <c r="AR121" s="67">
        <f t="shared" si="158"/>
        <v>0</v>
      </c>
      <c r="AS121" s="67">
        <f t="shared" si="158"/>
        <v>0</v>
      </c>
      <c r="AT121" s="67">
        <f t="shared" si="158"/>
        <v>0</v>
      </c>
      <c r="AU121" s="67">
        <f t="shared" si="158"/>
        <v>0</v>
      </c>
      <c r="AV121" s="67">
        <f t="shared" si="158"/>
        <v>0</v>
      </c>
      <c r="AW121" s="67">
        <f t="shared" si="158"/>
        <v>0</v>
      </c>
      <c r="AX121" s="67">
        <f t="shared" si="158"/>
        <v>0</v>
      </c>
      <c r="AY121" s="67">
        <f t="shared" si="151"/>
        <v>0</v>
      </c>
      <c r="AZ121" s="67"/>
      <c r="BA121" s="67"/>
      <c r="BB121" s="67">
        <f t="shared" si="152"/>
        <v>0</v>
      </c>
      <c r="BC121" s="67">
        <f t="shared" si="153"/>
        <v>0</v>
      </c>
      <c r="BD121" s="67">
        <f t="shared" si="154"/>
        <v>0</v>
      </c>
      <c r="BE121" s="67"/>
      <c r="BF121" s="23"/>
      <c r="BO121" s="69"/>
      <c r="EM121" s="133"/>
      <c r="FH121" s="54"/>
      <c r="FI121" s="54"/>
      <c r="FJ121" s="54"/>
      <c r="FK121" s="54"/>
      <c r="FL121" s="54"/>
      <c r="FM121" s="54"/>
      <c r="FN121" s="54"/>
      <c r="FO121" s="54"/>
      <c r="FP121" s="54"/>
      <c r="FQ121" s="54"/>
      <c r="FR121" s="216"/>
      <c r="FS121" s="54"/>
      <c r="FT121" s="54"/>
      <c r="FU121" s="54"/>
      <c r="FV121" s="54"/>
      <c r="FW121" s="54"/>
      <c r="FX121" s="54"/>
      <c r="FY121" s="54"/>
      <c r="FZ121" s="54"/>
      <c r="GA121" s="54"/>
      <c r="GB121" s="54"/>
      <c r="GC121" s="54"/>
      <c r="GD121" s="54"/>
      <c r="GE121" s="54"/>
      <c r="GF121" s="54"/>
      <c r="GG121" s="54"/>
      <c r="GH121" s="54"/>
      <c r="GI121" s="54"/>
      <c r="GJ121" s="54"/>
      <c r="GK121" s="54"/>
      <c r="GL121" s="54"/>
      <c r="GM121" s="54"/>
      <c r="GN121" s="54"/>
      <c r="GO121" s="54"/>
      <c r="GP121" s="54"/>
      <c r="GQ121" s="54"/>
      <c r="GR121" s="54"/>
      <c r="GS121" s="54"/>
      <c r="GT121" s="54"/>
      <c r="GU121" s="54"/>
      <c r="GV121" s="54"/>
      <c r="GW121" s="54"/>
      <c r="GX121" s="54"/>
      <c r="GY121" s="54"/>
      <c r="GZ121" s="54"/>
      <c r="HA121" s="54"/>
      <c r="HB121" s="54"/>
      <c r="HC121" s="54"/>
      <c r="HD121" s="54"/>
      <c r="HP121" s="23">
        <f>Q121-SUM(BG121:DE121)</f>
        <v>3785</v>
      </c>
      <c r="HQ121" s="23"/>
    </row>
    <row r="122" spans="1:225" s="54" customFormat="1" ht="15.75" outlineLevel="1">
      <c r="A122" s="54" t="s">
        <v>176</v>
      </c>
      <c r="B122" s="55">
        <v>23</v>
      </c>
      <c r="D122" s="35">
        <v>4</v>
      </c>
      <c r="E122" s="54">
        <v>7</v>
      </c>
      <c r="F122" s="54" t="s">
        <v>239</v>
      </c>
      <c r="G122" s="54" t="s">
        <v>129</v>
      </c>
      <c r="H122" s="56">
        <v>36301</v>
      </c>
      <c r="K122" s="55" t="s">
        <v>240</v>
      </c>
      <c r="M122" s="164" t="s">
        <v>241</v>
      </c>
      <c r="Q122" s="57">
        <v>500</v>
      </c>
      <c r="R122" s="57"/>
      <c r="S122" s="57">
        <v>500</v>
      </c>
      <c r="T122" s="58">
        <v>37147</v>
      </c>
      <c r="U122" s="58"/>
      <c r="V122" s="59">
        <v>0</v>
      </c>
      <c r="W122" s="58">
        <f t="shared" ref="W122:AX122" si="159">V122</f>
        <v>0</v>
      </c>
      <c r="X122" s="58">
        <f t="shared" si="159"/>
        <v>0</v>
      </c>
      <c r="Y122" s="58">
        <f t="shared" si="159"/>
        <v>0</v>
      </c>
      <c r="Z122" s="58">
        <f t="shared" si="159"/>
        <v>0</v>
      </c>
      <c r="AA122" s="58">
        <f t="shared" si="159"/>
        <v>0</v>
      </c>
      <c r="AB122" s="58">
        <f t="shared" si="159"/>
        <v>0</v>
      </c>
      <c r="AC122" s="58">
        <f t="shared" si="159"/>
        <v>0</v>
      </c>
      <c r="AD122" s="58">
        <f t="shared" si="159"/>
        <v>0</v>
      </c>
      <c r="AE122" s="58">
        <f t="shared" si="159"/>
        <v>0</v>
      </c>
      <c r="AF122" s="58">
        <f t="shared" si="159"/>
        <v>0</v>
      </c>
      <c r="AG122" s="58">
        <f t="shared" si="159"/>
        <v>0</v>
      </c>
      <c r="AH122" s="58">
        <f t="shared" si="159"/>
        <v>0</v>
      </c>
      <c r="AI122" s="58">
        <f t="shared" si="159"/>
        <v>0</v>
      </c>
      <c r="AJ122" s="58">
        <f t="shared" si="159"/>
        <v>0</v>
      </c>
      <c r="AK122" s="58">
        <f t="shared" si="159"/>
        <v>0</v>
      </c>
      <c r="AL122" s="58">
        <f t="shared" si="159"/>
        <v>0</v>
      </c>
      <c r="AM122" s="58">
        <f t="shared" si="159"/>
        <v>0</v>
      </c>
      <c r="AN122" s="58">
        <f t="shared" si="159"/>
        <v>0</v>
      </c>
      <c r="AO122" s="58">
        <f t="shared" si="159"/>
        <v>0</v>
      </c>
      <c r="AP122" s="58">
        <f t="shared" si="159"/>
        <v>0</v>
      </c>
      <c r="AQ122" s="58">
        <f t="shared" si="159"/>
        <v>0</v>
      </c>
      <c r="AR122" s="58">
        <f t="shared" si="159"/>
        <v>0</v>
      </c>
      <c r="AS122" s="58">
        <f t="shared" si="159"/>
        <v>0</v>
      </c>
      <c r="AT122" s="58">
        <f t="shared" si="159"/>
        <v>0</v>
      </c>
      <c r="AU122" s="58">
        <f t="shared" si="159"/>
        <v>0</v>
      </c>
      <c r="AV122" s="58">
        <f t="shared" si="159"/>
        <v>0</v>
      </c>
      <c r="AW122" s="58">
        <f t="shared" si="159"/>
        <v>0</v>
      </c>
      <c r="AX122" s="58">
        <f t="shared" si="159"/>
        <v>0</v>
      </c>
      <c r="AY122" s="58">
        <f t="shared" si="151"/>
        <v>0</v>
      </c>
      <c r="AZ122" s="58"/>
      <c r="BA122" s="58"/>
      <c r="BB122" s="58">
        <f t="shared" si="152"/>
        <v>0</v>
      </c>
      <c r="BC122" s="58">
        <f t="shared" si="153"/>
        <v>0</v>
      </c>
      <c r="BD122" s="58">
        <f t="shared" si="154"/>
        <v>0</v>
      </c>
      <c r="BE122" s="58"/>
      <c r="BF122" s="57"/>
      <c r="BO122" s="60"/>
      <c r="FR122" s="216"/>
      <c r="HP122" s="57"/>
      <c r="HQ122" s="57"/>
    </row>
    <row r="123" spans="1:225" s="61" customFormat="1" ht="15.75" outlineLevel="1">
      <c r="B123" s="62"/>
      <c r="D123" s="14"/>
      <c r="K123" s="62"/>
      <c r="Q123" s="23"/>
      <c r="R123" s="23"/>
      <c r="S123" s="23"/>
      <c r="T123" s="67"/>
      <c r="U123" s="67"/>
      <c r="V123" s="68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23"/>
      <c r="BO123" s="69"/>
      <c r="FH123" s="54"/>
      <c r="FI123" s="54"/>
      <c r="FJ123" s="54"/>
      <c r="FK123" s="54"/>
      <c r="FL123" s="54"/>
      <c r="FM123" s="54"/>
      <c r="FN123" s="54"/>
      <c r="FO123" s="54"/>
      <c r="FP123" s="54"/>
      <c r="FQ123" s="54"/>
      <c r="FR123" s="216"/>
      <c r="FS123" s="54"/>
      <c r="FT123" s="54"/>
      <c r="FU123" s="54"/>
      <c r="FV123" s="54"/>
      <c r="FW123" s="54"/>
      <c r="FX123" s="54"/>
      <c r="FY123" s="54"/>
      <c r="FZ123" s="54"/>
      <c r="GA123" s="54"/>
      <c r="GB123" s="54"/>
      <c r="GC123" s="54"/>
      <c r="GD123" s="54"/>
      <c r="GE123" s="54"/>
      <c r="GF123" s="54"/>
      <c r="GG123" s="54"/>
      <c r="GH123" s="54"/>
      <c r="GI123" s="54"/>
      <c r="GJ123" s="54"/>
      <c r="GK123" s="54"/>
      <c r="GL123" s="54"/>
      <c r="GM123" s="54"/>
      <c r="GN123" s="54"/>
      <c r="GO123" s="54"/>
      <c r="GP123" s="54"/>
      <c r="GQ123" s="54"/>
      <c r="GR123" s="54"/>
      <c r="GS123" s="54"/>
      <c r="GT123" s="54"/>
      <c r="GU123" s="54"/>
      <c r="GV123" s="54"/>
      <c r="GW123" s="54"/>
      <c r="GX123" s="54"/>
      <c r="GY123" s="54"/>
      <c r="GZ123" s="54"/>
      <c r="HA123" s="54"/>
      <c r="HB123" s="54"/>
      <c r="HC123" s="54"/>
      <c r="HD123" s="54"/>
    </row>
    <row r="124" spans="1:225" s="61" customFormat="1" ht="15.75" outlineLevel="1">
      <c r="A124" s="61" t="s">
        <v>176</v>
      </c>
      <c r="B124" s="62">
        <v>23</v>
      </c>
      <c r="D124" s="14"/>
      <c r="E124" s="61">
        <v>7</v>
      </c>
      <c r="F124" s="61" t="s">
        <v>242</v>
      </c>
      <c r="G124" s="61" t="s">
        <v>243</v>
      </c>
      <c r="H124" s="98">
        <v>36306</v>
      </c>
      <c r="I124" s="61" t="s">
        <v>224</v>
      </c>
      <c r="J124" s="61" t="s">
        <v>112</v>
      </c>
      <c r="K124" s="62" t="s">
        <v>244</v>
      </c>
      <c r="L124" s="61" t="s">
        <v>113</v>
      </c>
      <c r="Q124" s="23">
        <v>2482</v>
      </c>
      <c r="R124" s="23"/>
      <c r="S124" s="23">
        <f>+Q124</f>
        <v>2482</v>
      </c>
      <c r="T124" s="67" t="s">
        <v>245</v>
      </c>
      <c r="U124" s="67"/>
      <c r="V124" s="68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>
        <f>MAX(V124:AZ124)</f>
        <v>0</v>
      </c>
      <c r="BE124" s="67"/>
      <c r="BF124" s="23"/>
      <c r="BO124" s="69"/>
      <c r="FH124" s="54"/>
      <c r="FI124" s="54"/>
      <c r="FJ124" s="54"/>
      <c r="FK124" s="54"/>
      <c r="FL124" s="54"/>
      <c r="FM124" s="54"/>
      <c r="FN124" s="54"/>
      <c r="FO124" s="54"/>
      <c r="FP124" s="54"/>
      <c r="FQ124" s="54"/>
      <c r="FR124" s="216"/>
      <c r="FS124" s="54"/>
      <c r="FT124" s="54"/>
      <c r="FU124" s="54"/>
      <c r="FV124" s="54"/>
      <c r="FW124" s="54"/>
      <c r="FX124" s="54"/>
      <c r="FY124" s="54"/>
      <c r="FZ124" s="54"/>
      <c r="GA124" s="54"/>
      <c r="GB124" s="54"/>
      <c r="GC124" s="54"/>
      <c r="GD124" s="54"/>
      <c r="GE124" s="54"/>
      <c r="GF124" s="54"/>
      <c r="GG124" s="54"/>
      <c r="GH124" s="54"/>
      <c r="GI124" s="54"/>
      <c r="GJ124" s="54"/>
      <c r="GK124" s="54"/>
      <c r="GL124" s="54"/>
      <c r="GM124" s="54"/>
      <c r="GN124" s="54"/>
      <c r="GO124" s="54"/>
      <c r="GP124" s="54"/>
      <c r="GQ124" s="54"/>
      <c r="GR124" s="54"/>
      <c r="GS124" s="54"/>
      <c r="GT124" s="54"/>
      <c r="GU124" s="54"/>
      <c r="GV124" s="54"/>
      <c r="GW124" s="54"/>
      <c r="GX124" s="54"/>
      <c r="GY124" s="54"/>
      <c r="GZ124" s="54"/>
      <c r="HA124" s="54"/>
      <c r="HB124" s="54"/>
      <c r="HC124" s="54"/>
      <c r="HD124" s="54"/>
    </row>
    <row r="125" spans="1:225" s="61" customFormat="1" ht="15.75" outlineLevel="1">
      <c r="A125" s="61" t="s">
        <v>176</v>
      </c>
      <c r="B125" s="62">
        <v>23</v>
      </c>
      <c r="D125" s="14"/>
      <c r="E125" s="61">
        <v>7</v>
      </c>
      <c r="F125" s="61" t="s">
        <v>242</v>
      </c>
      <c r="G125" s="61" t="s">
        <v>243</v>
      </c>
      <c r="H125" s="98">
        <v>36306</v>
      </c>
      <c r="I125" s="61" t="s">
        <v>224</v>
      </c>
      <c r="J125" s="61" t="s">
        <v>112</v>
      </c>
      <c r="K125" s="62" t="s">
        <v>246</v>
      </c>
      <c r="L125" s="61" t="s">
        <v>113</v>
      </c>
      <c r="Q125" s="23">
        <v>768</v>
      </c>
      <c r="R125" s="23"/>
      <c r="S125" s="23">
        <f>+Q125</f>
        <v>768</v>
      </c>
      <c r="T125" s="67" t="s">
        <v>247</v>
      </c>
      <c r="U125" s="67"/>
      <c r="V125" s="68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>
        <f>MAX(V125:AZ125)</f>
        <v>0</v>
      </c>
      <c r="BE125" s="67"/>
      <c r="BF125" s="23"/>
      <c r="BO125" s="69"/>
      <c r="FR125" s="217"/>
    </row>
    <row r="126" spans="1:225" s="61" customFormat="1" ht="15.75" outlineLevel="1">
      <c r="A126" s="61" t="s">
        <v>248</v>
      </c>
      <c r="B126" s="62">
        <v>33</v>
      </c>
      <c r="D126" s="14"/>
      <c r="E126" s="61">
        <v>7</v>
      </c>
      <c r="F126" s="61" t="s">
        <v>242</v>
      </c>
      <c r="G126" s="61" t="s">
        <v>243</v>
      </c>
      <c r="H126" s="98">
        <v>36306</v>
      </c>
      <c r="I126" s="61" t="s">
        <v>224</v>
      </c>
      <c r="J126" s="61" t="s">
        <v>112</v>
      </c>
      <c r="K126" s="62" t="s">
        <v>249</v>
      </c>
      <c r="L126" s="61" t="s">
        <v>113</v>
      </c>
      <c r="Q126" s="23">
        <v>636</v>
      </c>
      <c r="R126" s="23"/>
      <c r="S126" s="23">
        <f>+Q126</f>
        <v>636</v>
      </c>
      <c r="T126" s="67" t="s">
        <v>247</v>
      </c>
      <c r="U126" s="67"/>
      <c r="V126" s="68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>
        <f>MAX(V126:AZ126)</f>
        <v>0</v>
      </c>
      <c r="BE126" s="67"/>
      <c r="BF126" s="23"/>
      <c r="BO126" s="69"/>
      <c r="FR126" s="217"/>
    </row>
    <row r="127" spans="1:225" s="61" customFormat="1" ht="15.75" outlineLevel="1">
      <c r="A127" s="61" t="s">
        <v>183</v>
      </c>
      <c r="B127" s="62">
        <v>80</v>
      </c>
      <c r="D127" s="14"/>
      <c r="E127" s="61">
        <v>7</v>
      </c>
      <c r="F127" s="61" t="s">
        <v>242</v>
      </c>
      <c r="G127" s="61" t="s">
        <v>243</v>
      </c>
      <c r="H127" s="98">
        <v>36306</v>
      </c>
      <c r="I127" s="61" t="s">
        <v>224</v>
      </c>
      <c r="J127" s="61" t="s">
        <v>112</v>
      </c>
      <c r="K127" s="62" t="s">
        <v>250</v>
      </c>
      <c r="L127" s="61" t="s">
        <v>113</v>
      </c>
      <c r="Q127" s="23">
        <v>1077</v>
      </c>
      <c r="R127" s="23"/>
      <c r="S127" s="23">
        <f>+Q127</f>
        <v>1077</v>
      </c>
      <c r="T127" s="67" t="s">
        <v>247</v>
      </c>
      <c r="U127" s="67"/>
      <c r="V127" s="68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>
        <f>MAX(V127:AZ127)</f>
        <v>0</v>
      </c>
      <c r="BE127" s="67"/>
      <c r="BF127" s="23"/>
      <c r="BO127" s="69"/>
      <c r="FR127" s="217"/>
    </row>
    <row r="128" spans="1:225" s="61" customFormat="1" ht="15.75" outlineLevel="1">
      <c r="A128" s="61" t="s">
        <v>176</v>
      </c>
      <c r="B128" s="62">
        <v>23</v>
      </c>
      <c r="D128" s="14"/>
      <c r="E128" s="61">
        <v>7</v>
      </c>
      <c r="F128" s="61" t="s">
        <v>242</v>
      </c>
      <c r="G128" s="61" t="s">
        <v>243</v>
      </c>
      <c r="H128" s="98">
        <v>36306</v>
      </c>
      <c r="I128" s="61" t="s">
        <v>224</v>
      </c>
      <c r="J128" s="61" t="s">
        <v>112</v>
      </c>
      <c r="K128" s="62" t="s">
        <v>251</v>
      </c>
      <c r="L128" s="61" t="s">
        <v>113</v>
      </c>
      <c r="Q128" s="23">
        <v>0</v>
      </c>
      <c r="R128" s="23"/>
      <c r="S128" s="23">
        <f>+Q128</f>
        <v>0</v>
      </c>
      <c r="T128" s="67" t="s">
        <v>247</v>
      </c>
      <c r="U128" s="67"/>
      <c r="V128" s="68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>
        <f>MAX(V128:AZ128)</f>
        <v>0</v>
      </c>
      <c r="BE128" s="67"/>
      <c r="BF128" s="23"/>
      <c r="BO128" s="69"/>
      <c r="FR128" s="217"/>
    </row>
    <row r="129" spans="1:225" s="61" customFormat="1" ht="15.75" outlineLevel="1">
      <c r="B129" s="62"/>
      <c r="D129" s="14"/>
      <c r="H129" s="140"/>
      <c r="K129" s="62"/>
      <c r="Q129" s="23"/>
      <c r="R129" s="23"/>
      <c r="S129" s="23"/>
      <c r="T129" s="67"/>
      <c r="U129" s="67"/>
      <c r="V129" s="68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23"/>
      <c r="BO129" s="69"/>
      <c r="EM129" s="133"/>
      <c r="FR129" s="217"/>
    </row>
    <row r="130" spans="1:225" s="54" customFormat="1" ht="15.75" outlineLevel="1">
      <c r="A130" s="54" t="s">
        <v>128</v>
      </c>
      <c r="B130" s="55">
        <v>22</v>
      </c>
      <c r="D130" s="35"/>
      <c r="E130" s="54">
        <v>3</v>
      </c>
      <c r="F130" s="54" t="s">
        <v>252</v>
      </c>
      <c r="G130" s="54" t="s">
        <v>129</v>
      </c>
      <c r="H130" s="56">
        <v>36306</v>
      </c>
      <c r="I130" s="54" t="s">
        <v>111</v>
      </c>
      <c r="J130" s="54" t="s">
        <v>112</v>
      </c>
      <c r="K130" s="55">
        <v>38011</v>
      </c>
      <c r="L130" s="54" t="s">
        <v>113</v>
      </c>
      <c r="N130" s="54" t="s">
        <v>253</v>
      </c>
      <c r="Q130" s="57">
        <v>8527</v>
      </c>
      <c r="R130" s="57"/>
      <c r="S130" s="57">
        <f>+Q130</f>
        <v>8527</v>
      </c>
      <c r="T130" s="58" t="s">
        <v>254</v>
      </c>
      <c r="U130" s="58"/>
      <c r="V130" s="192"/>
      <c r="W130" s="58">
        <f t="shared" ref="W130:AX130" si="160">V130</f>
        <v>0</v>
      </c>
      <c r="X130" s="58">
        <f t="shared" si="160"/>
        <v>0</v>
      </c>
      <c r="Y130" s="58">
        <f t="shared" si="160"/>
        <v>0</v>
      </c>
      <c r="Z130" s="58">
        <f t="shared" si="160"/>
        <v>0</v>
      </c>
      <c r="AA130" s="58">
        <f t="shared" si="160"/>
        <v>0</v>
      </c>
      <c r="AB130" s="58">
        <f t="shared" si="160"/>
        <v>0</v>
      </c>
      <c r="AC130" s="58">
        <f t="shared" si="160"/>
        <v>0</v>
      </c>
      <c r="AD130" s="58">
        <f t="shared" si="160"/>
        <v>0</v>
      </c>
      <c r="AE130" s="58">
        <f t="shared" si="160"/>
        <v>0</v>
      </c>
      <c r="AF130" s="58">
        <f t="shared" si="160"/>
        <v>0</v>
      </c>
      <c r="AG130" s="58">
        <f t="shared" si="160"/>
        <v>0</v>
      </c>
      <c r="AH130" s="58">
        <f t="shared" si="160"/>
        <v>0</v>
      </c>
      <c r="AI130" s="58">
        <f t="shared" si="160"/>
        <v>0</v>
      </c>
      <c r="AJ130" s="58">
        <f t="shared" si="160"/>
        <v>0</v>
      </c>
      <c r="AK130" s="58">
        <f t="shared" si="160"/>
        <v>0</v>
      </c>
      <c r="AL130" s="58">
        <f t="shared" si="160"/>
        <v>0</v>
      </c>
      <c r="AM130" s="58">
        <f t="shared" si="160"/>
        <v>0</v>
      </c>
      <c r="AN130" s="58">
        <f t="shared" si="160"/>
        <v>0</v>
      </c>
      <c r="AO130" s="58">
        <f t="shared" si="160"/>
        <v>0</v>
      </c>
      <c r="AP130" s="58">
        <f t="shared" si="160"/>
        <v>0</v>
      </c>
      <c r="AQ130" s="58">
        <f t="shared" si="160"/>
        <v>0</v>
      </c>
      <c r="AR130" s="58">
        <f t="shared" si="160"/>
        <v>0</v>
      </c>
      <c r="AS130" s="58">
        <f t="shared" si="160"/>
        <v>0</v>
      </c>
      <c r="AT130" s="58">
        <f t="shared" si="160"/>
        <v>0</v>
      </c>
      <c r="AU130" s="58">
        <f t="shared" si="160"/>
        <v>0</v>
      </c>
      <c r="AV130" s="58">
        <f t="shared" si="160"/>
        <v>0</v>
      </c>
      <c r="AW130" s="58">
        <f t="shared" si="160"/>
        <v>0</v>
      </c>
      <c r="AX130" s="58">
        <f t="shared" si="160"/>
        <v>0</v>
      </c>
      <c r="AY130" s="58">
        <f>AX130</f>
        <v>0</v>
      </c>
      <c r="AZ130" s="58"/>
      <c r="BA130" s="58"/>
      <c r="BB130" s="58">
        <f>SUM(V130:AZ130)</f>
        <v>0</v>
      </c>
      <c r="BC130" s="177">
        <f>+BB130/31</f>
        <v>0</v>
      </c>
      <c r="BD130" s="177">
        <f>MAX(V130:AZ130)</f>
        <v>0</v>
      </c>
      <c r="BE130" s="58"/>
      <c r="BF130" s="57"/>
      <c r="BO130" s="60"/>
      <c r="FH130" s="61"/>
      <c r="FI130" s="61"/>
      <c r="FJ130" s="61"/>
      <c r="FK130" s="61"/>
      <c r="FL130" s="61"/>
      <c r="FM130" s="61"/>
      <c r="FN130" s="61"/>
      <c r="FO130" s="61"/>
      <c r="FP130" s="61"/>
      <c r="FQ130" s="61"/>
      <c r="FR130" s="217"/>
      <c r="FS130" s="61"/>
      <c r="FT130" s="61"/>
      <c r="FU130" s="61"/>
      <c r="FV130" s="61"/>
      <c r="FW130" s="61"/>
      <c r="FX130" s="61"/>
      <c r="FY130" s="61"/>
      <c r="FZ130" s="61"/>
      <c r="GA130" s="61"/>
      <c r="GB130" s="61"/>
      <c r="GC130" s="61"/>
      <c r="GD130" s="61"/>
      <c r="GE130" s="61"/>
      <c r="GF130" s="61"/>
      <c r="GG130" s="61"/>
      <c r="GH130" s="61"/>
      <c r="GI130" s="61"/>
      <c r="GJ130" s="61"/>
      <c r="GK130" s="61"/>
      <c r="GL130" s="61"/>
      <c r="GM130" s="61"/>
      <c r="GN130" s="61"/>
      <c r="GO130" s="61"/>
      <c r="GP130" s="61"/>
      <c r="GQ130" s="61"/>
      <c r="GR130" s="61"/>
      <c r="GS130" s="61"/>
      <c r="GT130" s="61"/>
      <c r="GU130" s="61"/>
      <c r="GV130" s="61"/>
      <c r="GW130" s="61"/>
      <c r="GX130" s="61"/>
      <c r="GY130" s="61"/>
      <c r="GZ130" s="61"/>
      <c r="HA130" s="61"/>
      <c r="HB130" s="61"/>
      <c r="HC130" s="61"/>
      <c r="HD130" s="61"/>
      <c r="HP130" s="57">
        <f>Q130-SUM(BG130:DE130)</f>
        <v>8527</v>
      </c>
      <c r="HQ130" s="57"/>
    </row>
    <row r="131" spans="1:225" s="54" customFormat="1" ht="15.75" outlineLevel="1">
      <c r="A131" s="54" t="s">
        <v>128</v>
      </c>
      <c r="B131" s="55">
        <v>22</v>
      </c>
      <c r="D131" s="35"/>
      <c r="E131" s="54">
        <v>3</v>
      </c>
      <c r="F131" s="54" t="s">
        <v>252</v>
      </c>
      <c r="G131" s="54" t="s">
        <v>129</v>
      </c>
      <c r="H131" s="56">
        <v>36306</v>
      </c>
      <c r="I131" s="54" t="s">
        <v>111</v>
      </c>
      <c r="J131" s="54" t="s">
        <v>112</v>
      </c>
      <c r="K131" s="55">
        <v>51875</v>
      </c>
      <c r="L131" s="54" t="s">
        <v>113</v>
      </c>
      <c r="N131" s="54" t="s">
        <v>253</v>
      </c>
      <c r="Q131" s="57">
        <v>3473</v>
      </c>
      <c r="R131" s="57"/>
      <c r="S131" s="57">
        <f>+Q131</f>
        <v>3473</v>
      </c>
      <c r="T131" s="58" t="s">
        <v>254</v>
      </c>
      <c r="U131" s="58"/>
      <c r="V131" s="192"/>
      <c r="W131" s="58">
        <f t="shared" ref="W131:AW131" si="161">V131</f>
        <v>0</v>
      </c>
      <c r="X131" s="58">
        <f t="shared" si="161"/>
        <v>0</v>
      </c>
      <c r="Y131" s="58">
        <f t="shared" si="161"/>
        <v>0</v>
      </c>
      <c r="Z131" s="58">
        <f t="shared" si="161"/>
        <v>0</v>
      </c>
      <c r="AA131" s="58">
        <f t="shared" si="161"/>
        <v>0</v>
      </c>
      <c r="AB131" s="58">
        <f t="shared" si="161"/>
        <v>0</v>
      </c>
      <c r="AC131" s="58">
        <f t="shared" si="161"/>
        <v>0</v>
      </c>
      <c r="AD131" s="58">
        <f t="shared" si="161"/>
        <v>0</v>
      </c>
      <c r="AE131" s="58">
        <f t="shared" si="161"/>
        <v>0</v>
      </c>
      <c r="AF131" s="58">
        <f t="shared" si="161"/>
        <v>0</v>
      </c>
      <c r="AG131" s="58">
        <f t="shared" si="161"/>
        <v>0</v>
      </c>
      <c r="AH131" s="58">
        <f t="shared" si="161"/>
        <v>0</v>
      </c>
      <c r="AI131" s="58">
        <f t="shared" si="161"/>
        <v>0</v>
      </c>
      <c r="AJ131" s="58">
        <f t="shared" si="161"/>
        <v>0</v>
      </c>
      <c r="AK131" s="58">
        <f t="shared" si="161"/>
        <v>0</v>
      </c>
      <c r="AL131" s="58">
        <f t="shared" si="161"/>
        <v>0</v>
      </c>
      <c r="AM131" s="58">
        <f t="shared" si="161"/>
        <v>0</v>
      </c>
      <c r="AN131" s="58">
        <f t="shared" si="161"/>
        <v>0</v>
      </c>
      <c r="AO131" s="58">
        <f t="shared" si="161"/>
        <v>0</v>
      </c>
      <c r="AP131" s="58">
        <f t="shared" si="161"/>
        <v>0</v>
      </c>
      <c r="AQ131" s="58">
        <f t="shared" si="161"/>
        <v>0</v>
      </c>
      <c r="AR131" s="58">
        <f t="shared" si="161"/>
        <v>0</v>
      </c>
      <c r="AS131" s="58">
        <f t="shared" si="161"/>
        <v>0</v>
      </c>
      <c r="AT131" s="58">
        <f t="shared" si="161"/>
        <v>0</v>
      </c>
      <c r="AU131" s="58">
        <f t="shared" si="161"/>
        <v>0</v>
      </c>
      <c r="AV131" s="58">
        <f t="shared" si="161"/>
        <v>0</v>
      </c>
      <c r="AW131" s="58">
        <f t="shared" si="161"/>
        <v>0</v>
      </c>
      <c r="AX131" s="58">
        <f>AW131</f>
        <v>0</v>
      </c>
      <c r="AY131" s="58">
        <f>AX131</f>
        <v>0</v>
      </c>
      <c r="AZ131" s="58"/>
      <c r="BA131" s="58"/>
      <c r="BB131" s="58">
        <f>SUM(V131:AZ131)</f>
        <v>0</v>
      </c>
      <c r="BC131" s="177">
        <f>+BB131/31</f>
        <v>0</v>
      </c>
      <c r="BD131" s="177">
        <f>MAX(V131:AZ131)</f>
        <v>0</v>
      </c>
      <c r="BE131" s="58"/>
      <c r="BF131" s="57"/>
      <c r="BO131" s="60"/>
      <c r="FH131" s="61"/>
      <c r="FI131" s="61"/>
      <c r="FJ131" s="61"/>
      <c r="FK131" s="61"/>
      <c r="FL131" s="61"/>
      <c r="FM131" s="61"/>
      <c r="FN131" s="61"/>
      <c r="FO131" s="61"/>
      <c r="FP131" s="61"/>
      <c r="FQ131" s="61"/>
      <c r="FR131" s="217"/>
      <c r="FS131" s="61"/>
      <c r="FT131" s="61"/>
      <c r="FU131" s="61"/>
      <c r="FV131" s="61"/>
      <c r="FW131" s="61"/>
      <c r="FX131" s="61"/>
      <c r="FY131" s="61"/>
      <c r="FZ131" s="61"/>
      <c r="GA131" s="61"/>
      <c r="GB131" s="61"/>
      <c r="GC131" s="61"/>
      <c r="GD131" s="61"/>
      <c r="GE131" s="61"/>
      <c r="GF131" s="61"/>
      <c r="GG131" s="61"/>
      <c r="GH131" s="61"/>
      <c r="GI131" s="61"/>
      <c r="GJ131" s="61"/>
      <c r="GK131" s="61"/>
      <c r="GL131" s="61"/>
      <c r="GM131" s="61"/>
      <c r="GN131" s="61"/>
      <c r="GO131" s="61"/>
      <c r="GP131" s="61"/>
      <c r="GQ131" s="61"/>
      <c r="GR131" s="61"/>
      <c r="GS131" s="61"/>
      <c r="GT131" s="61"/>
      <c r="GU131" s="61"/>
      <c r="GV131" s="61"/>
      <c r="GW131" s="61"/>
      <c r="GX131" s="61"/>
      <c r="GY131" s="61"/>
      <c r="GZ131" s="61"/>
      <c r="HA131" s="61"/>
      <c r="HB131" s="61"/>
      <c r="HC131" s="61"/>
      <c r="HD131" s="61"/>
      <c r="HP131" s="57">
        <f>Q131-SUM(BG131:DE131)</f>
        <v>3473</v>
      </c>
      <c r="HQ131" s="57"/>
    </row>
    <row r="132" spans="1:225" s="54" customFormat="1" ht="15.75" outlineLevel="1">
      <c r="A132" s="54" t="s">
        <v>128</v>
      </c>
      <c r="B132" s="55">
        <v>22</v>
      </c>
      <c r="D132" s="35"/>
      <c r="E132" s="54">
        <v>3</v>
      </c>
      <c r="F132" s="54" t="s">
        <v>252</v>
      </c>
      <c r="G132" s="54" t="s">
        <v>129</v>
      </c>
      <c r="H132" s="56">
        <v>36306</v>
      </c>
      <c r="I132" s="54" t="s">
        <v>111</v>
      </c>
      <c r="J132" s="54" t="s">
        <v>112</v>
      </c>
      <c r="K132" s="55">
        <v>60599</v>
      </c>
      <c r="L132" s="54" t="s">
        <v>113</v>
      </c>
      <c r="N132" s="54" t="s">
        <v>253</v>
      </c>
      <c r="Q132" s="57">
        <v>2081</v>
      </c>
      <c r="R132" s="57"/>
      <c r="S132" s="57">
        <f>+Q132</f>
        <v>2081</v>
      </c>
      <c r="T132" s="58" t="s">
        <v>254</v>
      </c>
      <c r="U132" s="58"/>
      <c r="V132" s="192"/>
      <c r="W132" s="58">
        <f t="shared" ref="W132:AY132" si="162">V132</f>
        <v>0</v>
      </c>
      <c r="X132" s="58">
        <f t="shared" si="162"/>
        <v>0</v>
      </c>
      <c r="Y132" s="58">
        <f t="shared" si="162"/>
        <v>0</v>
      </c>
      <c r="Z132" s="58">
        <f t="shared" si="162"/>
        <v>0</v>
      </c>
      <c r="AA132" s="58">
        <f t="shared" si="162"/>
        <v>0</v>
      </c>
      <c r="AB132" s="58">
        <f t="shared" si="162"/>
        <v>0</v>
      </c>
      <c r="AC132" s="58">
        <f t="shared" si="162"/>
        <v>0</v>
      </c>
      <c r="AD132" s="58">
        <f t="shared" si="162"/>
        <v>0</v>
      </c>
      <c r="AE132" s="58">
        <f t="shared" si="162"/>
        <v>0</v>
      </c>
      <c r="AF132" s="58">
        <f t="shared" si="162"/>
        <v>0</v>
      </c>
      <c r="AG132" s="58">
        <f t="shared" si="162"/>
        <v>0</v>
      </c>
      <c r="AH132" s="58">
        <f t="shared" si="162"/>
        <v>0</v>
      </c>
      <c r="AI132" s="58">
        <f t="shared" si="162"/>
        <v>0</v>
      </c>
      <c r="AJ132" s="58">
        <f t="shared" si="162"/>
        <v>0</v>
      </c>
      <c r="AK132" s="58">
        <f t="shared" si="162"/>
        <v>0</v>
      </c>
      <c r="AL132" s="58">
        <f t="shared" si="162"/>
        <v>0</v>
      </c>
      <c r="AM132" s="58">
        <f t="shared" si="162"/>
        <v>0</v>
      </c>
      <c r="AN132" s="58">
        <f t="shared" si="162"/>
        <v>0</v>
      </c>
      <c r="AO132" s="58">
        <f t="shared" si="162"/>
        <v>0</v>
      </c>
      <c r="AP132" s="58">
        <f t="shared" si="162"/>
        <v>0</v>
      </c>
      <c r="AQ132" s="58">
        <f t="shared" si="162"/>
        <v>0</v>
      </c>
      <c r="AR132" s="58">
        <f t="shared" si="162"/>
        <v>0</v>
      </c>
      <c r="AS132" s="58">
        <f t="shared" si="162"/>
        <v>0</v>
      </c>
      <c r="AT132" s="58">
        <f t="shared" si="162"/>
        <v>0</v>
      </c>
      <c r="AU132" s="58">
        <f t="shared" si="162"/>
        <v>0</v>
      </c>
      <c r="AV132" s="58">
        <f t="shared" si="162"/>
        <v>0</v>
      </c>
      <c r="AW132" s="58">
        <f t="shared" si="162"/>
        <v>0</v>
      </c>
      <c r="AX132" s="58">
        <f t="shared" si="162"/>
        <v>0</v>
      </c>
      <c r="AY132" s="58">
        <f t="shared" si="162"/>
        <v>0</v>
      </c>
      <c r="AZ132" s="58"/>
      <c r="BA132" s="58"/>
      <c r="BB132" s="58">
        <f>SUM(V132:AZ132)</f>
        <v>0</v>
      </c>
      <c r="BC132" s="177">
        <f>+BB132/31</f>
        <v>0</v>
      </c>
      <c r="BD132" s="177">
        <f>MAX(V132:AZ132)</f>
        <v>0</v>
      </c>
      <c r="BE132" s="58"/>
      <c r="BF132" s="57"/>
      <c r="BO132" s="60"/>
      <c r="FH132" s="61"/>
      <c r="FI132" s="61"/>
      <c r="FJ132" s="61"/>
      <c r="FK132" s="61"/>
      <c r="FL132" s="61"/>
      <c r="FM132" s="61"/>
      <c r="FN132" s="61"/>
      <c r="FO132" s="61"/>
      <c r="FP132" s="61"/>
      <c r="FQ132" s="61"/>
      <c r="FR132" s="217"/>
      <c r="FS132" s="61"/>
      <c r="FT132" s="61"/>
      <c r="FU132" s="61"/>
      <c r="FV132" s="61"/>
      <c r="FW132" s="61"/>
      <c r="FX132" s="61"/>
      <c r="FY132" s="61"/>
      <c r="FZ132" s="61"/>
      <c r="GA132" s="61"/>
      <c r="GB132" s="61"/>
      <c r="GC132" s="61"/>
      <c r="GD132" s="61"/>
      <c r="GE132" s="61"/>
      <c r="GF132" s="61"/>
      <c r="GG132" s="61"/>
      <c r="GH132" s="61"/>
      <c r="GI132" s="61"/>
      <c r="GJ132" s="61"/>
      <c r="GK132" s="61"/>
      <c r="GL132" s="61"/>
      <c r="GM132" s="61"/>
      <c r="GN132" s="61"/>
      <c r="GO132" s="61"/>
      <c r="GP132" s="61"/>
      <c r="GQ132" s="61"/>
      <c r="GR132" s="61"/>
      <c r="GS132" s="61"/>
      <c r="GT132" s="61"/>
      <c r="GU132" s="61"/>
      <c r="GV132" s="61"/>
      <c r="GW132" s="61"/>
      <c r="GX132" s="61"/>
      <c r="GY132" s="61"/>
      <c r="GZ132" s="61"/>
      <c r="HA132" s="61"/>
      <c r="HB132" s="61"/>
      <c r="HC132" s="61"/>
      <c r="HD132" s="61"/>
      <c r="HP132" s="57">
        <f>Q132-SUM(BG132:DE132)</f>
        <v>2081</v>
      </c>
      <c r="HQ132" s="57"/>
    </row>
    <row r="133" spans="1:225" s="54" customFormat="1" ht="15.75" outlineLevel="1">
      <c r="A133" s="54" t="s">
        <v>128</v>
      </c>
      <c r="B133" s="55">
        <v>22</v>
      </c>
      <c r="D133" s="35"/>
      <c r="E133" s="54">
        <v>3</v>
      </c>
      <c r="F133" s="54" t="s">
        <v>252</v>
      </c>
      <c r="G133" s="54" t="s">
        <v>129</v>
      </c>
      <c r="H133" s="56">
        <v>36306</v>
      </c>
      <c r="I133" s="54" t="s">
        <v>111</v>
      </c>
      <c r="J133" s="54" t="s">
        <v>112</v>
      </c>
      <c r="K133" s="55">
        <v>63895</v>
      </c>
      <c r="L133" s="54" t="s">
        <v>113</v>
      </c>
      <c r="N133" s="54" t="s">
        <v>253</v>
      </c>
      <c r="Q133" s="57">
        <v>0</v>
      </c>
      <c r="R133" s="57"/>
      <c r="S133" s="57">
        <f>+Q133</f>
        <v>0</v>
      </c>
      <c r="T133" s="58" t="s">
        <v>254</v>
      </c>
      <c r="U133" s="58"/>
      <c r="V133" s="192"/>
      <c r="W133" s="58">
        <f t="shared" ref="W133:AW133" si="163">V133</f>
        <v>0</v>
      </c>
      <c r="X133" s="58">
        <f t="shared" si="163"/>
        <v>0</v>
      </c>
      <c r="Y133" s="58">
        <f t="shared" si="163"/>
        <v>0</v>
      </c>
      <c r="Z133" s="58">
        <f t="shared" si="163"/>
        <v>0</v>
      </c>
      <c r="AA133" s="58">
        <f t="shared" si="163"/>
        <v>0</v>
      </c>
      <c r="AB133" s="58">
        <f t="shared" si="163"/>
        <v>0</v>
      </c>
      <c r="AC133" s="58">
        <f t="shared" si="163"/>
        <v>0</v>
      </c>
      <c r="AD133" s="58">
        <f t="shared" si="163"/>
        <v>0</v>
      </c>
      <c r="AE133" s="58">
        <f t="shared" si="163"/>
        <v>0</v>
      </c>
      <c r="AF133" s="58">
        <f t="shared" si="163"/>
        <v>0</v>
      </c>
      <c r="AG133" s="58">
        <f t="shared" si="163"/>
        <v>0</v>
      </c>
      <c r="AH133" s="58">
        <f t="shared" si="163"/>
        <v>0</v>
      </c>
      <c r="AI133" s="58">
        <f t="shared" si="163"/>
        <v>0</v>
      </c>
      <c r="AJ133" s="58">
        <f t="shared" si="163"/>
        <v>0</v>
      </c>
      <c r="AK133" s="58">
        <f t="shared" si="163"/>
        <v>0</v>
      </c>
      <c r="AL133" s="58">
        <f t="shared" si="163"/>
        <v>0</v>
      </c>
      <c r="AM133" s="58">
        <f t="shared" si="163"/>
        <v>0</v>
      </c>
      <c r="AN133" s="58">
        <f t="shared" si="163"/>
        <v>0</v>
      </c>
      <c r="AO133" s="58">
        <f t="shared" si="163"/>
        <v>0</v>
      </c>
      <c r="AP133" s="58">
        <f t="shared" si="163"/>
        <v>0</v>
      </c>
      <c r="AQ133" s="58">
        <f t="shared" si="163"/>
        <v>0</v>
      </c>
      <c r="AR133" s="58">
        <f t="shared" si="163"/>
        <v>0</v>
      </c>
      <c r="AS133" s="58">
        <f t="shared" si="163"/>
        <v>0</v>
      </c>
      <c r="AT133" s="58">
        <f t="shared" si="163"/>
        <v>0</v>
      </c>
      <c r="AU133" s="58">
        <f t="shared" si="163"/>
        <v>0</v>
      </c>
      <c r="AV133" s="58">
        <f t="shared" si="163"/>
        <v>0</v>
      </c>
      <c r="AW133" s="58">
        <f t="shared" si="163"/>
        <v>0</v>
      </c>
      <c r="AX133" s="58">
        <f>AW133</f>
        <v>0</v>
      </c>
      <c r="AY133" s="58">
        <f>AX133</f>
        <v>0</v>
      </c>
      <c r="AZ133" s="58"/>
      <c r="BA133" s="58"/>
      <c r="BB133" s="58">
        <f>SUM(V133:AZ133)</f>
        <v>0</v>
      </c>
      <c r="BC133" s="177">
        <f>+BB133/31</f>
        <v>0</v>
      </c>
      <c r="BD133" s="177">
        <f>MAX(V133:AZ133)</f>
        <v>0</v>
      </c>
      <c r="BE133" s="58"/>
      <c r="BF133" s="57"/>
      <c r="BO133" s="60"/>
      <c r="FH133" s="61"/>
      <c r="FI133" s="61"/>
      <c r="FJ133" s="61"/>
      <c r="FK133" s="61"/>
      <c r="FL133" s="61"/>
      <c r="FM133" s="61"/>
      <c r="FN133" s="61"/>
      <c r="FO133" s="61"/>
      <c r="FP133" s="61"/>
      <c r="FQ133" s="61"/>
      <c r="FR133" s="217"/>
      <c r="FS133" s="61"/>
      <c r="FT133" s="61"/>
      <c r="FU133" s="61"/>
      <c r="FV133" s="61"/>
      <c r="FW133" s="61"/>
      <c r="FX133" s="61"/>
      <c r="FY133" s="61"/>
      <c r="FZ133" s="61"/>
      <c r="GA133" s="61"/>
      <c r="GB133" s="61"/>
      <c r="GC133" s="61"/>
      <c r="GD133" s="61"/>
      <c r="GE133" s="61"/>
      <c r="GF133" s="61"/>
      <c r="GG133" s="61"/>
      <c r="GH133" s="61"/>
      <c r="GI133" s="61"/>
      <c r="GJ133" s="61"/>
      <c r="GK133" s="61"/>
      <c r="GL133" s="61"/>
      <c r="GM133" s="61"/>
      <c r="GN133" s="61"/>
      <c r="GO133" s="61"/>
      <c r="GP133" s="61"/>
      <c r="GQ133" s="61"/>
      <c r="GR133" s="61"/>
      <c r="GS133" s="61"/>
      <c r="GT133" s="61"/>
      <c r="GU133" s="61"/>
      <c r="GV133" s="61"/>
      <c r="GW133" s="61"/>
      <c r="GX133" s="61"/>
      <c r="GY133" s="61"/>
      <c r="GZ133" s="61"/>
      <c r="HA133" s="61"/>
      <c r="HB133" s="61"/>
      <c r="HC133" s="61"/>
      <c r="HD133" s="61"/>
      <c r="HP133" s="57">
        <f>Q133-SUM(BG133:DE133)</f>
        <v>0</v>
      </c>
      <c r="HQ133" s="57"/>
    </row>
    <row r="134" spans="1:225" s="54" customFormat="1" ht="15.75">
      <c r="A134" s="54" t="s">
        <v>277</v>
      </c>
      <c r="B134" s="55">
        <v>24</v>
      </c>
      <c r="D134" s="35">
        <v>35</v>
      </c>
      <c r="E134" s="54">
        <v>8</v>
      </c>
      <c r="F134" s="54" t="s">
        <v>50</v>
      </c>
      <c r="G134" s="54" t="s">
        <v>129</v>
      </c>
      <c r="H134" s="163"/>
      <c r="K134" s="55">
        <v>64939</v>
      </c>
      <c r="L134" s="54" t="s">
        <v>113</v>
      </c>
      <c r="Q134" s="57">
        <v>1400</v>
      </c>
      <c r="R134" s="57"/>
      <c r="S134" s="57">
        <v>1400</v>
      </c>
      <c r="T134" s="58" t="s">
        <v>233</v>
      </c>
      <c r="U134" s="58"/>
      <c r="V134" s="59">
        <v>0</v>
      </c>
      <c r="W134" s="58">
        <f t="shared" ref="W134:AW134" si="164">V134</f>
        <v>0</v>
      </c>
      <c r="X134" s="58">
        <f t="shared" si="164"/>
        <v>0</v>
      </c>
      <c r="Y134" s="58">
        <f t="shared" si="164"/>
        <v>0</v>
      </c>
      <c r="Z134" s="58">
        <f t="shared" si="164"/>
        <v>0</v>
      </c>
      <c r="AA134" s="58">
        <f t="shared" si="164"/>
        <v>0</v>
      </c>
      <c r="AB134" s="58">
        <f t="shared" si="164"/>
        <v>0</v>
      </c>
      <c r="AC134" s="58">
        <f t="shared" si="164"/>
        <v>0</v>
      </c>
      <c r="AD134" s="58">
        <f t="shared" si="164"/>
        <v>0</v>
      </c>
      <c r="AE134" s="58">
        <f t="shared" si="164"/>
        <v>0</v>
      </c>
      <c r="AF134" s="58">
        <f t="shared" si="164"/>
        <v>0</v>
      </c>
      <c r="AG134" s="58">
        <f t="shared" si="164"/>
        <v>0</v>
      </c>
      <c r="AH134" s="58">
        <f t="shared" si="164"/>
        <v>0</v>
      </c>
      <c r="AI134" s="58">
        <f t="shared" si="164"/>
        <v>0</v>
      </c>
      <c r="AJ134" s="58">
        <f t="shared" si="164"/>
        <v>0</v>
      </c>
      <c r="AK134" s="58">
        <f t="shared" si="164"/>
        <v>0</v>
      </c>
      <c r="AL134" s="58">
        <f t="shared" si="164"/>
        <v>0</v>
      </c>
      <c r="AM134" s="58">
        <f t="shared" si="164"/>
        <v>0</v>
      </c>
      <c r="AN134" s="58">
        <f t="shared" si="164"/>
        <v>0</v>
      </c>
      <c r="AO134" s="58">
        <f t="shared" si="164"/>
        <v>0</v>
      </c>
      <c r="AP134" s="58">
        <f t="shared" si="164"/>
        <v>0</v>
      </c>
      <c r="AQ134" s="58">
        <f t="shared" si="164"/>
        <v>0</v>
      </c>
      <c r="AR134" s="58">
        <f t="shared" si="164"/>
        <v>0</v>
      </c>
      <c r="AS134" s="58">
        <f t="shared" si="164"/>
        <v>0</v>
      </c>
      <c r="AT134" s="58">
        <f t="shared" si="164"/>
        <v>0</v>
      </c>
      <c r="AU134" s="58">
        <f t="shared" si="164"/>
        <v>0</v>
      </c>
      <c r="AV134" s="58">
        <f t="shared" si="164"/>
        <v>0</v>
      </c>
      <c r="AW134" s="58">
        <f t="shared" si="164"/>
        <v>0</v>
      </c>
      <c r="AX134" s="58">
        <f>AW134</f>
        <v>0</v>
      </c>
      <c r="AY134" s="58">
        <f>AX134</f>
        <v>0</v>
      </c>
      <c r="AZ134" s="58"/>
      <c r="BA134" s="58"/>
      <c r="BB134" s="58">
        <f>SUM(V134:AZ134)</f>
        <v>0</v>
      </c>
      <c r="BC134" s="177">
        <f>+BB134/31</f>
        <v>0</v>
      </c>
      <c r="BD134" s="177">
        <f>MAX(V134:AZ134)</f>
        <v>0</v>
      </c>
      <c r="BE134" s="58"/>
      <c r="BF134" s="57"/>
      <c r="BO134" s="60"/>
      <c r="FH134" s="61"/>
      <c r="FI134" s="61"/>
      <c r="FJ134" s="61"/>
      <c r="FK134" s="61"/>
      <c r="FL134" s="61"/>
      <c r="FM134" s="61"/>
      <c r="FN134" s="61"/>
      <c r="FO134" s="61"/>
      <c r="FP134" s="61"/>
      <c r="FQ134" s="61"/>
      <c r="FR134" s="217"/>
      <c r="FS134" s="61"/>
      <c r="FT134" s="61"/>
      <c r="FU134" s="61"/>
      <c r="FV134" s="61"/>
      <c r="FW134" s="61"/>
      <c r="FX134" s="61"/>
      <c r="FY134" s="61"/>
      <c r="FZ134" s="61"/>
      <c r="GA134" s="61"/>
      <c r="GB134" s="61"/>
      <c r="GC134" s="61"/>
      <c r="GD134" s="61"/>
      <c r="GE134" s="61"/>
      <c r="GF134" s="61"/>
      <c r="GG134" s="61"/>
      <c r="GH134" s="61"/>
      <c r="GI134" s="61"/>
      <c r="GJ134" s="61"/>
      <c r="GK134" s="61"/>
      <c r="GL134" s="61"/>
      <c r="GM134" s="61"/>
      <c r="GN134" s="61"/>
      <c r="GO134" s="61"/>
      <c r="GP134" s="61"/>
      <c r="GQ134" s="61"/>
      <c r="GR134" s="61"/>
      <c r="GS134" s="61"/>
      <c r="GT134" s="61"/>
      <c r="GU134" s="61"/>
      <c r="GV134" s="61"/>
      <c r="GW134" s="61"/>
      <c r="GX134" s="61"/>
      <c r="GY134" s="61"/>
      <c r="GZ134" s="61"/>
      <c r="HA134" s="61"/>
      <c r="HB134" s="61"/>
      <c r="HC134" s="61"/>
      <c r="HD134" s="61"/>
    </row>
    <row r="135" spans="1:225" s="61" customFormat="1" ht="15.75">
      <c r="B135" s="62"/>
      <c r="D135" s="14"/>
      <c r="I135" s="28"/>
      <c r="J135" s="28"/>
      <c r="K135" s="62"/>
      <c r="Q135" s="141"/>
      <c r="R135" s="15"/>
      <c r="S135" s="23"/>
      <c r="T135" s="67"/>
      <c r="U135" s="67"/>
      <c r="V135" s="68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23"/>
      <c r="BO135" s="69"/>
      <c r="FR135" s="217"/>
    </row>
    <row r="136" spans="1:225" s="61" customFormat="1" ht="15.75" outlineLevel="1">
      <c r="B136" s="62"/>
      <c r="D136" s="14"/>
      <c r="H136" s="142" t="s">
        <v>255</v>
      </c>
      <c r="I136" s="142" t="s">
        <v>255</v>
      </c>
      <c r="J136" s="142" t="s">
        <v>256</v>
      </c>
      <c r="K136" s="142" t="s">
        <v>256</v>
      </c>
      <c r="Q136" s="141"/>
      <c r="R136" s="15"/>
      <c r="S136" s="23"/>
      <c r="T136" s="67"/>
      <c r="U136" s="67"/>
      <c r="V136" s="68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23"/>
      <c r="BO136" s="69"/>
      <c r="FR136" s="217"/>
    </row>
    <row r="137" spans="1:225" s="61" customFormat="1" ht="13.9" customHeight="1" outlineLevel="1">
      <c r="B137" s="62"/>
      <c r="D137" s="14"/>
      <c r="F137" s="129" t="s">
        <v>257</v>
      </c>
      <c r="G137" s="143" t="s">
        <v>44</v>
      </c>
      <c r="H137" s="144" t="s">
        <v>258</v>
      </c>
      <c r="I137" s="144" t="s">
        <v>259</v>
      </c>
      <c r="J137" s="144" t="s">
        <v>258</v>
      </c>
      <c r="K137" s="144" t="s">
        <v>259</v>
      </c>
      <c r="P137" s="129" t="s">
        <v>92</v>
      </c>
      <c r="Q137" s="143" t="s">
        <v>44</v>
      </c>
      <c r="R137" s="145" t="s">
        <v>353</v>
      </c>
      <c r="S137" s="23"/>
      <c r="T137" s="67"/>
      <c r="U137" s="67"/>
      <c r="V137" s="68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23"/>
      <c r="BO137" s="69"/>
      <c r="FR137" s="217"/>
    </row>
    <row r="138" spans="1:225" s="61" customFormat="1" ht="13.9" customHeight="1" outlineLevel="1">
      <c r="B138" s="62"/>
      <c r="D138" s="14"/>
      <c r="F138" s="61" t="s">
        <v>108</v>
      </c>
      <c r="G138" s="23">
        <f>SUMIF($B$8:$B$109,"30CS",$Q$8:$Q$109)</f>
        <v>0</v>
      </c>
      <c r="H138" s="23">
        <f>SUMIF($O$8:$O$109,"30CSrbase",$Q$8:$Q$109)</f>
        <v>0</v>
      </c>
      <c r="I138" s="23">
        <f>SUMIF($O$8:$O$109,"30CSrinc",$Q$8:$Q$109)</f>
        <v>0</v>
      </c>
      <c r="J138" s="23">
        <f>SUMIF($O$8:$O$109,"30CSWbase",$Q$8:$Q$109)</f>
        <v>0</v>
      </c>
      <c r="K138" s="23">
        <f>SUMIF($O$8:$O$109,"30CSWinc",$Q$8:$Q$109)</f>
        <v>0</v>
      </c>
      <c r="P138" s="61">
        <v>1</v>
      </c>
      <c r="Q138" s="23">
        <f>SUMIF($E$8:$E$109,1,$Q$8:$Q$109)</f>
        <v>0</v>
      </c>
      <c r="R138" s="23">
        <f>SUMIF($E$8:$E$109,1,$R$8:$R$109)</f>
        <v>0</v>
      </c>
      <c r="S138" s="23"/>
      <c r="T138" s="67"/>
      <c r="U138" s="67"/>
      <c r="V138" s="68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23"/>
      <c r="BO138" s="69"/>
      <c r="FR138" s="217"/>
    </row>
    <row r="139" spans="1:225" s="61" customFormat="1" ht="13.9" customHeight="1" outlineLevel="1">
      <c r="B139" s="62"/>
      <c r="D139" s="14"/>
      <c r="F139" s="61" t="s">
        <v>117</v>
      </c>
      <c r="G139" s="23">
        <f>SUMIF($B$8:$B$109,"30RV",$Q$8:$Q$109)</f>
        <v>0</v>
      </c>
      <c r="H139" s="23">
        <f>SUMIF($O$8:$O$109,"30RVrbase",$Q$8:$Q$109)</f>
        <v>0</v>
      </c>
      <c r="I139" s="23">
        <f>SUMIF($O$8:$O$109,"30RVrinc",$Q$8:$Q$109)</f>
        <v>0</v>
      </c>
      <c r="J139" s="23">
        <f>SUMIF($O$8:$O$109,"30RVWbase",$Q$8:$Q$109)</f>
        <v>0</v>
      </c>
      <c r="K139" s="23">
        <f>SUMIF($O$8:$O$109,"30RVWinc",$Q$8:$Q$109)</f>
        <v>0</v>
      </c>
      <c r="P139" s="61">
        <v>2</v>
      </c>
      <c r="Q139" s="23">
        <f>SUMIF($E$8:$E$109,2,$Q$8:$Q$109)</f>
        <v>0</v>
      </c>
      <c r="R139" s="23">
        <f>SUMIF($E$8:$E$109,2,$R$8:$R$109)</f>
        <v>0</v>
      </c>
      <c r="S139" s="23"/>
      <c r="T139" s="67"/>
      <c r="U139" s="67"/>
      <c r="V139" s="68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23"/>
      <c r="BO139" s="69"/>
      <c r="FR139" s="217"/>
    </row>
    <row r="140" spans="1:225" s="61" customFormat="1" ht="13.9" customHeight="1" outlineLevel="1">
      <c r="B140" s="62"/>
      <c r="D140" s="14"/>
      <c r="F140" s="61" t="s">
        <v>120</v>
      </c>
      <c r="G140" s="23">
        <f>SUMIF($B$8:$B$109,833866,$Q$8:$Q$109)</f>
        <v>0</v>
      </c>
      <c r="H140" s="23">
        <f>SUMIF($O$8:$O$109,"833866rbase",$Q$8:$Q$109)</f>
        <v>0</v>
      </c>
      <c r="I140" s="23">
        <f>SUMIF($O$8:$O$109,"833866rinc",$Q$8:$Q$109)</f>
        <v>0</v>
      </c>
      <c r="J140" s="23">
        <f>SUMIF($O$8:$O$109,"833866Wbase",$Q$8:$Q$109)</f>
        <v>0</v>
      </c>
      <c r="K140" s="23">
        <f>SUMIF($O$8:$O$109,"833866Winc",$Q$8:$Q$109)</f>
        <v>0</v>
      </c>
      <c r="P140" s="61">
        <v>3</v>
      </c>
      <c r="Q140" s="23">
        <f>SUMIF($E$8:$E$109,3,$Q$8:$Q$109)</f>
        <v>0</v>
      </c>
      <c r="R140" s="23">
        <f>SUMIF($E$8:$E$109,3,$R$8:$R$109)</f>
        <v>0</v>
      </c>
      <c r="S140" s="23"/>
      <c r="T140" s="67"/>
      <c r="U140" s="67"/>
      <c r="V140" s="68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23"/>
      <c r="BO140" s="69"/>
      <c r="FR140" s="217"/>
    </row>
    <row r="141" spans="1:225" s="61" customFormat="1" ht="13.9" customHeight="1" outlineLevel="1">
      <c r="B141" s="62"/>
      <c r="D141" s="14"/>
      <c r="F141" s="61" t="s">
        <v>123</v>
      </c>
      <c r="G141" s="23">
        <f>SUMIF($B$8:$B$109,833469,$Q$8:$Q$109)</f>
        <v>0</v>
      </c>
      <c r="H141" s="23">
        <f>SUMIF($O$8:$O$109,"833469rbase",$Q$8:$Q$109)</f>
        <v>0</v>
      </c>
      <c r="I141" s="23">
        <f>SUMIF($O$8:$O$109,"833469rinc",$Q$8:$Q$109)</f>
        <v>0</v>
      </c>
      <c r="J141" s="23">
        <f>SUMIF($O$8:$O$109,"833469Wbase",$Q$8:$Q$109)</f>
        <v>0</v>
      </c>
      <c r="K141" s="23">
        <f>SUMIF($O$8:$O$109,"833469Winc",$Q$8:$Q$109)</f>
        <v>0</v>
      </c>
      <c r="P141" s="61">
        <v>4</v>
      </c>
      <c r="Q141" s="23">
        <f>SUMIF($E$8:$E$109,4,$Q$8:$Q$109)</f>
        <v>0</v>
      </c>
      <c r="R141" s="23">
        <f>SUMIF($E$8:$E$109,4,$R$8:$R$109)</f>
        <v>0</v>
      </c>
      <c r="S141" s="23"/>
      <c r="T141" s="67"/>
      <c r="U141" s="67"/>
      <c r="V141" s="68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23"/>
      <c r="BO141" s="69"/>
      <c r="FR141" s="217"/>
    </row>
    <row r="142" spans="1:225" s="61" customFormat="1" ht="13.9" customHeight="1" outlineLevel="1">
      <c r="B142" s="62"/>
      <c r="D142" s="14"/>
      <c r="F142" s="61" t="s">
        <v>260</v>
      </c>
      <c r="G142" s="23">
        <f>SUMIF($B$8:$B$109,831095,$Q$8:$Q$109)</f>
        <v>0</v>
      </c>
      <c r="H142" s="23">
        <f>SUMIF($O$8:$O$109,"831095rbase",$Q$8:$Q$109)</f>
        <v>0</v>
      </c>
      <c r="I142" s="23">
        <f>SUMIF($O$8:$O$109,"831095rinc",$Q$8:$Q$109)</f>
        <v>0</v>
      </c>
      <c r="J142" s="23">
        <f>SUMIF($O$8:$O$109,"831095Wbase",$Q$8:$Q$109)</f>
        <v>0</v>
      </c>
      <c r="K142" s="23">
        <f>SUMIF($O$8:$O$109,"831095Winc",$Q$8:$Q$109)</f>
        <v>0</v>
      </c>
      <c r="P142" s="61">
        <v>5</v>
      </c>
      <c r="Q142" s="23">
        <f>SUMIF($E$8:$E$109,5,$Q$8:$Q$109)</f>
        <v>0</v>
      </c>
      <c r="R142" s="23">
        <f>SUMIF($E$8:$E$109,5,$R$8:$R$109)</f>
        <v>0</v>
      </c>
      <c r="S142" s="23"/>
      <c r="T142" s="67"/>
      <c r="U142" s="67"/>
      <c r="V142" s="68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23"/>
      <c r="BO142" s="69"/>
      <c r="FR142" s="217"/>
    </row>
    <row r="143" spans="1:225" s="61" customFormat="1" ht="13.9" customHeight="1" outlineLevel="1">
      <c r="B143" s="62"/>
      <c r="D143" s="14"/>
      <c r="F143" s="61" t="s">
        <v>300</v>
      </c>
      <c r="G143" s="23">
        <f>SUMIF($B$8:$B$109,21,$Q$8:$Q$109)</f>
        <v>0</v>
      </c>
      <c r="H143" s="23">
        <f>SUMIF($O$8:$O$109,"21rbase",$Q$8:$Q$109)</f>
        <v>0</v>
      </c>
      <c r="I143" s="23">
        <f>SUMIF($O$8:$O$109,"21rinc",$Q$8:$Q$109)</f>
        <v>0</v>
      </c>
      <c r="J143" s="23">
        <f>SUMIF($O$8:$O$109,"21Wbase",$Q$8:$Q$109)</f>
        <v>0</v>
      </c>
      <c r="K143" s="23">
        <f>SUMIF($O$8:$O$109,"21Winc",$Q$8:$Q$109)</f>
        <v>0</v>
      </c>
      <c r="P143" s="61">
        <v>6</v>
      </c>
      <c r="Q143" s="23">
        <f>SUMIF($E$8:$E$109,6,$Q$8:$Q$109)</f>
        <v>0</v>
      </c>
      <c r="R143" s="23">
        <f>SUMIF($E$8:$E$109,6,$R$8:$R$109)</f>
        <v>0</v>
      </c>
      <c r="S143" s="23"/>
      <c r="T143" s="67"/>
      <c r="U143" s="67"/>
      <c r="V143" s="68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23"/>
      <c r="BO143" s="69"/>
      <c r="FR143" s="217"/>
    </row>
    <row r="144" spans="1:225" s="61" customFormat="1" ht="13.9" customHeight="1" outlineLevel="1">
      <c r="B144" s="62"/>
      <c r="D144" s="14"/>
      <c r="F144" s="61" t="s">
        <v>128</v>
      </c>
      <c r="G144" s="23">
        <f>SUMIF($B$8:$B$109,22,$Q$8:$Q$109)</f>
        <v>0</v>
      </c>
      <c r="H144" s="23">
        <f>SUMIF($O$8:$O$109,"22rbase",$Q$8:$Q$109)</f>
        <v>0</v>
      </c>
      <c r="I144" s="23">
        <f>SUMIF($O$8:$O$109,"22rinc",$Q$8:$Q$109)</f>
        <v>0</v>
      </c>
      <c r="J144" s="23">
        <f>SUMIF($O$8:$O$109,"22Wbase",$Q$8:$Q$109)</f>
        <v>0</v>
      </c>
      <c r="K144" s="23">
        <f>SUMIF($O$8:$O$109,"22Winc",$Q$8:$Q$109)</f>
        <v>0</v>
      </c>
      <c r="P144" s="61">
        <v>7</v>
      </c>
      <c r="Q144" s="23">
        <f>SUMIF($E$8:$E$109,7,$Q$8:$Q$109)</f>
        <v>0</v>
      </c>
      <c r="R144" s="23">
        <f>SUMIF($E$8:$E$109,7,$R$8:$R$109)</f>
        <v>0</v>
      </c>
      <c r="S144" s="23"/>
      <c r="T144" s="67"/>
      <c r="U144" s="67"/>
      <c r="V144" s="68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23"/>
      <c r="BO144" s="69"/>
      <c r="FR144" s="217"/>
    </row>
    <row r="145" spans="2:174" s="61" customFormat="1" ht="13.9" customHeight="1" outlineLevel="1">
      <c r="B145" s="62"/>
      <c r="D145" s="14"/>
      <c r="F145" s="61" t="s">
        <v>134</v>
      </c>
      <c r="G145" s="23">
        <f>SUMIF($B$8:$B$109,17,$Q$8:$Q$109)</f>
        <v>0</v>
      </c>
      <c r="H145" s="23">
        <f>SUMIF($O$8:$O$109,"17rbase",$Q$8:$Q$109)</f>
        <v>0</v>
      </c>
      <c r="I145" s="23">
        <f>SUMIF($O$8:$O$109,"17rinc",$Q$8:$Q$109)</f>
        <v>0</v>
      </c>
      <c r="J145" s="23">
        <f>SUMIF($O$8:$O$109,"17Wbase",$Q$8:$Q$109)</f>
        <v>0</v>
      </c>
      <c r="K145" s="23">
        <f>SUMIF($O$8:$O$109,"17Winc",$Q$8:$Q$109)</f>
        <v>0</v>
      </c>
      <c r="P145" s="61">
        <v>8</v>
      </c>
      <c r="Q145" s="23">
        <f>SUMIF($E$8:$E$109,8,$Q$8:$Q$109)</f>
        <v>0</v>
      </c>
      <c r="R145" s="23">
        <f>SUMIF($E$8:$E$109,8,$R$8:$R$109)</f>
        <v>0</v>
      </c>
      <c r="S145" s="23"/>
      <c r="T145" s="67"/>
      <c r="U145" s="67"/>
      <c r="V145" s="68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23"/>
      <c r="BO145" s="69"/>
      <c r="FR145" s="217"/>
    </row>
    <row r="146" spans="2:174" s="61" customFormat="1" ht="13.9" customHeight="1" outlineLevel="1">
      <c r="B146" s="62"/>
      <c r="D146" s="14"/>
      <c r="F146" s="61" t="s">
        <v>138</v>
      </c>
      <c r="G146" s="23">
        <f>SUMIF($B$8:$B$109,"27",$Q$8:$Q$109)</f>
        <v>0</v>
      </c>
      <c r="H146" s="23">
        <f>SUMIF($O$8:$O$109,"27rbase",$Q$8:$Q$109)</f>
        <v>0</v>
      </c>
      <c r="I146" s="23">
        <f>SUMIF($O$8:$O$109,"27rinc",$Q$8:$Q$109)</f>
        <v>0</v>
      </c>
      <c r="J146" s="23">
        <f>SUMIF($O$8:$O$109,"27Wbase",$Q$8:$Q$109)</f>
        <v>0</v>
      </c>
      <c r="K146" s="23">
        <f>SUMIF($O$8:$O$109,"27Winc",$Q$8:$Q$109)</f>
        <v>0</v>
      </c>
      <c r="P146" s="61">
        <v>9</v>
      </c>
      <c r="Q146" s="23">
        <f>SUMIF($E$8:$E$109,9,$Q$8:$Q$109)</f>
        <v>0</v>
      </c>
      <c r="R146" s="23">
        <f>SUMIF($E$8:$E$109,9,$R$8:$R$109)</f>
        <v>0</v>
      </c>
      <c r="S146" s="23"/>
      <c r="T146" s="67"/>
      <c r="U146" s="67"/>
      <c r="V146" s="68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23"/>
      <c r="BO146" s="69"/>
      <c r="FR146" s="217"/>
    </row>
    <row r="147" spans="2:174" s="61" customFormat="1" ht="13.9" customHeight="1" outlineLevel="1">
      <c r="B147" s="62"/>
      <c r="D147" s="14"/>
      <c r="F147" s="61" t="s">
        <v>261</v>
      </c>
      <c r="G147" s="23">
        <f>SUMIF($B$8:$B$109,"25E",$Q$8:$Q$109)</f>
        <v>0</v>
      </c>
      <c r="H147" s="23">
        <f>SUMIF($O$8:$O$109,"25Erbase",$Q$8:$Q$109)</f>
        <v>0</v>
      </c>
      <c r="I147" s="23">
        <f>SUMIF($O$8:$O$109,"25Erinc",$Q$8:$Q$109)</f>
        <v>0</v>
      </c>
      <c r="J147" s="23">
        <f>SUMIF($O$8:$O$109,"25EWbase",$Q$8:$Q$109)</f>
        <v>0</v>
      </c>
      <c r="K147" s="23">
        <f>SUMIF($O$8:$O$109,"25EWinc",$Q$8:$Q$109)</f>
        <v>0</v>
      </c>
      <c r="P147" s="61">
        <v>10</v>
      </c>
      <c r="Q147" s="23">
        <f>SUMIF($E$8:$E$109,10,$Q$8:$Q$109)</f>
        <v>0</v>
      </c>
      <c r="R147" s="23">
        <f>SUMIF($E$8:$E$109,10,$R$8:$R$109)</f>
        <v>0</v>
      </c>
      <c r="S147" s="23"/>
      <c r="T147" s="67"/>
      <c r="U147" s="67"/>
      <c r="V147" s="68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23"/>
      <c r="BO147" s="69"/>
      <c r="FR147" s="217"/>
    </row>
    <row r="148" spans="2:174" s="61" customFormat="1" ht="13.9" customHeight="1" outlineLevel="1">
      <c r="B148" s="62"/>
      <c r="D148" s="14"/>
      <c r="F148" s="61" t="s">
        <v>262</v>
      </c>
      <c r="G148" s="23">
        <f>SUMIF($B$8:$B$109,"19E",$Q$8:$Q$109)</f>
        <v>0</v>
      </c>
      <c r="H148" s="23">
        <f>SUMIF($O$8:$O$109,"19Erbase",$Q$8:$Q$109)</f>
        <v>0</v>
      </c>
      <c r="I148" s="23">
        <f>SUMIF($O$8:$O$109,"19Erinc",$Q$8:$Q$109)</f>
        <v>0</v>
      </c>
      <c r="J148" s="23">
        <f>SUMIF($O$8:$O$109,"19EWbase",$Q$8:$Q$109)</f>
        <v>0</v>
      </c>
      <c r="K148" s="23">
        <f>SUMIF($O$8:$O$109,"19EWinc",$Q$8:$Q$109)</f>
        <v>0</v>
      </c>
      <c r="P148" s="61" t="s">
        <v>210</v>
      </c>
      <c r="Q148" s="23">
        <f>SUMIF($E$8:$E$109,"ST",$Q$8:$Q$109)</f>
        <v>0</v>
      </c>
      <c r="R148" s="23">
        <f>SUMIF($E$8:$E$109,"ST",$R$8:$R$109)</f>
        <v>0</v>
      </c>
      <c r="S148" s="23"/>
      <c r="T148" s="67"/>
      <c r="U148" s="67"/>
      <c r="V148" s="68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23"/>
      <c r="BO148" s="69"/>
      <c r="FR148" s="217"/>
    </row>
    <row r="149" spans="2:174" s="61" customFormat="1" ht="13.9" customHeight="1" outlineLevel="1">
      <c r="B149" s="62"/>
      <c r="D149" s="14"/>
      <c r="F149" s="61" t="s">
        <v>263</v>
      </c>
      <c r="G149" s="23">
        <f>SUMIF($B$8:$B$109,"56",$Q$8:$Q$109)</f>
        <v>0</v>
      </c>
      <c r="H149" s="23">
        <f>SUMIF($O$8:$O$109,"56rbase",$Q$8:$Q$109)</f>
        <v>0</v>
      </c>
      <c r="I149" s="23">
        <f>SUMIF($O$8:$O$109,"56rinc",$Q$8:$Q$109)</f>
        <v>0</v>
      </c>
      <c r="J149" s="23">
        <f>SUMIF($O$8:$O$109,"56Wbase",$Q$8:$Q$109)</f>
        <v>0</v>
      </c>
      <c r="K149" s="23">
        <f>SUMIF($O$8:$O$109,"56Winc",$Q$8:$Q$109)</f>
        <v>0</v>
      </c>
      <c r="Q149" s="23"/>
      <c r="R149" s="23"/>
      <c r="S149" s="23"/>
      <c r="T149" s="67"/>
      <c r="U149" s="67"/>
      <c r="V149" s="68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23"/>
      <c r="BO149" s="69"/>
      <c r="FR149" s="217"/>
    </row>
    <row r="150" spans="2:174" s="61" customFormat="1" ht="13.9" customHeight="1" outlineLevel="1">
      <c r="B150" s="62"/>
      <c r="D150" s="14"/>
      <c r="F150" s="61" t="s">
        <v>349</v>
      </c>
      <c r="G150" s="23">
        <f>SUMIF($B$8:$B$109,107,$Q$8:$Q$109)</f>
        <v>0</v>
      </c>
      <c r="H150" s="23">
        <f>SUMIF($O$8:$O$109,"107rbase",$Q$8:$Q$109)</f>
        <v>0</v>
      </c>
      <c r="I150" s="23">
        <f>SUMIF($O$8:$O$109,"107rinc",$Q$8:$Q$109)</f>
        <v>0</v>
      </c>
      <c r="J150" s="23">
        <f>SUMIF($O$8:$O$109,"107Wbase",$Q$8:$Q$109)</f>
        <v>0</v>
      </c>
      <c r="K150" s="23">
        <f>SUMIF($O$8:$O$109,"107Winc",$Q$8:$Q$109)</f>
        <v>0</v>
      </c>
      <c r="M150" s="13" t="s">
        <v>103</v>
      </c>
      <c r="N150" s="13"/>
      <c r="O150" s="13"/>
      <c r="P150" s="14"/>
      <c r="Q150" s="15">
        <f>SUM(Q138:Q148)</f>
        <v>0</v>
      </c>
      <c r="R150" s="15">
        <f>SUM(R138:R148)</f>
        <v>0</v>
      </c>
      <c r="S150" s="23"/>
      <c r="T150" s="67"/>
      <c r="U150" s="67"/>
      <c r="V150" s="68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23"/>
      <c r="BO150" s="69"/>
      <c r="FR150" s="217"/>
    </row>
    <row r="151" spans="2:174" s="61" customFormat="1" ht="13.9" customHeight="1" outlineLevel="1">
      <c r="B151" s="62"/>
      <c r="D151" s="14"/>
      <c r="F151" s="61" t="s">
        <v>166</v>
      </c>
      <c r="G151" s="23">
        <f>SUMIF($B$8:$B$109,54,$Q$8:$Q$109)</f>
        <v>0</v>
      </c>
      <c r="H151" s="23">
        <f>SUMIF($O$8:$O$109,"54rbase",$Q$8:$Q$109)</f>
        <v>0</v>
      </c>
      <c r="I151" s="23">
        <f>SUMIF($O$8:$O$109,"54rinc",$Q$8:$Q$109)</f>
        <v>0</v>
      </c>
      <c r="J151" s="23">
        <f>SUMIF($O$8:$O$109,"54Wbase",$Q$8:$Q$109)</f>
        <v>0</v>
      </c>
      <c r="K151" s="23">
        <f>SUMIF($O$8:$O$109,"54Winc",$Q$8:$Q$109)</f>
        <v>0</v>
      </c>
      <c r="Q151" s="23"/>
      <c r="R151" s="23"/>
      <c r="S151" s="23"/>
      <c r="T151" s="67"/>
      <c r="U151" s="67"/>
      <c r="V151" s="68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23"/>
      <c r="BO151" s="69"/>
      <c r="FR151" s="217"/>
    </row>
    <row r="152" spans="2:174" s="61" customFormat="1" ht="13.9" customHeight="1" outlineLevel="1">
      <c r="B152" s="62"/>
      <c r="D152" s="14"/>
      <c r="F152" s="61" t="s">
        <v>264</v>
      </c>
      <c r="G152" s="23">
        <f>SUMIF($B$8:$B$109,"23N",$Q$8:$Q$109)</f>
        <v>0</v>
      </c>
      <c r="H152" s="23">
        <f>SUMIF($O$8:$O$109,"23Nrbase",$Q$8:$Q$109)</f>
        <v>0</v>
      </c>
      <c r="I152" s="23">
        <f>SUMIF($O$8:$O$109,"23Nrinc",$Q$8:$Q$109)</f>
        <v>0</v>
      </c>
      <c r="J152" s="23">
        <f>SUMIF($O$8:$O$109,"23NWbase",$Q$8:$Q$109)</f>
        <v>0</v>
      </c>
      <c r="K152" s="23">
        <f>SUMIF($O$8:$O$109,"23NWinc",$Q$8:$Q$109)</f>
        <v>0</v>
      </c>
      <c r="Q152" s="23"/>
      <c r="R152" s="23"/>
      <c r="S152" s="23"/>
      <c r="T152" s="67"/>
      <c r="U152" s="67"/>
      <c r="V152" s="68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23"/>
      <c r="BO152" s="69"/>
      <c r="FR152" s="217"/>
    </row>
    <row r="153" spans="2:174" s="61" customFormat="1" ht="13.9" customHeight="1" outlineLevel="1">
      <c r="B153" s="62"/>
      <c r="D153" s="14"/>
      <c r="F153" s="61" t="s">
        <v>265</v>
      </c>
      <c r="G153" s="23">
        <f>SUMIF($B$8:$B$109,18,$Q$8:$Q$109)</f>
        <v>0</v>
      </c>
      <c r="H153" s="23">
        <f>SUMIF($O$8:$O$109,"18rbase",$Q$8:$Q$109)</f>
        <v>0</v>
      </c>
      <c r="I153" s="23">
        <f>SUMIF($O$8:$O$109,"18rinc",$Q$8:$Q$109)</f>
        <v>0</v>
      </c>
      <c r="J153" s="23">
        <f>SUMIF($O$8:$O$109,"18Wbase",$Q$8:$Q$109)</f>
        <v>0</v>
      </c>
      <c r="K153" s="23">
        <f>SUMIF($O$8:$O$109,"18Winc",$Q$8:$Q$109)</f>
        <v>0</v>
      </c>
      <c r="N153" s="146"/>
      <c r="O153" s="146"/>
      <c r="P153" s="23"/>
      <c r="Q153" s="147" t="s">
        <v>54</v>
      </c>
      <c r="R153" s="148" t="s">
        <v>266</v>
      </c>
      <c r="S153" s="149" t="s">
        <v>267</v>
      </c>
      <c r="T153" s="67"/>
      <c r="U153" s="67"/>
      <c r="V153" s="68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23"/>
      <c r="BO153" s="69"/>
      <c r="FR153" s="217"/>
    </row>
    <row r="154" spans="2:174" s="61" customFormat="1" ht="13.9" customHeight="1" outlineLevel="1">
      <c r="B154" s="62"/>
      <c r="D154" s="14"/>
      <c r="F154" s="61" t="s">
        <v>175</v>
      </c>
      <c r="G154" s="23">
        <f>SUMIF($B$8:$B$109,73,$Q$8:$Q$109)</f>
        <v>0</v>
      </c>
      <c r="H154" s="23">
        <f>SUMIF($O$8:$O$109,"73rbase",$Q$8:$Q$109)</f>
        <v>0</v>
      </c>
      <c r="I154" s="23">
        <f>SUMIF($O$8:$O$109,"73rinc",$Q$8:$Q$109)</f>
        <v>0</v>
      </c>
      <c r="J154" s="23">
        <f>SUMIF($O$8:$O$109,"73Wbase",$Q$8:$Q$109)</f>
        <v>0</v>
      </c>
      <c r="K154" s="23">
        <f>SUMIF($O$8:$O$109,"73Winc",$Q$8:$Q$109)</f>
        <v>0</v>
      </c>
      <c r="M154" s="146" t="s">
        <v>268</v>
      </c>
      <c r="N154" s="23"/>
      <c r="O154" s="23"/>
      <c r="P154" s="23"/>
      <c r="Q154" s="150">
        <v>37147</v>
      </c>
      <c r="R154" s="23">
        <f>SUMIF($T$8:$T$109,37147,$Q$8:$Q$109)</f>
        <v>0</v>
      </c>
      <c r="S154" s="23">
        <f>+R154/$Q$159</f>
        <v>0</v>
      </c>
      <c r="T154" s="67"/>
      <c r="U154" s="67"/>
      <c r="V154" s="68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23"/>
      <c r="BO154" s="69"/>
      <c r="FR154" s="217"/>
    </row>
    <row r="155" spans="2:174" s="61" customFormat="1" ht="13.9" customHeight="1" outlineLevel="1">
      <c r="B155" s="62"/>
      <c r="D155" s="14"/>
      <c r="F155" s="61" t="s">
        <v>14</v>
      </c>
      <c r="G155" s="23">
        <f>SUMIF($B$8:$B$109,23,$Q$8:$Q$109)</f>
        <v>0</v>
      </c>
      <c r="H155" s="23">
        <f>SUMIF($O$8:$O$109,"23rbase",$Q$8:$Q$109)</f>
        <v>0</v>
      </c>
      <c r="I155" s="23">
        <f>SUMIF($O$8:$O$109,"23rinc",$Q$8:$Q$109)</f>
        <v>0</v>
      </c>
      <c r="J155" s="23">
        <f>SUMIF($O$8:$O$109,"23Wbase",$Q$8:$Q$109)</f>
        <v>0</v>
      </c>
      <c r="K155" s="23">
        <f>SUMIF($O$8:$O$109,"23Winc",$Q$8:$Q$109)</f>
        <v>0</v>
      </c>
      <c r="M155" s="23" t="s">
        <v>307</v>
      </c>
      <c r="N155" s="23"/>
      <c r="O155" s="23"/>
      <c r="P155" s="23"/>
      <c r="Q155" s="150">
        <v>66917</v>
      </c>
      <c r="R155" s="23">
        <f>SUMIF($T$8:$T$109,66917,$Q$8:$Q$109)</f>
        <v>0</v>
      </c>
      <c r="S155" s="23">
        <f>+R155/$Q$159</f>
        <v>0</v>
      </c>
      <c r="T155" s="67"/>
      <c r="U155" s="67"/>
      <c r="V155" s="68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23"/>
      <c r="BO155" s="69"/>
      <c r="FR155" s="217"/>
    </row>
    <row r="156" spans="2:174" s="61" customFormat="1" ht="13.9" customHeight="1" outlineLevel="1">
      <c r="B156" s="62"/>
      <c r="D156" s="14"/>
      <c r="F156" s="61" t="s">
        <v>269</v>
      </c>
      <c r="G156" s="23">
        <f>SUMIF($B$8:$B$109,"732999",$Q$8:$Q$109)</f>
        <v>0</v>
      </c>
      <c r="H156" s="23">
        <f>SUMIF($O$8:$O$109,"732999rbase",$Q$8:$Q$109)</f>
        <v>0</v>
      </c>
      <c r="I156" s="23">
        <f>SUMIF($O$8:$O$109,"732999rinc",$Q$8:$Q$109)</f>
        <v>0</v>
      </c>
      <c r="J156" s="23">
        <f>SUMIF($O$8:$O$109,"732999Wbase",$Q$8:$Q$109)</f>
        <v>0</v>
      </c>
      <c r="K156" s="23">
        <f>SUMIF($O$8:$O$109,"732999Winc",$Q$8:$Q$109)</f>
        <v>0</v>
      </c>
      <c r="M156" s="23" t="s">
        <v>270</v>
      </c>
      <c r="N156" s="23"/>
      <c r="O156" s="23"/>
      <c r="P156" s="23"/>
      <c r="Q156" s="97" t="s">
        <v>271</v>
      </c>
      <c r="R156" s="151">
        <f>SUMIF($T$8:$T$109,"A03",$Q$8:$Q$109)</f>
        <v>0</v>
      </c>
      <c r="S156" s="151">
        <f>+R156/$Q$159</f>
        <v>0</v>
      </c>
      <c r="T156" s="67"/>
      <c r="U156" s="67"/>
      <c r="V156" s="68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23"/>
      <c r="BO156" s="69"/>
      <c r="FR156" s="217"/>
    </row>
    <row r="157" spans="2:174" s="61" customFormat="1" ht="13.9" customHeight="1" outlineLevel="1">
      <c r="B157" s="62"/>
      <c r="D157" s="14"/>
      <c r="F157" s="61" t="s">
        <v>183</v>
      </c>
      <c r="G157" s="23">
        <f>SUMIF($B$8:$B$109,80,$Q$8:$Q$109)</f>
        <v>0</v>
      </c>
      <c r="H157" s="23">
        <f>SUMIF($O$8:$O$109,"80rbase",$Q$8:$Q$109)</f>
        <v>0</v>
      </c>
      <c r="I157" s="23">
        <f>SUMIF($O$8:$O$109,"80rinc",$Q$8:$Q$109)</f>
        <v>0</v>
      </c>
      <c r="J157" s="23">
        <f>SUMIF($O$8:$O$109,"80Wbase",$Q$8:$Q$109)</f>
        <v>0</v>
      </c>
      <c r="K157" s="23">
        <f>SUMIF($O$8:$O$109,"80Winc",$Q$8:$Q$109)</f>
        <v>0</v>
      </c>
      <c r="M157" s="23" t="s">
        <v>308</v>
      </c>
      <c r="N157" s="23"/>
      <c r="O157" s="23"/>
      <c r="P157" s="23"/>
      <c r="Q157" s="97"/>
      <c r="R157" s="15">
        <f>SUM(R154:R156)</f>
        <v>0</v>
      </c>
      <c r="S157" s="15">
        <f>SUM(S154:S156)</f>
        <v>0</v>
      </c>
      <c r="T157" s="152" t="s">
        <v>273</v>
      </c>
      <c r="U157" s="152"/>
      <c r="V157" s="153"/>
      <c r="W157" s="152"/>
      <c r="X157" s="152"/>
      <c r="Y157" s="152"/>
      <c r="Z157" s="152"/>
      <c r="AA157" s="152"/>
      <c r="AB157" s="152"/>
      <c r="AC157" s="152"/>
      <c r="AD157" s="152"/>
      <c r="AE157" s="152"/>
      <c r="AF157" s="152"/>
      <c r="AG157" s="152"/>
      <c r="AH157" s="152"/>
      <c r="AI157" s="152"/>
      <c r="AJ157" s="152"/>
      <c r="AK157" s="152"/>
      <c r="AL157" s="152"/>
      <c r="AM157" s="152"/>
      <c r="AN157" s="152"/>
      <c r="AO157" s="152"/>
      <c r="AP157" s="152"/>
      <c r="AQ157" s="152"/>
      <c r="AR157" s="152"/>
      <c r="AS157" s="152"/>
      <c r="AT157" s="152"/>
      <c r="AU157" s="152"/>
      <c r="AV157" s="152"/>
      <c r="AW157" s="152"/>
      <c r="AX157" s="152"/>
      <c r="AY157" s="152"/>
      <c r="AZ157" s="152"/>
      <c r="BA157" s="152"/>
      <c r="BB157" s="152"/>
      <c r="BC157" s="152"/>
      <c r="BD157" s="152"/>
      <c r="BE157" s="152"/>
      <c r="BF157" s="23"/>
      <c r="BO157" s="69"/>
      <c r="FR157" s="217"/>
    </row>
    <row r="158" spans="2:174" s="61" customFormat="1" ht="15.75" outlineLevel="1">
      <c r="B158" s="62"/>
      <c r="D158" s="14"/>
      <c r="F158" s="61" t="s">
        <v>272</v>
      </c>
      <c r="G158" s="23">
        <f>SUMIF($B$8:$B$109,67,$Q$8:$Q$109)</f>
        <v>0</v>
      </c>
      <c r="H158" s="23">
        <f>SUMIF($O$8:$O$109,"67rbase",$Q$8:$Q$109)</f>
        <v>0</v>
      </c>
      <c r="I158" s="23">
        <f>SUMIF($O$8:$O$109,"67rinc",$Q$8:$Q$109)</f>
        <v>0</v>
      </c>
      <c r="J158" s="23">
        <f>SUMIF($O$8:$O$109,"67Wbase",$Q$8:$Q$109)</f>
        <v>0</v>
      </c>
      <c r="K158" s="23">
        <f>SUMIF($O$8:$O$109,"67Winc",$Q$8:$Q$109)</f>
        <v>0</v>
      </c>
      <c r="O158" s="23"/>
      <c r="P158" s="23"/>
      <c r="U158" s="67"/>
      <c r="V158" s="68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23"/>
      <c r="BO158" s="69"/>
      <c r="FR158" s="217"/>
    </row>
    <row r="159" spans="2:174" s="61" customFormat="1" ht="15.75" outlineLevel="1">
      <c r="B159" s="62"/>
      <c r="D159" s="14"/>
      <c r="F159" s="61" t="s">
        <v>274</v>
      </c>
      <c r="G159" s="23">
        <f>SUMIF($B$8:$B$109,48,$Q$8:$Q$109)</f>
        <v>0</v>
      </c>
      <c r="H159" s="23">
        <f>SUMIF($O$8:$O$109,"48rbase",$Q$8:$Q$109)</f>
        <v>0</v>
      </c>
      <c r="I159" s="23">
        <f>SUMIF($O$8:$O$109,"48rinc",$Q$8:$Q$109)</f>
        <v>0</v>
      </c>
      <c r="J159" s="23">
        <f>SUMIF($O$8:$O$109,"48Wbase",$Q$8:$Q$109)</f>
        <v>0</v>
      </c>
      <c r="K159" s="23">
        <f>SUMIF($O$8:$O$109,"48Winc",$Q$8:$Q$109)</f>
        <v>0</v>
      </c>
      <c r="Q159" s="154">
        <v>0.97884000000000004</v>
      </c>
      <c r="R159" s="23"/>
      <c r="S159" s="150"/>
      <c r="T159" s="67"/>
      <c r="U159" s="67"/>
      <c r="V159" s="68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23"/>
      <c r="BO159" s="69"/>
      <c r="FR159" s="217"/>
    </row>
    <row r="160" spans="2:174" s="61" customFormat="1" ht="15.75" outlineLevel="1">
      <c r="B160" s="62"/>
      <c r="D160" s="14"/>
      <c r="F160" s="61" t="s">
        <v>275</v>
      </c>
      <c r="G160" s="23">
        <f>SUMIF($B$8:$B$109,348,$Q$8:$Q$109)</f>
        <v>0</v>
      </c>
      <c r="H160" s="23">
        <f>SUMIF($O$8:$O$109,"348rbase",$Q$8:$Q$109)</f>
        <v>0</v>
      </c>
      <c r="I160" s="23">
        <f>SUMIF($O$8:$O$109,"348rinc",$Q$8:$Q$109)</f>
        <v>0</v>
      </c>
      <c r="J160" s="23">
        <f>SUMIF($O$8:$O$109,"348Wbase",$Q$8:$Q$109)</f>
        <v>0</v>
      </c>
      <c r="K160" s="23">
        <f>SUMIF($O$8:$O$109,"348Winc",$Q$8:$Q$109)</f>
        <v>0</v>
      </c>
      <c r="Q160" s="23"/>
      <c r="R160" s="23"/>
      <c r="S160" s="23"/>
      <c r="T160" s="67"/>
      <c r="U160" s="67"/>
      <c r="V160" s="68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23"/>
      <c r="BO160" s="69"/>
      <c r="FR160" s="217"/>
    </row>
    <row r="161" spans="2:212" s="61" customFormat="1" ht="18" customHeight="1" outlineLevel="1">
      <c r="B161" s="62"/>
      <c r="D161" s="14"/>
      <c r="F161" s="61" t="s">
        <v>276</v>
      </c>
      <c r="G161" s="23">
        <f>SUMIF($B$8:$B$109,44,$Q$8:$Q$109)</f>
        <v>0</v>
      </c>
      <c r="H161" s="23">
        <f>SUMIF($O$8:$O$109,"44rbase",$Q$8:$Q$109)</f>
        <v>0</v>
      </c>
      <c r="I161" s="23">
        <f>SUMIF($O$8:$O$109,"44rinc",$Q$8:$Q$109)</f>
        <v>0</v>
      </c>
      <c r="J161" s="23">
        <f>SUMIF($O$8:$O$109,"44Wbase",$Q$8:$Q$109)</f>
        <v>0</v>
      </c>
      <c r="K161" s="23">
        <f>SUMIF($O$8:$O$109,"44Winc",$Q$8:$Q$109)</f>
        <v>0</v>
      </c>
      <c r="N161" s="23"/>
      <c r="O161" s="23"/>
      <c r="P161" s="23"/>
      <c r="Q161" s="67" t="s">
        <v>212</v>
      </c>
      <c r="R161" s="23">
        <f>SUMIF($T$8:$T$109,"beth gas",$Q$8:$Q$109)</f>
        <v>0</v>
      </c>
      <c r="S161" s="23">
        <f>+R161/$Q$159</f>
        <v>0</v>
      </c>
      <c r="T161" s="67"/>
      <c r="U161" s="67"/>
      <c r="V161" s="68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23"/>
      <c r="BO161" s="69"/>
      <c r="FR161" s="217"/>
    </row>
    <row r="162" spans="2:212" s="61" customFormat="1" ht="15.75" outlineLevel="1">
      <c r="B162" s="62"/>
      <c r="D162" s="14"/>
      <c r="F162" s="61" t="s">
        <v>298</v>
      </c>
      <c r="G162" s="23">
        <f>SUMIF($B$8:$B$109,6,$Q$8:$Q$109)</f>
        <v>0</v>
      </c>
      <c r="H162" s="23">
        <f>SUMIF($O$8:$O$109,"6rbase",$Q$8:$Q$109)</f>
        <v>0</v>
      </c>
      <c r="I162" s="23">
        <f>SUMIF($O$8:$O$109,"6rinc",$Q$8:$Q$109)</f>
        <v>0</v>
      </c>
      <c r="J162" s="23">
        <f>SUMIF($O$8:$O$109,"6Wbase",$Q$8:$Q$109)</f>
        <v>0</v>
      </c>
      <c r="K162" s="23">
        <f>SUMIF($O$8:$O$109,"6Winc",$Q$8:$Q$109)</f>
        <v>0</v>
      </c>
      <c r="N162" s="23"/>
      <c r="O162" s="23"/>
      <c r="P162" s="23"/>
      <c r="Q162" s="23"/>
      <c r="R162" s="23"/>
      <c r="S162" s="23"/>
      <c r="T162" s="67"/>
      <c r="U162" s="67"/>
      <c r="V162" s="68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23"/>
      <c r="BO162" s="69"/>
      <c r="FR162" s="217"/>
    </row>
    <row r="163" spans="2:212" s="61" customFormat="1" ht="15.75" outlineLevel="1">
      <c r="B163" s="62"/>
      <c r="D163" s="14"/>
      <c r="F163" s="61" t="s">
        <v>277</v>
      </c>
      <c r="G163" s="23">
        <f>SUMIF($B$8:$B$109,24,$Q$8:$Q$109)</f>
        <v>0</v>
      </c>
      <c r="H163" s="23">
        <f>SUMIF($O$8:$O$109,"24rbase",$Q$8:$Q$109)</f>
        <v>0</v>
      </c>
      <c r="I163" s="23">
        <f>SUMIF($O$8:$O$109,"24rinc",$Q$8:$Q$109)</f>
        <v>0</v>
      </c>
      <c r="J163" s="23">
        <f>SUMIF($O$8:$O$109,"24Wbase",$Q$8:$Q$109)</f>
        <v>0</v>
      </c>
      <c r="K163" s="23">
        <f>SUMIF($O$8:$O$109,"24Winc",$Q$8:$Q$109)</f>
        <v>0</v>
      </c>
      <c r="P163" s="23"/>
      <c r="Q163" s="23"/>
      <c r="R163" s="23"/>
      <c r="S163" s="23"/>
      <c r="T163" s="67"/>
      <c r="U163" s="67"/>
      <c r="V163" s="68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23"/>
      <c r="BO163" s="69"/>
      <c r="FR163" s="217"/>
    </row>
    <row r="164" spans="2:212" s="61" customFormat="1" ht="15.75" outlineLevel="1">
      <c r="B164" s="62"/>
      <c r="D164" s="14"/>
      <c r="F164" s="61" t="s">
        <v>278</v>
      </c>
      <c r="G164" s="23">
        <f>SUMIF($B$8:$B$109,25,$Q$8:$Q$109)</f>
        <v>0</v>
      </c>
      <c r="H164" s="23">
        <f>SUMIF($O$8:$O$109,"25rbase",$Q$8:$Q$109)</f>
        <v>0</v>
      </c>
      <c r="I164" s="23">
        <f>SUMIF($O$8:$O$109,"25rinc",$Q$8:$Q$109)</f>
        <v>0</v>
      </c>
      <c r="J164" s="23">
        <f>SUMIF($O$8:$O$109,"25Wbase",$Q$8:$Q$109)</f>
        <v>0</v>
      </c>
      <c r="K164" s="23">
        <f>SUMIF($O$8:$O$109,"25Winc",$Q$8:$Q$109)</f>
        <v>0</v>
      </c>
      <c r="Q164" s="23"/>
      <c r="R164" s="23"/>
      <c r="S164" s="23"/>
      <c r="T164" s="67"/>
      <c r="U164" s="67"/>
      <c r="V164" s="68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23"/>
      <c r="BO164" s="69"/>
      <c r="FR164" s="217"/>
    </row>
    <row r="165" spans="2:212" s="61" customFormat="1" ht="15.75" outlineLevel="1">
      <c r="B165" s="62"/>
      <c r="D165" s="14"/>
      <c r="F165" s="61" t="s">
        <v>279</v>
      </c>
      <c r="G165" s="23">
        <f>SUMIF($B$8:$B$109,19,$Q$8:$Q$109)</f>
        <v>0</v>
      </c>
      <c r="H165" s="23">
        <f>SUMIF($O$8:$O$109,"19rbase",$Q$8:$Q$109)</f>
        <v>0</v>
      </c>
      <c r="I165" s="23">
        <f>SUMIF($O$8:$O$109,"19rinc",$Q$8:$Q$109)</f>
        <v>0</v>
      </c>
      <c r="J165" s="23">
        <f>SUMIF($O$8:$O$109,"19Wbase",$Q$8:$Q$109)</f>
        <v>0</v>
      </c>
      <c r="K165" s="23">
        <f>SUMIF($O$8:$O$109,"19Winc",$Q$8:$Q$109)</f>
        <v>0</v>
      </c>
      <c r="Q165" s="23"/>
      <c r="R165" s="23"/>
      <c r="S165" s="23"/>
      <c r="T165" s="67"/>
      <c r="U165" s="67"/>
      <c r="V165" s="68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23"/>
      <c r="BO165" s="69"/>
      <c r="FR165" s="217"/>
    </row>
    <row r="166" spans="2:212" s="61" customFormat="1" ht="15.75" outlineLevel="1">
      <c r="B166" s="62"/>
      <c r="D166" s="14"/>
      <c r="F166" s="61" t="s">
        <v>195</v>
      </c>
      <c r="G166" s="23">
        <f>SUMIF($B$8:$B$109,29,$Q$8:$Q$109)</f>
        <v>0</v>
      </c>
      <c r="H166" s="23">
        <f>SUMIF($O$8:$O$109,"29rbase",$Q$8:$Q$109)</f>
        <v>0</v>
      </c>
      <c r="I166" s="23">
        <f>SUMIF($O$8:$O$109,"29rinc",$Q$8:$Q$109)</f>
        <v>0</v>
      </c>
      <c r="J166" s="23">
        <f>SUMIF($O$8:$O$109,"29Wbase",$Q$8:$Q$109)</f>
        <v>0</v>
      </c>
      <c r="K166" s="23">
        <f>SUMIF($O$8:$O$109,"29Winc",$Q$8:$Q$109)</f>
        <v>0</v>
      </c>
      <c r="Q166" s="23"/>
      <c r="R166" s="23"/>
      <c r="S166" s="23"/>
      <c r="T166" s="67"/>
      <c r="U166" s="67"/>
      <c r="V166" s="68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23"/>
      <c r="BO166" s="69"/>
      <c r="FR166" s="217"/>
    </row>
    <row r="167" spans="2:212" s="61" customFormat="1" ht="15.75" outlineLevel="1">
      <c r="B167" s="62"/>
      <c r="D167" s="14"/>
      <c r="F167" s="61" t="s">
        <v>263</v>
      </c>
      <c r="G167" s="23">
        <f>SUMIF($B$8:$B$109,"56W",$Q$8:$Q$109)</f>
        <v>0</v>
      </c>
      <c r="H167" s="23">
        <f>SUMIF($O$8:$O$109,"56Wrbase",$Q$8:$Q$109)</f>
        <v>0</v>
      </c>
      <c r="I167" s="23">
        <f>SUMIF($O$8:$O$109,"56Wrinc",$Q$8:$Q$109)</f>
        <v>0</v>
      </c>
      <c r="J167" s="23">
        <f>SUMIF($O$8:$O$109,"56WWbase",$Q$8:$Q$109)</f>
        <v>0</v>
      </c>
      <c r="K167" s="23">
        <f>SUMIF($O$8:$O$109,"56WWinc",$Q$8:$Q$109)</f>
        <v>0</v>
      </c>
      <c r="Q167" s="23"/>
      <c r="R167" s="23"/>
      <c r="S167" s="23"/>
      <c r="T167" s="67"/>
      <c r="U167" s="67"/>
      <c r="V167" s="68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23"/>
      <c r="BO167" s="69"/>
      <c r="FR167" s="217"/>
    </row>
    <row r="168" spans="2:212" s="61" customFormat="1" ht="15.75" outlineLevel="1">
      <c r="B168" s="62"/>
      <c r="D168" s="14"/>
      <c r="F168" s="61" t="s">
        <v>198</v>
      </c>
      <c r="G168" s="23">
        <f>SUMIF($B$8:$B$109,4,$Q$8:$Q$109)</f>
        <v>0</v>
      </c>
      <c r="H168" s="23">
        <f>SUMIF($O$8:$O$109,"4rbase",$Q$8:$Q$109)</f>
        <v>0</v>
      </c>
      <c r="I168" s="23">
        <f>SUMIF($O$8:$O$109,"4rinc",$Q$8:$Q$109)</f>
        <v>0</v>
      </c>
      <c r="J168" s="23">
        <f>SUMIF($O$8:$O$109,"4Wbase",$Q$8:$Q$109)</f>
        <v>0</v>
      </c>
      <c r="K168" s="23">
        <f>SUMIF($O$8:$O$109,"4Winc",$Q$8:$Q$109)</f>
        <v>0</v>
      </c>
      <c r="Q168" s="23"/>
      <c r="R168" s="23"/>
      <c r="S168" s="23"/>
      <c r="T168" s="67"/>
      <c r="U168" s="67"/>
      <c r="V168" s="68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23"/>
      <c r="BO168" s="69"/>
      <c r="FR168" s="217"/>
    </row>
    <row r="169" spans="2:212" s="61" customFormat="1" ht="15.75" outlineLevel="1">
      <c r="B169" s="62"/>
      <c r="D169" s="14"/>
      <c r="F169" s="61" t="s">
        <v>201</v>
      </c>
      <c r="G169" s="23">
        <f>SUMIF($B$8:$B$109,"loudoun",$Q$8:$Q$109)</f>
        <v>0</v>
      </c>
      <c r="H169" s="23">
        <f>SUMIF($O$8:$O$109,"LOUDOUNrbase",$Q$8:$Q$109)</f>
        <v>0</v>
      </c>
      <c r="I169" s="23">
        <f>SUMIF($O$8:$O$109,"LOUDOUNrinc",$Q$8:$Q$109)</f>
        <v>0</v>
      </c>
      <c r="J169" s="23">
        <f>SUMIF($O$8:$O$109,"LOUDOUNWbase",$Q$8:$Q$109)</f>
        <v>0</v>
      </c>
      <c r="K169" s="23">
        <f>SUMIF($O$8:$O$109,"LOUDOUNWinc",$Q$8:$Q$109)</f>
        <v>0</v>
      </c>
      <c r="Q169" s="23"/>
      <c r="R169" s="23"/>
      <c r="S169" s="23"/>
      <c r="T169" s="67"/>
      <c r="U169" s="67"/>
      <c r="V169" s="68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23"/>
      <c r="BO169" s="69"/>
      <c r="FR169" s="217"/>
    </row>
    <row r="170" spans="2:212" s="61" customFormat="1" ht="15.75" outlineLevel="1">
      <c r="B170" s="62"/>
      <c r="D170" s="14"/>
      <c r="F170" s="61" t="s">
        <v>22</v>
      </c>
      <c r="G170" s="23">
        <f>SUMIF($B$8:$B$109,"46",$Q$8:$Q$109)</f>
        <v>0</v>
      </c>
      <c r="H170" s="23">
        <f>SUMIF($O$8:$O$109,"46rbase",$Q$8:$Q$109)</f>
        <v>0</v>
      </c>
      <c r="I170" s="23">
        <f>SUMIF($O$8:$O$109,"46rinc",$Q$8:$Q$109)</f>
        <v>0</v>
      </c>
      <c r="J170" s="23">
        <f>SUMIF($O$8:$O$109,"46Wbase",$Q$8:$Q$109)</f>
        <v>0</v>
      </c>
      <c r="K170" s="23">
        <f>SUMIF($O$8:$O$109,"46Winc",$Q$8:$Q$109)</f>
        <v>0</v>
      </c>
      <c r="Q170" s="23"/>
      <c r="R170" s="23"/>
      <c r="S170" s="23"/>
      <c r="T170" s="67"/>
      <c r="U170" s="67"/>
      <c r="V170" s="68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23"/>
      <c r="BO170" s="69"/>
      <c r="FR170" s="217"/>
    </row>
    <row r="171" spans="2:212" s="61" customFormat="1" ht="15.75" outlineLevel="1">
      <c r="B171" s="62"/>
      <c r="D171" s="14"/>
      <c r="F171" s="61" t="s">
        <v>280</v>
      </c>
      <c r="G171" s="23">
        <f>SUMIF($B$8:$B$109,62,$Q$8:$Q$109)</f>
        <v>0</v>
      </c>
      <c r="H171" s="23">
        <f>SUMIF($O$8:$O$109,"62rbase",$Q$8:$Q$109)</f>
        <v>0</v>
      </c>
      <c r="I171" s="23">
        <f>SUMIF($O$8:$O$109,"62rinc",$Q$8:$Q$109)</f>
        <v>0</v>
      </c>
      <c r="J171" s="23">
        <f>SUMIF($O$8:$O$109,"62Wbase",$Q$8:$Q$109)</f>
        <v>0</v>
      </c>
      <c r="K171" s="23">
        <f>SUMIF($O$8:$O$109,"62Winc",$Q$8:$Q$109)</f>
        <v>0</v>
      </c>
      <c r="Q171" s="23"/>
      <c r="R171" s="23"/>
      <c r="S171" s="23"/>
      <c r="T171" s="67"/>
      <c r="U171" s="67"/>
      <c r="V171" s="68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23"/>
      <c r="BO171" s="69"/>
      <c r="FR171" s="217"/>
    </row>
    <row r="172" spans="2:212" s="61" customFormat="1" ht="15.75" outlineLevel="1">
      <c r="B172" s="62"/>
      <c r="D172" s="14"/>
      <c r="F172" s="61" t="s">
        <v>206</v>
      </c>
      <c r="G172" s="23">
        <f>SUMIF($B$8:$B$109,78,$Q$8:$Q$109)</f>
        <v>0</v>
      </c>
      <c r="H172" s="23">
        <f>SUMIF($O$8:$O$109,"78rbase",$Q$8:$Q$109)</f>
        <v>0</v>
      </c>
      <c r="I172" s="23">
        <f>SUMIF($O$8:$O$109,"78rinc",$Q$8:$Q$109)</f>
        <v>0</v>
      </c>
      <c r="J172" s="23">
        <f>SUMIF($O$8:$O$109,"78Wbase",$Q$8:$Q$109)</f>
        <v>0</v>
      </c>
      <c r="K172" s="23">
        <f>SUMIF($O$8:$O$109,"78Winc",$Q$8:$Q$109)</f>
        <v>0</v>
      </c>
      <c r="Q172" s="23"/>
      <c r="R172" s="23"/>
      <c r="S172" s="23"/>
      <c r="T172" s="67"/>
      <c r="U172" s="67"/>
      <c r="V172" s="68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23"/>
      <c r="BO172" s="69"/>
      <c r="FH172" s="13"/>
      <c r="FI172" s="13"/>
      <c r="FJ172" s="13"/>
      <c r="FK172" s="13"/>
      <c r="FL172" s="13"/>
      <c r="FM172" s="13"/>
      <c r="FN172" s="13"/>
      <c r="FO172" s="13"/>
      <c r="FP172" s="13"/>
      <c r="FQ172" s="13"/>
      <c r="FR172" s="213"/>
      <c r="FS172" s="13"/>
      <c r="FT172" s="13"/>
      <c r="FU172" s="13"/>
      <c r="FV172" s="13"/>
      <c r="FW172" s="13"/>
      <c r="FX172" s="13"/>
      <c r="FY172" s="13"/>
      <c r="FZ172" s="13"/>
      <c r="GA172" s="13"/>
      <c r="GB172" s="13"/>
      <c r="GC172" s="13"/>
      <c r="GD172" s="13"/>
      <c r="GE172" s="13"/>
      <c r="GF172" s="13"/>
      <c r="GG172" s="13"/>
      <c r="GH172" s="13"/>
      <c r="GI172" s="13"/>
      <c r="GJ172" s="13"/>
      <c r="GK172" s="13"/>
      <c r="GL172" s="13"/>
      <c r="GM172" s="13"/>
      <c r="GN172" s="13"/>
      <c r="GO172" s="13"/>
      <c r="GP172" s="13"/>
      <c r="GQ172" s="13"/>
      <c r="GR172" s="13"/>
      <c r="GS172" s="13"/>
      <c r="GT172" s="13"/>
      <c r="GU172" s="13"/>
      <c r="GV172" s="13"/>
      <c r="GW172" s="13"/>
      <c r="GX172" s="13"/>
      <c r="GY172" s="13"/>
      <c r="GZ172" s="13"/>
      <c r="HA172" s="13"/>
      <c r="HB172" s="13"/>
      <c r="HC172" s="13"/>
      <c r="HD172" s="13"/>
    </row>
    <row r="173" spans="2:212" s="61" customFormat="1" ht="15.75" outlineLevel="1">
      <c r="B173" s="62"/>
      <c r="D173" s="14"/>
      <c r="F173" s="61" t="s">
        <v>301</v>
      </c>
      <c r="G173" s="23">
        <f>SUMIF($B$8:$B$109,52,$Q$8:$Q$109)</f>
        <v>0</v>
      </c>
      <c r="H173" s="23">
        <f>SUMIF($O$8:$O$109,"52rbase",$Q$8:$Q$109)</f>
        <v>0</v>
      </c>
      <c r="I173" s="23">
        <f>SUMIF($O$8:$O$109,"52rinc",$Q$8:$Q$109)</f>
        <v>0</v>
      </c>
      <c r="J173" s="23">
        <f>SUMIF($O$8:$O$109,"52Wbase",$Q$8:$Q$109)</f>
        <v>0</v>
      </c>
      <c r="K173" s="23">
        <f>SUMIF($O$8:$O$109,"52Winc",$Q$8:$Q$109)</f>
        <v>0</v>
      </c>
      <c r="Q173" s="23"/>
      <c r="R173" s="23"/>
      <c r="S173" s="23"/>
      <c r="T173" s="67"/>
      <c r="U173" s="67"/>
      <c r="V173" s="68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23"/>
      <c r="BO173" s="69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215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</row>
    <row r="174" spans="2:212" s="61" customFormat="1" ht="15.75" outlineLevel="1">
      <c r="B174" s="62"/>
      <c r="D174" s="14"/>
      <c r="F174" s="61" t="s">
        <v>167</v>
      </c>
      <c r="G174" s="23">
        <f>SUMIF($B$8:$B$109,88,$Q$8:$Q$109)</f>
        <v>0</v>
      </c>
      <c r="H174" s="23">
        <f>SUMIF($O$8:$O$109,"88rbase",$Q$8:$Q$109)</f>
        <v>0</v>
      </c>
      <c r="I174" s="23">
        <f>SUMIF($O$8:$O$109,"78rinc",$Q$8:$Q$109)</f>
        <v>0</v>
      </c>
      <c r="J174" s="23">
        <f>SUMIF($O$8:$O$109,"88Wbase",$Q$8:$Q$109)</f>
        <v>0</v>
      </c>
      <c r="K174" s="23">
        <f>SUMIF($O$8:$O$109,"78Winc",$Q$8:$Q$109)</f>
        <v>0</v>
      </c>
      <c r="Q174" s="23"/>
      <c r="R174" s="23"/>
      <c r="S174" s="23"/>
      <c r="T174" s="67"/>
      <c r="U174" s="67"/>
      <c r="V174" s="68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23"/>
      <c r="BO174" s="69"/>
      <c r="FR174" s="217"/>
    </row>
    <row r="175" spans="2:212" s="61" customFormat="1" ht="15.75" outlineLevel="1">
      <c r="B175" s="62"/>
      <c r="D175" s="14"/>
      <c r="F175" s="61" t="s">
        <v>371</v>
      </c>
      <c r="G175" s="23">
        <f>SUMIF($B$8:$B$109,634197,$Q$8:$Q$109)</f>
        <v>0</v>
      </c>
      <c r="H175" s="23">
        <f>SUMIF($O$8:$O$109,"634198Wbase",$Q$8:$Q$109)</f>
        <v>0</v>
      </c>
      <c r="I175" s="23">
        <f>SUMIF($O$8:$O$109,"634197rinc",$Q$8:$Q$109)</f>
        <v>0</v>
      </c>
      <c r="J175" s="23">
        <f>SUMIF($O$8:$O$109,"634197Wbase",$Q$8:$Q$109)</f>
        <v>0</v>
      </c>
      <c r="K175" s="23">
        <f>SUMIF($O$8:$O$109,"634197Winc",$Q$8:$Q$109)</f>
        <v>0</v>
      </c>
      <c r="Q175" s="23"/>
      <c r="R175" s="23"/>
      <c r="S175" s="23"/>
      <c r="T175" s="67"/>
      <c r="U175" s="67"/>
      <c r="V175" s="68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23"/>
      <c r="BO175" s="69"/>
      <c r="FR175" s="217"/>
    </row>
    <row r="176" spans="2:212" s="61" customFormat="1" ht="15.75" outlineLevel="1">
      <c r="B176" s="62"/>
      <c r="D176" s="14"/>
      <c r="F176" s="61" t="s">
        <v>209</v>
      </c>
      <c r="G176" s="23">
        <f>SUMIF($B$8:$B$109,"STOI",$Q$8:$Q$109)</f>
        <v>0</v>
      </c>
      <c r="H176" s="23">
        <f>SUMIF($O$8:$O$109,"STOIrbase",$Q$8:$Q$109)</f>
        <v>0</v>
      </c>
      <c r="I176" s="23">
        <f>SUMIF($O$8:$O$109,"STOIrinc",$Q$8:$Q$109)</f>
        <v>0</v>
      </c>
      <c r="J176" s="23">
        <f>SUMIF($O$8:$O$109,"STOIWbase",$Q$8:$Q$109)</f>
        <v>0</v>
      </c>
      <c r="K176" s="23">
        <f>SUMIF($O$8:$O$109,"STOIWinc",$Q$8:$Q$109)</f>
        <v>0</v>
      </c>
      <c r="Q176" s="23"/>
      <c r="R176" s="23"/>
      <c r="S176" s="23"/>
      <c r="T176" s="67"/>
      <c r="U176" s="67"/>
      <c r="V176" s="68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23"/>
      <c r="BO176" s="69"/>
      <c r="FR176" s="217"/>
    </row>
    <row r="177" spans="1:225" s="61" customFormat="1" ht="15.75" outlineLevel="1">
      <c r="B177" s="62"/>
      <c r="D177" s="14"/>
      <c r="G177" s="23"/>
      <c r="H177" s="23"/>
      <c r="Q177" s="23"/>
      <c r="R177" s="23"/>
      <c r="S177" s="23"/>
      <c r="T177" s="67"/>
      <c r="U177" s="67"/>
      <c r="V177" s="68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23"/>
      <c r="BO177" s="69"/>
      <c r="FR177" s="217"/>
    </row>
    <row r="178" spans="1:225" s="61" customFormat="1" ht="15.75" outlineLevel="1">
      <c r="B178" s="62"/>
      <c r="D178" s="14"/>
      <c r="F178" s="14" t="s">
        <v>103</v>
      </c>
      <c r="G178" s="15">
        <f>SUM(G138:G176)</f>
        <v>0</v>
      </c>
      <c r="H178" s="15">
        <f>SUM(H138:H176)</f>
        <v>0</v>
      </c>
      <c r="I178" s="15">
        <f>SUM(I138:I176)</f>
        <v>0</v>
      </c>
      <c r="J178" s="15">
        <f>SUM(J138:J176)</f>
        <v>0</v>
      </c>
      <c r="K178" s="15">
        <f>SUM(K138:K176)</f>
        <v>0</v>
      </c>
      <c r="Q178" s="23"/>
      <c r="R178" s="23"/>
      <c r="S178" s="23"/>
      <c r="T178" s="67"/>
      <c r="U178" s="67"/>
      <c r="V178" s="68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23"/>
      <c r="BO178" s="69"/>
      <c r="FR178" s="217"/>
    </row>
    <row r="179" spans="1:225" s="61" customFormat="1" ht="15.75" outlineLevel="1">
      <c r="B179" s="62"/>
      <c r="D179" s="14"/>
      <c r="F179" s="14"/>
      <c r="G179" s="15"/>
      <c r="H179" s="15"/>
      <c r="J179" s="15"/>
      <c r="Q179" s="23"/>
      <c r="R179" s="23"/>
      <c r="S179" s="23"/>
      <c r="T179" s="67"/>
      <c r="U179" s="67"/>
      <c r="V179" s="68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23"/>
      <c r="BO179" s="69"/>
      <c r="FR179" s="217"/>
    </row>
    <row r="180" spans="1:225" s="61" customFormat="1" ht="15.75" outlineLevel="1">
      <c r="B180" s="62"/>
      <c r="D180" s="14"/>
      <c r="F180" s="14" t="s">
        <v>281</v>
      </c>
      <c r="G180" s="15">
        <v>0</v>
      </c>
      <c r="H180" s="15">
        <v>0</v>
      </c>
      <c r="J180" s="15"/>
      <c r="Q180" s="23"/>
      <c r="R180" s="23"/>
      <c r="S180" s="23"/>
      <c r="T180" s="67"/>
      <c r="U180" s="67"/>
      <c r="V180" s="68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23"/>
      <c r="BO180" s="69"/>
      <c r="FR180" s="217"/>
    </row>
    <row r="181" spans="1:225" s="61" customFormat="1" ht="15.75" outlineLevel="1">
      <c r="B181" s="62"/>
      <c r="D181" s="14"/>
      <c r="F181" s="14" t="s">
        <v>282</v>
      </c>
      <c r="G181" s="15"/>
      <c r="H181" s="15"/>
      <c r="J181" s="15">
        <f>-Q108</f>
        <v>0</v>
      </c>
      <c r="Q181" s="23"/>
      <c r="R181" s="23"/>
      <c r="S181" s="23"/>
      <c r="T181" s="67"/>
      <c r="U181" s="67"/>
      <c r="V181" s="68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23"/>
      <c r="BO181" s="69"/>
      <c r="FR181" s="217"/>
    </row>
    <row r="182" spans="1:225" s="61" customFormat="1" ht="15.75" outlineLevel="1">
      <c r="A182" s="129"/>
      <c r="B182" s="62"/>
      <c r="D182" s="14"/>
      <c r="G182" s="23"/>
      <c r="Q182" s="23"/>
      <c r="R182" s="23"/>
      <c r="S182" s="23"/>
      <c r="T182" s="67"/>
      <c r="U182" s="67"/>
      <c r="V182" s="68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23"/>
      <c r="BO182" s="69"/>
      <c r="EM182" s="13"/>
      <c r="FR182" s="217"/>
    </row>
    <row r="183" spans="1:225" s="14" customFormat="1" ht="15.75" outlineLevel="1">
      <c r="B183" s="13"/>
      <c r="G183" s="15">
        <f>+G178+G180+G181</f>
        <v>0</v>
      </c>
      <c r="H183" s="15">
        <f>+H178+H180+H181</f>
        <v>0</v>
      </c>
      <c r="I183" s="15">
        <f>+I178+I180+I181</f>
        <v>0</v>
      </c>
      <c r="J183" s="15">
        <f>+J178+J180+J181</f>
        <v>0</v>
      </c>
      <c r="K183" s="15">
        <f>+K178+K180+K181</f>
        <v>0</v>
      </c>
      <c r="Q183" s="141"/>
      <c r="R183" s="28"/>
      <c r="S183" s="28"/>
      <c r="T183" s="30"/>
      <c r="U183" s="30"/>
      <c r="V183" s="17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18"/>
      <c r="BG183" s="13"/>
      <c r="BH183" s="13"/>
      <c r="BI183" s="13"/>
      <c r="BJ183" s="13"/>
      <c r="BK183" s="13"/>
      <c r="BL183" s="13"/>
      <c r="BM183" s="13"/>
      <c r="BN183" s="13"/>
      <c r="BO183" s="32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46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61"/>
      <c r="FI183" s="61"/>
      <c r="FJ183" s="61"/>
      <c r="FK183" s="61"/>
      <c r="FL183" s="61"/>
      <c r="FM183" s="61"/>
      <c r="FN183" s="61"/>
      <c r="FO183" s="61"/>
      <c r="FP183" s="61"/>
      <c r="FQ183" s="61"/>
      <c r="FR183" s="217"/>
      <c r="FS183" s="61"/>
      <c r="FT183" s="61"/>
      <c r="FU183" s="61"/>
      <c r="FV183" s="61"/>
      <c r="FW183" s="61"/>
      <c r="FX183" s="61"/>
      <c r="FY183" s="61"/>
      <c r="FZ183" s="61"/>
      <c r="GA183" s="61"/>
      <c r="GB183" s="61"/>
      <c r="GC183" s="61"/>
      <c r="GD183" s="61"/>
      <c r="GE183" s="61"/>
      <c r="GF183" s="61"/>
      <c r="GG183" s="61"/>
      <c r="GH183" s="61"/>
      <c r="GI183" s="61"/>
      <c r="GJ183" s="61"/>
      <c r="GK183" s="61"/>
      <c r="GL183" s="61"/>
      <c r="GM183" s="61"/>
      <c r="GN183" s="61"/>
      <c r="GO183" s="61"/>
      <c r="GP183" s="61"/>
      <c r="GQ183" s="61"/>
      <c r="GR183" s="61"/>
      <c r="GS183" s="61"/>
      <c r="GT183" s="61"/>
      <c r="GU183" s="61"/>
      <c r="GV183" s="61"/>
      <c r="GW183" s="61"/>
      <c r="GX183" s="61"/>
      <c r="GY183" s="61"/>
      <c r="GZ183" s="61"/>
      <c r="HA183" s="61"/>
      <c r="HB183" s="61"/>
      <c r="HC183" s="61"/>
      <c r="HD183" s="61"/>
      <c r="HE183" s="13"/>
      <c r="HF183" s="13"/>
      <c r="HG183" s="13"/>
      <c r="HH183" s="13"/>
      <c r="HI183" s="13"/>
      <c r="HJ183" s="13"/>
      <c r="HK183" s="13"/>
      <c r="HL183" s="13"/>
      <c r="HM183" s="13"/>
      <c r="HN183" s="13"/>
      <c r="HO183" s="13"/>
    </row>
    <row r="184" spans="1:225" s="46" customFormat="1" ht="15.75" outlineLevel="1">
      <c r="B184" s="47"/>
      <c r="F184" s="46">
        <v>0.97884000000000004</v>
      </c>
      <c r="R184" s="27"/>
      <c r="S184" s="27"/>
      <c r="T184" s="47"/>
      <c r="U184" s="47"/>
      <c r="V184" s="48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9"/>
      <c r="BG184" s="47"/>
      <c r="BO184" s="51"/>
      <c r="EM184" s="61"/>
      <c r="FH184" s="61"/>
      <c r="FI184" s="61"/>
      <c r="FJ184" s="61"/>
      <c r="FK184" s="61"/>
      <c r="FL184" s="61"/>
      <c r="FM184" s="61"/>
      <c r="FN184" s="61"/>
      <c r="FO184" s="61"/>
      <c r="FP184" s="61"/>
      <c r="FQ184" s="61"/>
      <c r="FR184" s="217"/>
      <c r="FS184" s="61"/>
      <c r="FT184" s="61"/>
      <c r="FU184" s="61"/>
      <c r="FV184" s="61"/>
      <c r="FW184" s="61"/>
      <c r="FX184" s="61"/>
      <c r="FY184" s="61"/>
      <c r="FZ184" s="61"/>
      <c r="GA184" s="61"/>
      <c r="GB184" s="61"/>
      <c r="GC184" s="61"/>
      <c r="GD184" s="61"/>
      <c r="GE184" s="61"/>
      <c r="GF184" s="61"/>
      <c r="GG184" s="61"/>
      <c r="GH184" s="61"/>
      <c r="GI184" s="61"/>
      <c r="GJ184" s="61"/>
      <c r="GK184" s="61"/>
      <c r="GL184" s="61"/>
      <c r="GM184" s="61"/>
      <c r="GN184" s="61"/>
      <c r="GO184" s="61"/>
      <c r="GP184" s="61"/>
      <c r="GQ184" s="61"/>
      <c r="GR184" s="61"/>
      <c r="GS184" s="61"/>
      <c r="GT184" s="61"/>
      <c r="GU184" s="61"/>
      <c r="GV184" s="61"/>
      <c r="GW184" s="61"/>
      <c r="GX184" s="61"/>
      <c r="GY184" s="61"/>
      <c r="GZ184" s="61"/>
      <c r="HA184" s="61"/>
      <c r="HB184" s="61"/>
      <c r="HC184" s="61"/>
      <c r="HD184" s="61"/>
    </row>
    <row r="185" spans="1:225" s="61" customFormat="1" ht="15.75" outlineLevel="1">
      <c r="B185" s="62"/>
      <c r="D185" s="14"/>
      <c r="F185" s="61" t="s">
        <v>283</v>
      </c>
      <c r="G185" s="15">
        <f>+G183/$F$184</f>
        <v>0</v>
      </c>
      <c r="H185" s="15">
        <f>+H183/$F$184</f>
        <v>0</v>
      </c>
      <c r="I185" s="15"/>
      <c r="J185" s="15">
        <f>+J183/$F$184</f>
        <v>0</v>
      </c>
      <c r="Q185" s="23"/>
      <c r="R185" s="23"/>
      <c r="S185" s="23"/>
      <c r="T185" s="67"/>
      <c r="U185" s="67"/>
      <c r="V185" s="68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23"/>
      <c r="BO185" s="69"/>
      <c r="FR185" s="217"/>
      <c r="HP185" s="23"/>
      <c r="HQ185" s="23"/>
    </row>
    <row r="186" spans="1:225" s="61" customFormat="1" ht="15.75" outlineLevel="1">
      <c r="B186" s="62"/>
      <c r="D186" s="14"/>
      <c r="H186" s="98"/>
      <c r="K186" s="62"/>
      <c r="Q186" s="23"/>
      <c r="R186" s="23"/>
      <c r="S186" s="23"/>
      <c r="T186" s="67"/>
      <c r="U186" s="67"/>
      <c r="V186" s="68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23"/>
      <c r="BO186" s="69"/>
      <c r="FR186" s="217"/>
      <c r="HP186" s="23"/>
      <c r="HQ186" s="23"/>
    </row>
    <row r="187" spans="1:225" s="61" customFormat="1" ht="12.6" customHeight="1">
      <c r="B187" s="62"/>
      <c r="D187" s="14"/>
      <c r="H187" s="98"/>
      <c r="K187" s="62"/>
      <c r="Q187" s="23"/>
      <c r="R187" s="23"/>
      <c r="S187" s="23"/>
      <c r="T187" s="67"/>
      <c r="U187" s="67"/>
      <c r="V187" s="68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23"/>
      <c r="BO187" s="69"/>
      <c r="FR187" s="217"/>
      <c r="HP187" s="23"/>
      <c r="HQ187" s="23"/>
    </row>
    <row r="188" spans="1:225" s="61" customFormat="1" ht="15.75">
      <c r="B188" s="62"/>
      <c r="D188" s="14"/>
      <c r="H188" s="98"/>
      <c r="K188" s="62"/>
      <c r="Q188" s="23"/>
      <c r="R188" s="23"/>
      <c r="S188" s="23"/>
      <c r="T188" s="67"/>
      <c r="U188" s="67"/>
      <c r="V188" s="68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23"/>
      <c r="BO188" s="69"/>
      <c r="FR188" s="217"/>
      <c r="HP188" s="23"/>
      <c r="HQ188" s="23"/>
    </row>
    <row r="189" spans="1:225" s="61" customFormat="1" ht="13.9" customHeight="1">
      <c r="B189" s="62"/>
      <c r="D189" s="14"/>
      <c r="H189" s="98"/>
      <c r="K189" s="62"/>
      <c r="Q189" s="23"/>
      <c r="R189" s="23"/>
      <c r="S189" s="23"/>
      <c r="T189" s="67"/>
      <c r="U189" s="67"/>
      <c r="V189" s="68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23"/>
      <c r="BO189" s="69"/>
      <c r="FR189" s="217"/>
      <c r="HP189" s="23"/>
      <c r="HQ189" s="23"/>
    </row>
    <row r="190" spans="1:225" s="61" customFormat="1" ht="15.75">
      <c r="B190" s="62"/>
      <c r="D190" s="14"/>
      <c r="K190" s="62"/>
      <c r="Q190" s="23"/>
      <c r="R190" s="23"/>
      <c r="S190" s="23"/>
      <c r="T190" s="67"/>
      <c r="U190" s="67"/>
      <c r="V190" s="68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23"/>
      <c r="BO190" s="69"/>
      <c r="FR190" s="217"/>
    </row>
    <row r="191" spans="1:225" s="61" customFormat="1" ht="15.75">
      <c r="B191" s="62"/>
      <c r="D191" s="14"/>
      <c r="H191" s="140"/>
      <c r="K191" s="62"/>
      <c r="Q191" s="23"/>
      <c r="R191" s="23"/>
      <c r="S191" s="23"/>
      <c r="T191" s="67"/>
      <c r="U191" s="67"/>
      <c r="V191" s="68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23"/>
      <c r="BO191" s="69"/>
      <c r="FR191" s="217"/>
    </row>
    <row r="192" spans="1:225" s="61" customFormat="1" ht="15.75">
      <c r="B192" s="62"/>
      <c r="D192" s="14"/>
      <c r="H192" s="140"/>
      <c r="K192" s="62"/>
      <c r="Q192" s="23"/>
      <c r="R192" s="23"/>
      <c r="S192" s="23"/>
      <c r="T192" s="67"/>
      <c r="U192" s="67"/>
      <c r="V192" s="68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23"/>
      <c r="BO192" s="69"/>
      <c r="FR192" s="217"/>
    </row>
    <row r="193" spans="1:225" s="61" customFormat="1" ht="15.75">
      <c r="B193" s="62"/>
      <c r="D193" s="14"/>
      <c r="H193" s="140"/>
      <c r="K193" s="62"/>
      <c r="Q193" s="23"/>
      <c r="R193" s="23"/>
      <c r="S193" s="23"/>
      <c r="T193" s="67"/>
      <c r="U193" s="67"/>
      <c r="V193" s="68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23"/>
      <c r="BO193" s="69"/>
      <c r="FR193" s="217"/>
    </row>
    <row r="194" spans="1:225" s="61" customFormat="1" ht="15.75">
      <c r="B194" s="62"/>
      <c r="D194" s="14"/>
      <c r="H194" s="140"/>
      <c r="K194" s="62"/>
      <c r="Q194" s="23"/>
      <c r="R194" s="23"/>
      <c r="S194" s="23"/>
      <c r="T194" s="67"/>
      <c r="U194" s="67"/>
      <c r="V194" s="68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23"/>
      <c r="BO194" s="69"/>
      <c r="FR194" s="217"/>
    </row>
    <row r="195" spans="1:225" s="61" customFormat="1" ht="15.75">
      <c r="B195" s="62"/>
      <c r="D195" s="14"/>
      <c r="H195" s="140"/>
      <c r="K195" s="62"/>
      <c r="Q195" s="23"/>
      <c r="R195" s="23"/>
      <c r="S195" s="23"/>
      <c r="T195" s="67"/>
      <c r="U195" s="67"/>
      <c r="V195" s="68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23"/>
      <c r="BO195" s="69"/>
      <c r="FR195" s="217"/>
    </row>
    <row r="196" spans="1:225" s="61" customFormat="1" ht="15.75">
      <c r="B196" s="62"/>
      <c r="D196" s="14"/>
      <c r="H196" s="140"/>
      <c r="K196" s="62"/>
      <c r="Q196" s="23"/>
      <c r="R196" s="23"/>
      <c r="S196" s="23"/>
      <c r="T196" s="67"/>
      <c r="U196" s="67"/>
      <c r="V196" s="68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23"/>
      <c r="BO196" s="69"/>
      <c r="FR196" s="217"/>
    </row>
    <row r="197" spans="1:225" s="61" customFormat="1" ht="15.75">
      <c r="B197" s="62"/>
      <c r="D197" s="14"/>
      <c r="H197" s="140"/>
      <c r="K197" s="62"/>
      <c r="Q197" s="23"/>
      <c r="R197" s="23"/>
      <c r="S197" s="23"/>
      <c r="T197" s="67"/>
      <c r="U197" s="67"/>
      <c r="V197" s="68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23"/>
      <c r="BO197" s="69"/>
      <c r="FH197" s="155"/>
      <c r="FI197" s="155"/>
      <c r="FJ197" s="155"/>
      <c r="FK197" s="155"/>
      <c r="FL197" s="155"/>
      <c r="FM197" s="155"/>
      <c r="FN197" s="155"/>
      <c r="FO197" s="155"/>
      <c r="FP197" s="155"/>
      <c r="FQ197" s="155"/>
      <c r="FR197" s="229"/>
      <c r="FS197" s="155"/>
      <c r="FT197" s="155"/>
      <c r="FU197" s="155"/>
      <c r="FV197" s="155"/>
      <c r="FW197" s="155"/>
      <c r="FX197" s="155"/>
      <c r="FY197" s="155"/>
      <c r="FZ197" s="155"/>
      <c r="GA197" s="155"/>
      <c r="GB197" s="155"/>
      <c r="GC197" s="155"/>
      <c r="GD197" s="155"/>
      <c r="GE197" s="155"/>
      <c r="GF197" s="155"/>
      <c r="GG197" s="155"/>
      <c r="GH197" s="155"/>
      <c r="GI197" s="155"/>
      <c r="GJ197" s="155"/>
      <c r="GK197" s="155"/>
      <c r="GL197" s="155"/>
      <c r="GM197" s="155"/>
      <c r="GN197" s="155"/>
      <c r="GO197" s="155"/>
      <c r="GP197" s="155"/>
      <c r="GQ197" s="155"/>
      <c r="GR197" s="155"/>
      <c r="GS197" s="155"/>
      <c r="GT197" s="155"/>
      <c r="GU197" s="155"/>
      <c r="GV197" s="155"/>
      <c r="GW197" s="155"/>
      <c r="GX197" s="155"/>
      <c r="GY197" s="155"/>
      <c r="GZ197" s="155"/>
      <c r="HA197" s="155"/>
      <c r="HB197" s="155"/>
      <c r="HC197" s="155"/>
      <c r="HD197" s="155"/>
    </row>
    <row r="198" spans="1:225" s="61" customFormat="1" ht="15.75">
      <c r="B198" s="62"/>
      <c r="D198" s="14"/>
      <c r="H198" s="140"/>
      <c r="K198" s="62"/>
      <c r="Q198" s="23"/>
      <c r="R198" s="23"/>
      <c r="S198" s="23"/>
      <c r="T198" s="67"/>
      <c r="U198" s="67"/>
      <c r="V198" s="68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23"/>
      <c r="BO198" s="69"/>
      <c r="FH198" s="155"/>
      <c r="FI198" s="155"/>
      <c r="FJ198" s="155"/>
      <c r="FK198" s="155"/>
      <c r="FL198" s="155"/>
      <c r="FM198" s="155"/>
      <c r="FN198" s="155"/>
      <c r="FO198" s="155"/>
      <c r="FP198" s="155"/>
      <c r="FQ198" s="155"/>
      <c r="FR198" s="229"/>
      <c r="FS198" s="155"/>
      <c r="FT198" s="155"/>
      <c r="FU198" s="155"/>
      <c r="FV198" s="155"/>
      <c r="FW198" s="155"/>
      <c r="FX198" s="155"/>
      <c r="FY198" s="155"/>
      <c r="FZ198" s="155"/>
      <c r="GA198" s="155"/>
      <c r="GB198" s="155"/>
      <c r="GC198" s="155"/>
      <c r="GD198" s="155"/>
      <c r="GE198" s="155"/>
      <c r="GF198" s="155"/>
      <c r="GG198" s="155"/>
      <c r="GH198" s="155"/>
      <c r="GI198" s="155"/>
      <c r="GJ198" s="155"/>
      <c r="GK198" s="155"/>
      <c r="GL198" s="155"/>
      <c r="GM198" s="155"/>
      <c r="GN198" s="155"/>
      <c r="GO198" s="155"/>
      <c r="GP198" s="155"/>
      <c r="GQ198" s="155"/>
      <c r="GR198" s="155"/>
      <c r="GS198" s="155"/>
      <c r="GT198" s="155"/>
      <c r="GU198" s="155"/>
      <c r="GV198" s="155"/>
      <c r="GW198" s="155"/>
      <c r="GX198" s="155"/>
      <c r="GY198" s="155"/>
      <c r="GZ198" s="155"/>
      <c r="HA198" s="155"/>
      <c r="HB198" s="155"/>
      <c r="HC198" s="155"/>
      <c r="HD198" s="155"/>
    </row>
    <row r="199" spans="1:225" s="61" customFormat="1" ht="15.75">
      <c r="B199" s="62"/>
      <c r="D199" s="14"/>
      <c r="H199" s="140"/>
      <c r="K199" s="62"/>
      <c r="Q199" s="23"/>
      <c r="R199" s="23"/>
      <c r="S199" s="23"/>
      <c r="T199" s="67"/>
      <c r="U199" s="67"/>
      <c r="V199" s="68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23"/>
      <c r="BO199" s="69"/>
      <c r="FH199" s="155"/>
      <c r="FI199" s="155"/>
      <c r="FJ199" s="155"/>
      <c r="FK199" s="155"/>
      <c r="FL199" s="155"/>
      <c r="FM199" s="155"/>
      <c r="FN199" s="155"/>
      <c r="FO199" s="155"/>
      <c r="FP199" s="155"/>
      <c r="FQ199" s="155"/>
      <c r="FR199" s="229"/>
      <c r="FS199" s="155"/>
      <c r="FT199" s="155"/>
      <c r="FU199" s="155"/>
      <c r="FV199" s="155"/>
      <c r="FW199" s="155"/>
      <c r="FX199" s="155"/>
      <c r="FY199" s="155"/>
      <c r="FZ199" s="155"/>
      <c r="GA199" s="155"/>
      <c r="GB199" s="155"/>
      <c r="GC199" s="155"/>
      <c r="GD199" s="155"/>
      <c r="GE199" s="155"/>
      <c r="GF199" s="155"/>
      <c r="GG199" s="155"/>
      <c r="GH199" s="155"/>
      <c r="GI199" s="155"/>
      <c r="GJ199" s="155"/>
      <c r="GK199" s="155"/>
      <c r="GL199" s="155"/>
      <c r="GM199" s="155"/>
      <c r="GN199" s="155"/>
      <c r="GO199" s="155"/>
      <c r="GP199" s="155"/>
      <c r="GQ199" s="155"/>
      <c r="GR199" s="155"/>
      <c r="GS199" s="155"/>
      <c r="GT199" s="155"/>
      <c r="GU199" s="155"/>
      <c r="GV199" s="155"/>
      <c r="GW199" s="155"/>
      <c r="GX199" s="155"/>
      <c r="GY199" s="155"/>
      <c r="GZ199" s="155"/>
      <c r="HA199" s="155"/>
      <c r="HB199" s="155"/>
      <c r="HC199" s="155"/>
      <c r="HD199" s="155"/>
    </row>
    <row r="200" spans="1:225" s="61" customFormat="1" ht="15.75">
      <c r="B200" s="62"/>
      <c r="D200" s="14"/>
      <c r="H200" s="140"/>
      <c r="K200" s="62"/>
      <c r="Q200" s="23"/>
      <c r="R200" s="23"/>
      <c r="S200" s="23"/>
      <c r="T200" s="67"/>
      <c r="U200" s="67"/>
      <c r="V200" s="68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23"/>
      <c r="BO200" s="69"/>
      <c r="FH200" s="155"/>
      <c r="FI200" s="155"/>
      <c r="FJ200" s="155"/>
      <c r="FK200" s="155"/>
      <c r="FL200" s="155"/>
      <c r="FM200" s="155"/>
      <c r="FN200" s="155"/>
      <c r="FO200" s="155"/>
      <c r="FP200" s="155"/>
      <c r="FQ200" s="155"/>
      <c r="FR200" s="229"/>
      <c r="FS200" s="155"/>
      <c r="FT200" s="155"/>
      <c r="FU200" s="155"/>
      <c r="FV200" s="155"/>
      <c r="FW200" s="155"/>
      <c r="FX200" s="155"/>
      <c r="FY200" s="155"/>
      <c r="FZ200" s="155"/>
      <c r="GA200" s="155"/>
      <c r="GB200" s="155"/>
      <c r="GC200" s="155"/>
      <c r="GD200" s="155"/>
      <c r="GE200" s="155"/>
      <c r="GF200" s="155"/>
      <c r="GG200" s="155"/>
      <c r="GH200" s="155"/>
      <c r="GI200" s="155"/>
      <c r="GJ200" s="155"/>
      <c r="GK200" s="155"/>
      <c r="GL200" s="155"/>
      <c r="GM200" s="155"/>
      <c r="GN200" s="155"/>
      <c r="GO200" s="155"/>
      <c r="GP200" s="155"/>
      <c r="GQ200" s="155"/>
      <c r="GR200" s="155"/>
      <c r="GS200" s="155"/>
      <c r="GT200" s="155"/>
      <c r="GU200" s="155"/>
      <c r="GV200" s="155"/>
      <c r="GW200" s="155"/>
      <c r="GX200" s="155"/>
      <c r="GY200" s="155"/>
      <c r="GZ200" s="155"/>
      <c r="HA200" s="155"/>
      <c r="HB200" s="155"/>
      <c r="HC200" s="155"/>
      <c r="HD200" s="155"/>
    </row>
    <row r="201" spans="1:225" s="61" customFormat="1" ht="15.75">
      <c r="A201" s="129"/>
      <c r="B201" s="62"/>
      <c r="D201" s="14"/>
      <c r="K201" s="62"/>
      <c r="Q201" s="23"/>
      <c r="R201" s="23"/>
      <c r="S201" s="23"/>
      <c r="T201" s="67"/>
      <c r="U201" s="67"/>
      <c r="V201" s="68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23"/>
      <c r="BO201" s="69"/>
      <c r="FH201" s="155"/>
      <c r="FI201" s="155"/>
      <c r="FJ201" s="155"/>
      <c r="FK201" s="155"/>
      <c r="FL201" s="155"/>
      <c r="FM201" s="155"/>
      <c r="FN201" s="155"/>
      <c r="FO201" s="155"/>
      <c r="FP201" s="155"/>
      <c r="FQ201" s="155"/>
      <c r="FR201" s="229"/>
      <c r="FS201" s="155"/>
      <c r="FT201" s="155"/>
      <c r="FU201" s="155"/>
      <c r="FV201" s="155"/>
      <c r="FW201" s="155"/>
      <c r="FX201" s="155"/>
      <c r="FY201" s="155"/>
      <c r="FZ201" s="155"/>
      <c r="GA201" s="155"/>
      <c r="GB201" s="155"/>
      <c r="GC201" s="155"/>
      <c r="GD201" s="155"/>
      <c r="GE201" s="155"/>
      <c r="GF201" s="155"/>
      <c r="GG201" s="155"/>
      <c r="GH201" s="155"/>
      <c r="GI201" s="155"/>
      <c r="GJ201" s="155"/>
      <c r="GK201" s="155"/>
      <c r="GL201" s="155"/>
      <c r="GM201" s="155"/>
      <c r="GN201" s="155"/>
      <c r="GO201" s="155"/>
      <c r="GP201" s="155"/>
      <c r="GQ201" s="155"/>
      <c r="GR201" s="155"/>
      <c r="GS201" s="155"/>
      <c r="GT201" s="155"/>
      <c r="GU201" s="155"/>
      <c r="GV201" s="155"/>
      <c r="GW201" s="155"/>
      <c r="GX201" s="155"/>
      <c r="GY201" s="155"/>
      <c r="GZ201" s="155"/>
      <c r="HA201" s="155"/>
      <c r="HB201" s="155"/>
      <c r="HC201" s="155"/>
      <c r="HD201" s="155"/>
    </row>
    <row r="202" spans="1:225" s="61" customFormat="1" ht="15.75">
      <c r="B202" s="62"/>
      <c r="D202" s="14"/>
      <c r="H202" s="98"/>
      <c r="K202" s="62"/>
      <c r="Q202" s="23"/>
      <c r="R202" s="23"/>
      <c r="S202" s="23"/>
      <c r="T202" s="67"/>
      <c r="U202" s="67"/>
      <c r="V202" s="68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23"/>
      <c r="BO202" s="69"/>
      <c r="FH202" s="155"/>
      <c r="FI202" s="155"/>
      <c r="FJ202" s="155"/>
      <c r="FK202" s="155"/>
      <c r="FL202" s="155"/>
      <c r="FM202" s="155"/>
      <c r="FN202" s="155"/>
      <c r="FO202" s="155"/>
      <c r="FP202" s="155"/>
      <c r="FQ202" s="155"/>
      <c r="FR202" s="229"/>
      <c r="FS202" s="155"/>
      <c r="FT202" s="155"/>
      <c r="FU202" s="155"/>
      <c r="FV202" s="155"/>
      <c r="FW202" s="155"/>
      <c r="FX202" s="155"/>
      <c r="FY202" s="155"/>
      <c r="FZ202" s="155"/>
      <c r="GA202" s="155"/>
      <c r="GB202" s="155"/>
      <c r="GC202" s="155"/>
      <c r="GD202" s="155"/>
      <c r="GE202" s="155"/>
      <c r="GF202" s="155"/>
      <c r="GG202" s="155"/>
      <c r="GH202" s="155"/>
      <c r="GI202" s="155"/>
      <c r="GJ202" s="155"/>
      <c r="GK202" s="155"/>
      <c r="GL202" s="155"/>
      <c r="GM202" s="155"/>
      <c r="GN202" s="155"/>
      <c r="GO202" s="155"/>
      <c r="GP202" s="155"/>
      <c r="GQ202" s="155"/>
      <c r="GR202" s="155"/>
      <c r="GS202" s="155"/>
      <c r="GT202" s="155"/>
      <c r="GU202" s="155"/>
      <c r="GV202" s="155"/>
      <c r="GW202" s="155"/>
      <c r="GX202" s="155"/>
      <c r="GY202" s="155"/>
      <c r="GZ202" s="155"/>
      <c r="HA202" s="155"/>
      <c r="HB202" s="155"/>
      <c r="HC202" s="155"/>
      <c r="HD202" s="155"/>
      <c r="HP202" s="23"/>
      <c r="HQ202" s="23"/>
    </row>
    <row r="203" spans="1:225" s="61" customFormat="1" ht="15.75">
      <c r="B203" s="62"/>
      <c r="D203" s="14"/>
      <c r="K203" s="62"/>
      <c r="Q203" s="23"/>
      <c r="R203" s="23"/>
      <c r="S203" s="23"/>
      <c r="T203" s="67"/>
      <c r="U203" s="67"/>
      <c r="V203" s="68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23"/>
      <c r="BO203" s="69"/>
      <c r="FH203" s="155"/>
      <c r="FI203" s="155"/>
      <c r="FJ203" s="155"/>
      <c r="FK203" s="155"/>
      <c r="FL203" s="155"/>
      <c r="FM203" s="155"/>
      <c r="FN203" s="155"/>
      <c r="FO203" s="155"/>
      <c r="FP203" s="155"/>
      <c r="FQ203" s="155"/>
      <c r="FR203" s="229"/>
      <c r="FS203" s="155"/>
      <c r="FT203" s="155"/>
      <c r="FU203" s="155"/>
      <c r="FV203" s="155"/>
      <c r="FW203" s="155"/>
      <c r="FX203" s="155"/>
      <c r="FY203" s="155"/>
      <c r="FZ203" s="155"/>
      <c r="GA203" s="155"/>
      <c r="GB203" s="155"/>
      <c r="GC203" s="155"/>
      <c r="GD203" s="155"/>
      <c r="GE203" s="155"/>
      <c r="GF203" s="155"/>
      <c r="GG203" s="155"/>
      <c r="GH203" s="155"/>
      <c r="GI203" s="155"/>
      <c r="GJ203" s="155"/>
      <c r="GK203" s="155"/>
      <c r="GL203" s="155"/>
      <c r="GM203" s="155"/>
      <c r="GN203" s="155"/>
      <c r="GO203" s="155"/>
      <c r="GP203" s="155"/>
      <c r="GQ203" s="155"/>
      <c r="GR203" s="155"/>
      <c r="GS203" s="155"/>
      <c r="GT203" s="155"/>
      <c r="GU203" s="155"/>
      <c r="GV203" s="155"/>
      <c r="GW203" s="155"/>
      <c r="GX203" s="155"/>
      <c r="GY203" s="155"/>
      <c r="GZ203" s="155"/>
      <c r="HA203" s="155"/>
      <c r="HB203" s="155"/>
      <c r="HC203" s="155"/>
      <c r="HD203" s="155"/>
    </row>
    <row r="204" spans="1:225" s="61" customFormat="1" ht="15.75">
      <c r="B204" s="62"/>
      <c r="D204" s="14"/>
      <c r="K204" s="62"/>
      <c r="Q204" s="23"/>
      <c r="R204" s="23"/>
      <c r="S204" s="23"/>
      <c r="T204" s="67"/>
      <c r="U204" s="67"/>
      <c r="V204" s="68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23"/>
      <c r="BO204" s="69"/>
      <c r="FH204" s="155"/>
      <c r="FI204" s="155"/>
      <c r="FJ204" s="155"/>
      <c r="FK204" s="155"/>
      <c r="FL204" s="155"/>
      <c r="FM204" s="155"/>
      <c r="FN204" s="155"/>
      <c r="FO204" s="155"/>
      <c r="FP204" s="155"/>
      <c r="FQ204" s="155"/>
      <c r="FR204" s="229"/>
      <c r="FS204" s="155"/>
      <c r="FT204" s="155"/>
      <c r="FU204" s="155"/>
      <c r="FV204" s="155"/>
      <c r="FW204" s="155"/>
      <c r="FX204" s="155"/>
      <c r="FY204" s="155"/>
      <c r="FZ204" s="155"/>
      <c r="GA204" s="155"/>
      <c r="GB204" s="155"/>
      <c r="GC204" s="155"/>
      <c r="GD204" s="155"/>
      <c r="GE204" s="155"/>
      <c r="GF204" s="155"/>
      <c r="GG204" s="155"/>
      <c r="GH204" s="155"/>
      <c r="GI204" s="155"/>
      <c r="GJ204" s="155"/>
      <c r="GK204" s="155"/>
      <c r="GL204" s="155"/>
      <c r="GM204" s="155"/>
      <c r="GN204" s="155"/>
      <c r="GO204" s="155"/>
      <c r="GP204" s="155"/>
      <c r="GQ204" s="155"/>
      <c r="GR204" s="155"/>
      <c r="GS204" s="155"/>
      <c r="GT204" s="155"/>
      <c r="GU204" s="155"/>
      <c r="GV204" s="155"/>
      <c r="GW204" s="155"/>
      <c r="GX204" s="155"/>
      <c r="GY204" s="155"/>
      <c r="GZ204" s="155"/>
      <c r="HA204" s="155"/>
      <c r="HB204" s="155"/>
      <c r="HC204" s="155"/>
      <c r="HD204" s="155"/>
    </row>
    <row r="205" spans="1:225" s="61" customFormat="1" ht="15.75">
      <c r="B205" s="62"/>
      <c r="D205" s="14"/>
      <c r="K205" s="62"/>
      <c r="Q205" s="23"/>
      <c r="R205" s="23"/>
      <c r="S205" s="23"/>
      <c r="T205" s="67"/>
      <c r="U205" s="67"/>
      <c r="V205" s="68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23"/>
      <c r="BO205" s="69"/>
      <c r="FH205" s="155"/>
      <c r="FI205" s="155"/>
      <c r="FJ205" s="155"/>
      <c r="FK205" s="155"/>
      <c r="FL205" s="155"/>
      <c r="FM205" s="155"/>
      <c r="FN205" s="155"/>
      <c r="FO205" s="155"/>
      <c r="FP205" s="155"/>
      <c r="FQ205" s="155"/>
      <c r="FR205" s="229"/>
      <c r="FS205" s="155"/>
      <c r="FT205" s="155"/>
      <c r="FU205" s="155"/>
      <c r="FV205" s="155"/>
      <c r="FW205" s="155"/>
      <c r="FX205" s="155"/>
      <c r="FY205" s="155"/>
      <c r="FZ205" s="155"/>
      <c r="GA205" s="155"/>
      <c r="GB205" s="155"/>
      <c r="GC205" s="155"/>
      <c r="GD205" s="155"/>
      <c r="GE205" s="155"/>
      <c r="GF205" s="155"/>
      <c r="GG205" s="155"/>
      <c r="GH205" s="155"/>
      <c r="GI205" s="155"/>
      <c r="GJ205" s="155"/>
      <c r="GK205" s="155"/>
      <c r="GL205" s="155"/>
      <c r="GM205" s="155"/>
      <c r="GN205" s="155"/>
      <c r="GO205" s="155"/>
      <c r="GP205" s="155"/>
      <c r="GQ205" s="155"/>
      <c r="GR205" s="155"/>
      <c r="GS205" s="155"/>
      <c r="GT205" s="155"/>
      <c r="GU205" s="155"/>
      <c r="GV205" s="155"/>
      <c r="GW205" s="155"/>
      <c r="GX205" s="155"/>
      <c r="GY205" s="155"/>
      <c r="GZ205" s="155"/>
      <c r="HA205" s="155"/>
      <c r="HB205" s="155"/>
      <c r="HC205" s="155"/>
      <c r="HD205" s="155"/>
    </row>
    <row r="206" spans="1:225" s="61" customFormat="1" ht="15.75">
      <c r="B206" s="62"/>
      <c r="D206" s="14"/>
      <c r="K206" s="62"/>
      <c r="Q206" s="23"/>
      <c r="R206" s="23"/>
      <c r="S206" s="23"/>
      <c r="T206" s="67"/>
      <c r="U206" s="67"/>
      <c r="V206" s="68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23"/>
      <c r="BO206" s="69"/>
      <c r="EM206" s="155"/>
      <c r="FH206" s="155"/>
      <c r="FI206" s="155"/>
      <c r="FJ206" s="155"/>
      <c r="FK206" s="155"/>
      <c r="FL206" s="155"/>
      <c r="FM206" s="155"/>
      <c r="FN206" s="155"/>
      <c r="FO206" s="155"/>
      <c r="FP206" s="155"/>
      <c r="FQ206" s="155"/>
      <c r="FR206" s="229"/>
      <c r="FS206" s="155"/>
      <c r="FT206" s="155"/>
      <c r="FU206" s="155"/>
      <c r="FV206" s="155"/>
      <c r="FW206" s="155"/>
      <c r="FX206" s="155"/>
      <c r="FY206" s="155"/>
      <c r="FZ206" s="155"/>
      <c r="GA206" s="155"/>
      <c r="GB206" s="155"/>
      <c r="GC206" s="155"/>
      <c r="GD206" s="155"/>
      <c r="GE206" s="155"/>
      <c r="GF206" s="155"/>
      <c r="GG206" s="155"/>
      <c r="GH206" s="155"/>
      <c r="GI206" s="155"/>
      <c r="GJ206" s="155"/>
      <c r="GK206" s="155"/>
      <c r="GL206" s="155"/>
      <c r="GM206" s="155"/>
      <c r="GN206" s="155"/>
      <c r="GO206" s="155"/>
      <c r="GP206" s="155"/>
      <c r="GQ206" s="155"/>
      <c r="GR206" s="155"/>
      <c r="GS206" s="155"/>
      <c r="GT206" s="155"/>
      <c r="GU206" s="155"/>
      <c r="GV206" s="155"/>
      <c r="GW206" s="155"/>
      <c r="GX206" s="155"/>
      <c r="GY206" s="155"/>
      <c r="GZ206" s="155"/>
      <c r="HA206" s="155"/>
      <c r="HB206" s="155"/>
      <c r="HC206" s="155"/>
      <c r="HD206" s="155"/>
    </row>
  </sheetData>
  <mergeCells count="2">
    <mergeCell ref="R4:S4"/>
    <mergeCell ref="R115:S115"/>
  </mergeCells>
  <printOptions gridLines="1"/>
  <pageMargins left="0" right="0" top="0" bottom="0.5" header="0" footer="0"/>
  <pageSetup paperSize="5" scale="46" fitToHeight="6" pageOrder="overThenDown" orientation="landscape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 Setup</vt:lpstr>
      <vt:lpstr>'June  Setup'!Print_Area</vt:lpstr>
      <vt:lpstr>'June  Setup'!Print_Titles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Felienne</cp:lastModifiedBy>
  <cp:lastPrinted>2000-04-27T15:24:16Z</cp:lastPrinted>
  <dcterms:created xsi:type="dcterms:W3CDTF">1999-12-17T18:07:33Z</dcterms:created>
  <dcterms:modified xsi:type="dcterms:W3CDTF">2014-09-03T12:05:17Z</dcterms:modified>
</cp:coreProperties>
</file>