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5415" yWindow="150" windowWidth="8670" windowHeight="7935" tabRatio="602" firstSheet="1" activeTab="4"/>
  </bookViews>
  <sheets>
    <sheet name="Pricing Notes" sheetId="1" r:id="rId1"/>
    <sheet name="CGAS" sheetId="2" r:id="rId2"/>
    <sheet name="Pricing" sheetId="3" r:id="rId3"/>
    <sheet name="CES Retail East" sheetId="4" r:id="rId4"/>
    <sheet name="CES Retail Mrkt" sheetId="5" r:id="rId5"/>
    <sheet name="MetroMedia" sheetId="6" r:id="rId6"/>
    <sheet name="Sheet1" sheetId="7" r:id="rId7"/>
  </sheets>
  <definedNames>
    <definedName name="_xlnm.Print_Area" localSheetId="0">'Pricing Notes'!$A$1:$N$72</definedName>
    <definedName name="_xlnm.Print_Titles" localSheetId="6">Sheet1!$1:$1</definedName>
    <definedName name="TABLE" localSheetId="6">Sheet1!$B$2:$Q$78</definedName>
    <definedName name="TABLE_2" localSheetId="6">Sheet1!$B$2:$Q$78</definedName>
  </definedNames>
  <calcPr calcId="152511" fullCalcOnLoad="1" iterate="1" iterateCount="20" iterateDelta="0.01"/>
</workbook>
</file>

<file path=xl/calcChain.xml><?xml version="1.0" encoding="utf-8"?>
<calcChain xmlns="http://schemas.openxmlformats.org/spreadsheetml/2006/main">
  <c r="W11" i="4" l="1"/>
  <c r="J12" i="4"/>
  <c r="T12" i="4" s="1"/>
  <c r="P12" i="4"/>
  <c r="J13" i="4"/>
  <c r="P13" i="4" s="1"/>
  <c r="T13" i="4"/>
  <c r="J14" i="4"/>
  <c r="T14" i="4" s="1"/>
  <c r="P14" i="4"/>
  <c r="J15" i="4"/>
  <c r="P15" i="4" s="1"/>
  <c r="T15" i="4"/>
  <c r="J16" i="4"/>
  <c r="P16" i="4"/>
  <c r="T16" i="4"/>
  <c r="J17" i="4"/>
  <c r="J18" i="4"/>
  <c r="P18" i="4"/>
  <c r="T18" i="4"/>
  <c r="J19" i="4"/>
  <c r="P19" i="4"/>
  <c r="T19" i="4"/>
  <c r="J20" i="4"/>
  <c r="P20" i="4"/>
  <c r="T20" i="4"/>
  <c r="J21" i="4"/>
  <c r="P21" i="4" s="1"/>
  <c r="T21" i="4"/>
  <c r="J22" i="4"/>
  <c r="T22" i="4"/>
  <c r="J23" i="4"/>
  <c r="T23" i="4"/>
  <c r="J24" i="4"/>
  <c r="T24" i="4"/>
  <c r="T25" i="4"/>
  <c r="T26" i="4"/>
  <c r="T27" i="4"/>
  <c r="R30" i="4"/>
  <c r="U30" i="4"/>
  <c r="W31" i="4"/>
  <c r="P32" i="4"/>
  <c r="T32" i="4"/>
  <c r="J33" i="4"/>
  <c r="P33" i="4"/>
  <c r="T33" i="4"/>
  <c r="P34" i="4"/>
  <c r="T34" i="4"/>
  <c r="J35" i="4"/>
  <c r="T35" i="4" s="1"/>
  <c r="P35" i="4"/>
  <c r="J36" i="4"/>
  <c r="T36" i="4"/>
  <c r="J37" i="4"/>
  <c r="T37" i="4" s="1"/>
  <c r="J38" i="4"/>
  <c r="T38" i="4" s="1"/>
  <c r="J39" i="4"/>
  <c r="T39" i="4" s="1"/>
  <c r="T40" i="4"/>
  <c r="U41" i="4"/>
  <c r="W42" i="4"/>
  <c r="J43" i="4"/>
  <c r="P43" i="4" s="1"/>
  <c r="J44" i="4"/>
  <c r="P44" i="4"/>
  <c r="T44" i="4"/>
  <c r="T45" i="4"/>
  <c r="J46" i="4"/>
  <c r="T46" i="4"/>
  <c r="T47" i="4"/>
  <c r="T48" i="4"/>
  <c r="U50" i="4"/>
  <c r="W51" i="4"/>
  <c r="P52" i="4"/>
  <c r="T52" i="4"/>
  <c r="P53" i="4"/>
  <c r="T53" i="4"/>
  <c r="P54" i="4"/>
  <c r="T54" i="4"/>
  <c r="P55" i="4"/>
  <c r="T55" i="4"/>
  <c r="P56" i="4"/>
  <c r="T56" i="4"/>
  <c r="P57" i="4"/>
  <c r="T57" i="4"/>
  <c r="P58" i="4"/>
  <c r="T58" i="4"/>
  <c r="T59" i="4"/>
  <c r="T60" i="4"/>
  <c r="T61" i="4"/>
  <c r="T68" i="4" s="1"/>
  <c r="T62" i="4"/>
  <c r="T63" i="4"/>
  <c r="T64" i="4"/>
  <c r="T65" i="4"/>
  <c r="T66" i="4"/>
  <c r="R68" i="4"/>
  <c r="U68" i="4"/>
  <c r="W69" i="4"/>
  <c r="P70" i="4"/>
  <c r="T70" i="4"/>
  <c r="P71" i="4"/>
  <c r="T71" i="4"/>
  <c r="R72" i="4"/>
  <c r="T72" i="4"/>
  <c r="U72" i="4"/>
  <c r="W73" i="4"/>
  <c r="J74" i="4"/>
  <c r="T74" i="4" s="1"/>
  <c r="R74" i="4"/>
  <c r="J75" i="4"/>
  <c r="P75" i="4"/>
  <c r="T75" i="4"/>
  <c r="J76" i="4"/>
  <c r="S76" i="4"/>
  <c r="R77" i="4"/>
  <c r="S77" i="4"/>
  <c r="J78" i="4"/>
  <c r="P78" i="4"/>
  <c r="T78" i="4"/>
  <c r="J79" i="4"/>
  <c r="P79" i="4" s="1"/>
  <c r="T79" i="4"/>
  <c r="J80" i="4"/>
  <c r="T80" i="4" s="1"/>
  <c r="P80" i="4"/>
  <c r="R80" i="4"/>
  <c r="J81" i="4"/>
  <c r="T81" i="4" s="1"/>
  <c r="P81" i="4"/>
  <c r="P82" i="4"/>
  <c r="T82" i="4"/>
  <c r="P83" i="4"/>
  <c r="T83" i="4"/>
  <c r="P84" i="4"/>
  <c r="T84" i="4"/>
  <c r="P85" i="4"/>
  <c r="T85" i="4"/>
  <c r="J86" i="4"/>
  <c r="P86" i="4"/>
  <c r="T86" i="4"/>
  <c r="J87" i="4"/>
  <c r="P87" i="4"/>
  <c r="T87" i="4"/>
  <c r="J88" i="4"/>
  <c r="P88" i="4" s="1"/>
  <c r="T88" i="4"/>
  <c r="J89" i="4"/>
  <c r="T89" i="4" s="1"/>
  <c r="P89" i="4"/>
  <c r="U90" i="4"/>
  <c r="J12" i="5"/>
  <c r="T12" i="5"/>
  <c r="J13" i="5"/>
  <c r="T13" i="5" s="1"/>
  <c r="J14" i="5"/>
  <c r="T14" i="5" s="1"/>
  <c r="J15" i="5"/>
  <c r="T15" i="5" s="1"/>
  <c r="J16" i="5"/>
  <c r="T16" i="5"/>
  <c r="J17" i="5"/>
  <c r="T17" i="5" s="1"/>
  <c r="J18" i="5"/>
  <c r="T18" i="5" s="1"/>
  <c r="J19" i="5"/>
  <c r="T19" i="5" s="1"/>
  <c r="J20" i="5"/>
  <c r="T20" i="5"/>
  <c r="J21" i="5"/>
  <c r="T21" i="5" s="1"/>
  <c r="J22" i="5"/>
  <c r="T22" i="5" s="1"/>
  <c r="J23" i="5"/>
  <c r="T23" i="5" s="1"/>
  <c r="J24" i="5"/>
  <c r="T24" i="5"/>
  <c r="J25" i="5"/>
  <c r="T25" i="5" s="1"/>
  <c r="R26" i="5"/>
  <c r="U26" i="5"/>
  <c r="J28" i="5"/>
  <c r="P28" i="5"/>
  <c r="T28" i="5"/>
  <c r="P29" i="5"/>
  <c r="T29" i="5"/>
  <c r="J30" i="5"/>
  <c r="P31" i="5"/>
  <c r="T31" i="5"/>
  <c r="J32" i="5"/>
  <c r="T32" i="5"/>
  <c r="J33" i="5"/>
  <c r="T33" i="5"/>
  <c r="J34" i="5"/>
  <c r="T34" i="5"/>
  <c r="J35" i="5"/>
  <c r="T35" i="5"/>
  <c r="J36" i="5"/>
  <c r="T36" i="5"/>
  <c r="J37" i="5"/>
  <c r="T37" i="5"/>
  <c r="T38" i="5"/>
  <c r="T39" i="5"/>
  <c r="R40" i="5"/>
  <c r="U40" i="5"/>
  <c r="W41" i="5"/>
  <c r="J42" i="5"/>
  <c r="P42" i="5"/>
  <c r="J43" i="5"/>
  <c r="P43" i="5"/>
  <c r="J44" i="5"/>
  <c r="P44" i="5"/>
  <c r="T44" i="5"/>
  <c r="J45" i="5"/>
  <c r="P45" i="5" s="1"/>
  <c r="T45" i="5"/>
  <c r="J46" i="5"/>
  <c r="T46" i="5" s="1"/>
  <c r="P46" i="5"/>
  <c r="J47" i="5"/>
  <c r="P47" i="5"/>
  <c r="T47" i="5"/>
  <c r="J48" i="5"/>
  <c r="P48" i="5"/>
  <c r="T48" i="5"/>
  <c r="J49" i="5"/>
  <c r="P49" i="5" s="1"/>
  <c r="T49" i="5"/>
  <c r="J50" i="5"/>
  <c r="T50" i="5" s="1"/>
  <c r="P50" i="5"/>
  <c r="J51" i="5"/>
  <c r="P52" i="5"/>
  <c r="T52" i="5"/>
  <c r="P53" i="5"/>
  <c r="T53" i="5"/>
  <c r="P54" i="5"/>
  <c r="T54" i="5"/>
  <c r="P55" i="5"/>
  <c r="T55" i="5"/>
  <c r="P56" i="5"/>
  <c r="T56" i="5"/>
  <c r="P57" i="5"/>
  <c r="T57" i="5"/>
  <c r="J58" i="5"/>
  <c r="P58" i="5"/>
  <c r="T58" i="5"/>
  <c r="J59" i="5"/>
  <c r="P59" i="5" s="1"/>
  <c r="T59" i="5"/>
  <c r="J60" i="5"/>
  <c r="T60" i="5" s="1"/>
  <c r="P60" i="5"/>
  <c r="J61" i="5"/>
  <c r="J62" i="5"/>
  <c r="P62" i="5"/>
  <c r="T62" i="5"/>
  <c r="J63" i="5"/>
  <c r="P63" i="5" s="1"/>
  <c r="J64" i="5"/>
  <c r="T64" i="5" s="1"/>
  <c r="P64" i="5"/>
  <c r="J65" i="5"/>
  <c r="T65" i="5" s="1"/>
  <c r="P65" i="5"/>
  <c r="J66" i="5"/>
  <c r="P66" i="5"/>
  <c r="T66" i="5"/>
  <c r="J67" i="5"/>
  <c r="P67" i="5" s="1"/>
  <c r="T67" i="5"/>
  <c r="J68" i="5"/>
  <c r="T68" i="5" s="1"/>
  <c r="P68" i="5"/>
  <c r="J69" i="5"/>
  <c r="J70" i="5"/>
  <c r="P70" i="5"/>
  <c r="T70" i="5"/>
  <c r="J71" i="5"/>
  <c r="P71" i="5" s="1"/>
  <c r="T71" i="5"/>
  <c r="J72" i="5"/>
  <c r="T72" i="5" s="1"/>
  <c r="P72" i="5"/>
  <c r="J73" i="5"/>
  <c r="T73" i="5"/>
  <c r="J74" i="5"/>
  <c r="T74" i="5" s="1"/>
  <c r="T75" i="5"/>
  <c r="T76" i="5"/>
  <c r="T78" i="5"/>
  <c r="T79" i="5"/>
  <c r="T80" i="5"/>
  <c r="T81" i="5"/>
  <c r="T82" i="5"/>
  <c r="T83" i="5"/>
  <c r="J84" i="5"/>
  <c r="T84" i="5" s="1"/>
  <c r="T85" i="5"/>
  <c r="J86" i="5"/>
  <c r="T86" i="5"/>
  <c r="J87" i="5"/>
  <c r="P88" i="5"/>
  <c r="T88" i="5"/>
  <c r="T89" i="5"/>
  <c r="R90" i="5"/>
  <c r="U90" i="5"/>
  <c r="W91" i="5"/>
  <c r="J92" i="5"/>
  <c r="P92" i="5"/>
  <c r="T92" i="5"/>
  <c r="T93" i="5"/>
  <c r="U93" i="5"/>
  <c r="U96" i="5"/>
  <c r="F6" i="2"/>
  <c r="P6" i="2"/>
  <c r="U6" i="2"/>
  <c r="Y6" i="2"/>
  <c r="AD6" i="2"/>
  <c r="AG6" i="2"/>
  <c r="AK6" i="2"/>
  <c r="AQ6" i="2"/>
  <c r="F7" i="2"/>
  <c r="J7" i="2"/>
  <c r="M7" i="2"/>
  <c r="P7" i="2"/>
  <c r="U7" i="2"/>
  <c r="W7" i="2"/>
  <c r="AD7" i="2"/>
  <c r="AG7" i="2" s="1"/>
  <c r="AK7" i="2"/>
  <c r="AK8" i="2" s="1"/>
  <c r="AK9" i="2" s="1"/>
  <c r="AM7" i="2"/>
  <c r="AM8" i="2" s="1"/>
  <c r="AM9" i="2" s="1"/>
  <c r="AM10" i="2" s="1"/>
  <c r="AN7" i="2"/>
  <c r="F8" i="2"/>
  <c r="P8" i="2"/>
  <c r="U8" i="2"/>
  <c r="AD8" i="2"/>
  <c r="AG8" i="2" s="1"/>
  <c r="AN8" i="2"/>
  <c r="F9" i="2"/>
  <c r="U9" i="2"/>
  <c r="AC9" i="2"/>
  <c r="P9" i="2" s="1"/>
  <c r="AD9" i="2"/>
  <c r="AG9" i="2"/>
  <c r="AN9" i="2"/>
  <c r="F10" i="2"/>
  <c r="P10" i="2"/>
  <c r="AC10" i="2"/>
  <c r="AN10" i="2"/>
  <c r="AN11" i="2" s="1"/>
  <c r="AN12" i="2" s="1"/>
  <c r="AN13" i="2" s="1"/>
  <c r="AN14" i="2" s="1"/>
  <c r="AN15" i="2" s="1"/>
  <c r="AN16" i="2" s="1"/>
  <c r="AN17" i="2" s="1"/>
  <c r="AN18" i="2" s="1"/>
  <c r="AN19" i="2" s="1"/>
  <c r="AN20" i="2" s="1"/>
  <c r="AN21" i="2" s="1"/>
  <c r="AN22" i="2" s="1"/>
  <c r="AN23" i="2" s="1"/>
  <c r="AN24" i="2" s="1"/>
  <c r="AN25" i="2" s="1"/>
  <c r="AN26" i="2" s="1"/>
  <c r="AN27" i="2" s="1"/>
  <c r="AN28" i="2" s="1"/>
  <c r="AN29" i="2" s="1"/>
  <c r="AN30" i="2" s="1"/>
  <c r="AN31" i="2" s="1"/>
  <c r="AN32" i="2" s="1"/>
  <c r="AN33" i="2" s="1"/>
  <c r="AN34" i="2" s="1"/>
  <c r="AN35" i="2" s="1"/>
  <c r="F11" i="2"/>
  <c r="P11" i="2"/>
  <c r="U11" i="2"/>
  <c r="AD11" i="2"/>
  <c r="AG11" i="2"/>
  <c r="F12" i="2"/>
  <c r="P12" i="2"/>
  <c r="U12" i="2"/>
  <c r="AD12" i="2"/>
  <c r="AG12" i="2"/>
  <c r="F13" i="2"/>
  <c r="P13" i="2"/>
  <c r="U13" i="2"/>
  <c r="AD13" i="2"/>
  <c r="AG13" i="2"/>
  <c r="F14" i="2"/>
  <c r="P14" i="2"/>
  <c r="U14" i="2"/>
  <c r="AD14" i="2"/>
  <c r="AG14" i="2"/>
  <c r="F15" i="2"/>
  <c r="F16" i="2"/>
  <c r="AC16" i="2"/>
  <c r="F17" i="2"/>
  <c r="P17" i="2"/>
  <c r="U17" i="2"/>
  <c r="AD17" i="2"/>
  <c r="AG17" i="2" s="1"/>
  <c r="F18" i="2"/>
  <c r="P18" i="2"/>
  <c r="U18" i="2"/>
  <c r="AD18" i="2"/>
  <c r="AG18" i="2" s="1"/>
  <c r="F19" i="2"/>
  <c r="P19" i="2"/>
  <c r="U19" i="2"/>
  <c r="AD19" i="2"/>
  <c r="AG19" i="2" s="1"/>
  <c r="F20" i="2"/>
  <c r="P20" i="2"/>
  <c r="U20" i="2"/>
  <c r="AD20" i="2"/>
  <c r="AG20" i="2" s="1"/>
  <c r="F21" i="2"/>
  <c r="P21" i="2"/>
  <c r="U21" i="2"/>
  <c r="AD21" i="2"/>
  <c r="AG21" i="2" s="1"/>
  <c r="F22" i="2"/>
  <c r="P22" i="2"/>
  <c r="U22" i="2"/>
  <c r="AD22" i="2"/>
  <c r="AG22" i="2" s="1"/>
  <c r="F23" i="2"/>
  <c r="AC23" i="2"/>
  <c r="AD23" i="2"/>
  <c r="AG23" i="2" s="1"/>
  <c r="F24" i="2"/>
  <c r="P24" i="2"/>
  <c r="AC24" i="2"/>
  <c r="AD24" i="2" s="1"/>
  <c r="AG24" i="2"/>
  <c r="F25" i="2"/>
  <c r="P25" i="2"/>
  <c r="U25" i="2"/>
  <c r="AD25" i="2"/>
  <c r="AG25" i="2"/>
  <c r="F26" i="2"/>
  <c r="P26" i="2"/>
  <c r="U26" i="2"/>
  <c r="AD26" i="2"/>
  <c r="AG26" i="2"/>
  <c r="F27" i="2"/>
  <c r="P27" i="2"/>
  <c r="U27" i="2"/>
  <c r="AD27" i="2"/>
  <c r="AG27" i="2"/>
  <c r="F28" i="2"/>
  <c r="F29" i="2"/>
  <c r="F30" i="2"/>
  <c r="F31" i="2"/>
  <c r="AC31" i="2"/>
  <c r="AD31" i="2" s="1"/>
  <c r="AG31" i="2" s="1"/>
  <c r="F32" i="2"/>
  <c r="P32" i="2"/>
  <c r="U32" i="2"/>
  <c r="AD32" i="2"/>
  <c r="AG32" i="2"/>
  <c r="F33" i="2"/>
  <c r="P33" i="2"/>
  <c r="U33" i="2"/>
  <c r="AD33" i="2"/>
  <c r="AG33" i="2"/>
  <c r="F34" i="2"/>
  <c r="P34" i="2"/>
  <c r="U34" i="2"/>
  <c r="AD34" i="2"/>
  <c r="AG34" i="2"/>
  <c r="F35" i="2"/>
  <c r="P35" i="2"/>
  <c r="U35" i="2"/>
  <c r="AD35" i="2"/>
  <c r="AG35" i="2"/>
  <c r="F36" i="2"/>
  <c r="B37" i="2"/>
  <c r="C37" i="2"/>
  <c r="D37" i="2"/>
  <c r="H37" i="2"/>
  <c r="I37" i="2"/>
  <c r="X37" i="2"/>
  <c r="AL37" i="2"/>
  <c r="AO37" i="2"/>
  <c r="I12" i="6"/>
  <c r="Q12" i="6" s="1"/>
  <c r="O12" i="6"/>
  <c r="I13" i="6"/>
  <c r="Q13" i="6" s="1"/>
  <c r="K13" i="6"/>
  <c r="O13" i="6"/>
  <c r="I14" i="6"/>
  <c r="Q14" i="6" s="1"/>
  <c r="K14" i="6"/>
  <c r="O14" i="6"/>
  <c r="I15" i="6"/>
  <c r="Q15" i="6" s="1"/>
  <c r="K15" i="6"/>
  <c r="O15" i="6"/>
  <c r="I16" i="6"/>
  <c r="Q16" i="6" s="1"/>
  <c r="K16" i="6"/>
  <c r="O16" i="6"/>
  <c r="I17" i="6"/>
  <c r="Q17" i="6" s="1"/>
  <c r="K17" i="6"/>
  <c r="O17" i="6" s="1"/>
  <c r="I18" i="6"/>
  <c r="Q18" i="6" s="1"/>
  <c r="K18" i="6"/>
  <c r="O18" i="6"/>
  <c r="I19" i="6"/>
  <c r="Q19" i="6" s="1"/>
  <c r="K19" i="6"/>
  <c r="O19" i="6" s="1"/>
  <c r="I20" i="6"/>
  <c r="Q20" i="6" s="1"/>
  <c r="K20" i="6"/>
  <c r="O20" i="6"/>
  <c r="I21" i="6"/>
  <c r="Q21" i="6" s="1"/>
  <c r="K21" i="6"/>
  <c r="O21" i="6"/>
  <c r="G22" i="6"/>
  <c r="K22" i="6"/>
  <c r="M24" i="6"/>
  <c r="S24" i="6"/>
  <c r="I34" i="6"/>
  <c r="I38" i="6"/>
  <c r="I40" i="6"/>
  <c r="C8" i="3"/>
  <c r="E8" i="3"/>
  <c r="E9" i="3" s="1"/>
  <c r="C9" i="3"/>
  <c r="C23" i="3"/>
  <c r="E23" i="3"/>
  <c r="E25" i="3" s="1"/>
  <c r="C24" i="3"/>
  <c r="I18" i="3" s="1"/>
  <c r="C41" i="3"/>
  <c r="E41" i="3"/>
  <c r="G41" i="3"/>
  <c r="G43" i="3" s="1"/>
  <c r="C43" i="3"/>
  <c r="E43" i="3"/>
  <c r="E58" i="3"/>
  <c r="C63" i="3"/>
  <c r="C64" i="3" s="1"/>
  <c r="E63" i="3"/>
  <c r="E64" i="3" s="1"/>
  <c r="C75" i="3"/>
  <c r="C76" i="3" s="1"/>
  <c r="E75" i="3"/>
  <c r="E76" i="3"/>
  <c r="C87" i="3"/>
  <c r="C88" i="3" s="1"/>
  <c r="F87" i="3"/>
  <c r="F88" i="3" s="1"/>
  <c r="C97" i="3"/>
  <c r="C98" i="3" s="1"/>
  <c r="C116" i="3"/>
  <c r="C117" i="3"/>
  <c r="C127" i="3"/>
  <c r="C128" i="3"/>
  <c r="C138" i="3"/>
  <c r="K138" i="3"/>
  <c r="C139" i="3"/>
  <c r="K139" i="3"/>
  <c r="C161" i="3"/>
  <c r="C162" i="3"/>
  <c r="C175" i="3"/>
  <c r="C176" i="3"/>
  <c r="C183" i="3"/>
  <c r="C185" i="3"/>
  <c r="C186" i="3"/>
  <c r="I18" i="1"/>
  <c r="H40" i="1"/>
  <c r="E44" i="1"/>
  <c r="F44" i="1"/>
  <c r="H44" i="1"/>
  <c r="I44" i="1"/>
  <c r="E48" i="1"/>
  <c r="F48" i="1"/>
  <c r="H48" i="1"/>
  <c r="I48" i="1"/>
  <c r="E56" i="1"/>
  <c r="F56" i="1"/>
  <c r="H56" i="1"/>
  <c r="I56" i="1"/>
  <c r="AM11" i="2" l="1"/>
  <c r="AM12" i="2" s="1"/>
  <c r="AM13" i="2" s="1"/>
  <c r="AM14" i="2" s="1"/>
  <c r="AM15" i="2" s="1"/>
  <c r="AM16" i="2" s="1"/>
  <c r="AM17" i="2" s="1"/>
  <c r="AM18" i="2" s="1"/>
  <c r="AM19" i="2" s="1"/>
  <c r="AM20" i="2" s="1"/>
  <c r="AM21" i="2" s="1"/>
  <c r="AM22" i="2" s="1"/>
  <c r="AM23" i="2" s="1"/>
  <c r="AM24" i="2" s="1"/>
  <c r="AM25" i="2" s="1"/>
  <c r="AM26" i="2" s="1"/>
  <c r="AM27" i="2" s="1"/>
  <c r="AM28" i="2" s="1"/>
  <c r="AM29" i="2" s="1"/>
  <c r="AM30" i="2" s="1"/>
  <c r="AM31" i="2" s="1"/>
  <c r="AM32" i="2" s="1"/>
  <c r="AM33" i="2" s="1"/>
  <c r="AM34" i="2" s="1"/>
  <c r="AM35" i="2" s="1"/>
  <c r="I22" i="6"/>
  <c r="O22" i="6"/>
  <c r="O24" i="6" s="1"/>
  <c r="G24" i="6"/>
  <c r="U31" i="2"/>
  <c r="AQ9" i="2"/>
  <c r="AK10" i="2"/>
  <c r="P61" i="5"/>
  <c r="T61" i="5"/>
  <c r="T87" i="5"/>
  <c r="P87" i="5"/>
  <c r="M8" i="2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K24" i="6"/>
  <c r="AC30" i="2"/>
  <c r="U93" i="4"/>
  <c r="P76" i="4"/>
  <c r="T76" i="4"/>
  <c r="J77" i="4"/>
  <c r="I22" i="3"/>
  <c r="I23" i="3" s="1"/>
  <c r="P31" i="2"/>
  <c r="K6" i="2"/>
  <c r="F37" i="2"/>
  <c r="P23" i="2"/>
  <c r="U23" i="2"/>
  <c r="AD16" i="2"/>
  <c r="AG16" i="2" s="1"/>
  <c r="AC15" i="2"/>
  <c r="P16" i="2"/>
  <c r="U16" i="2"/>
  <c r="T30" i="4"/>
  <c r="AQ8" i="2"/>
  <c r="AQ7" i="2"/>
  <c r="T41" i="4"/>
  <c r="K7" i="2"/>
  <c r="J8" i="2"/>
  <c r="T63" i="5"/>
  <c r="P51" i="5"/>
  <c r="T51" i="5"/>
  <c r="P17" i="4"/>
  <c r="T17" i="4"/>
  <c r="U24" i="2"/>
  <c r="AD10" i="2"/>
  <c r="AG10" i="2" s="1"/>
  <c r="U10" i="2"/>
  <c r="AN37" i="2"/>
  <c r="P30" i="5"/>
  <c r="T30" i="5"/>
  <c r="T40" i="5" s="1"/>
  <c r="T26" i="5"/>
  <c r="Y7" i="2"/>
  <c r="W8" i="2"/>
  <c r="P69" i="5"/>
  <c r="T69" i="5"/>
  <c r="T43" i="4"/>
  <c r="T50" i="4" s="1"/>
  <c r="K8" i="2" l="1"/>
  <c r="J9" i="2"/>
  <c r="U15" i="2"/>
  <c r="AD15" i="2"/>
  <c r="AG15" i="2" s="1"/>
  <c r="P15" i="2"/>
  <c r="P30" i="2"/>
  <c r="U30" i="2"/>
  <c r="AD30" i="2"/>
  <c r="AG30" i="2" s="1"/>
  <c r="AC29" i="2"/>
  <c r="N7" i="2"/>
  <c r="O7" i="2" s="1"/>
  <c r="R7" i="2"/>
  <c r="Q22" i="6"/>
  <c r="Q24" i="6" s="1"/>
  <c r="I24" i="6"/>
  <c r="M37" i="2"/>
  <c r="AM37" i="2"/>
  <c r="R6" i="2"/>
  <c r="N6" i="2"/>
  <c r="AA6" i="2"/>
  <c r="AK11" i="2"/>
  <c r="AQ10" i="2"/>
  <c r="T90" i="5"/>
  <c r="T96" i="5" s="1"/>
  <c r="P77" i="4"/>
  <c r="T77" i="4"/>
  <c r="T90" i="4" s="1"/>
  <c r="T93" i="4" s="1"/>
  <c r="Y8" i="2"/>
  <c r="W9" i="2"/>
  <c r="AA7" i="2"/>
  <c r="AK12" i="2" l="1"/>
  <c r="AQ11" i="2"/>
  <c r="Y9" i="2"/>
  <c r="W10" i="2"/>
  <c r="O6" i="2"/>
  <c r="AH6" i="2"/>
  <c r="AE6" i="2"/>
  <c r="AA8" i="2"/>
  <c r="AD29" i="2"/>
  <c r="AG29" i="2" s="1"/>
  <c r="AC28" i="2"/>
  <c r="P29" i="2"/>
  <c r="U29" i="2"/>
  <c r="K9" i="2"/>
  <c r="J10" i="2"/>
  <c r="N8" i="2"/>
  <c r="O8" i="2" s="1"/>
  <c r="R8" i="2"/>
  <c r="AE7" i="2"/>
  <c r="AH7" i="2"/>
  <c r="N9" i="2" l="1"/>
  <c r="O9" i="2" s="1"/>
  <c r="R9" i="2"/>
  <c r="U28" i="2"/>
  <c r="U37" i="2" s="1"/>
  <c r="P28" i="2"/>
  <c r="P37" i="2" s="1"/>
  <c r="AD28" i="2"/>
  <c r="AG28" i="2" s="1"/>
  <c r="Y10" i="2"/>
  <c r="AA10" i="2" s="1"/>
  <c r="W11" i="2"/>
  <c r="AE8" i="2"/>
  <c r="AH8" i="2"/>
  <c r="J11" i="2"/>
  <c r="K10" i="2"/>
  <c r="AA9" i="2"/>
  <c r="AK13" i="2"/>
  <c r="AQ12" i="2"/>
  <c r="AK14" i="2" l="1"/>
  <c r="AQ13" i="2"/>
  <c r="AE9" i="2"/>
  <c r="AH9" i="2"/>
  <c r="Y11" i="2"/>
  <c r="W12" i="2"/>
  <c r="AE10" i="2"/>
  <c r="AH10" i="2"/>
  <c r="R10" i="2"/>
  <c r="N10" i="2"/>
  <c r="K11" i="2"/>
  <c r="J12" i="2"/>
  <c r="Y12" i="2" l="1"/>
  <c r="W13" i="2"/>
  <c r="AQ14" i="2"/>
  <c r="AK15" i="2"/>
  <c r="K12" i="2"/>
  <c r="J13" i="2"/>
  <c r="AA11" i="2"/>
  <c r="O10" i="2"/>
  <c r="N11" i="2"/>
  <c r="O11" i="2" s="1"/>
  <c r="R11" i="2"/>
  <c r="AQ15" i="2" l="1"/>
  <c r="AK16" i="2"/>
  <c r="N12" i="2"/>
  <c r="O12" i="2" s="1"/>
  <c r="R12" i="2"/>
  <c r="Y13" i="2"/>
  <c r="W14" i="2"/>
  <c r="AA12" i="2"/>
  <c r="AE11" i="2"/>
  <c r="AH11" i="2"/>
  <c r="K13" i="2"/>
  <c r="J14" i="2"/>
  <c r="N13" i="2" l="1"/>
  <c r="O13" i="2" s="1"/>
  <c r="R13" i="2"/>
  <c r="AA13" i="2"/>
  <c r="Y14" i="2"/>
  <c r="W15" i="2"/>
  <c r="K14" i="2"/>
  <c r="J15" i="2"/>
  <c r="AE12" i="2"/>
  <c r="AH12" i="2"/>
  <c r="AK17" i="2"/>
  <c r="AQ16" i="2"/>
  <c r="Y15" i="2" l="1"/>
  <c r="AA15" i="2" s="1"/>
  <c r="W16" i="2"/>
  <c r="K15" i="2"/>
  <c r="J16" i="2"/>
  <c r="N14" i="2"/>
  <c r="O14" i="2" s="1"/>
  <c r="R14" i="2"/>
  <c r="AQ17" i="2"/>
  <c r="AK18" i="2"/>
  <c r="AA14" i="2"/>
  <c r="AE13" i="2"/>
  <c r="AH13" i="2"/>
  <c r="AK19" i="2" l="1"/>
  <c r="AQ18" i="2"/>
  <c r="AE15" i="2"/>
  <c r="AH15" i="2"/>
  <c r="K16" i="2"/>
  <c r="J17" i="2"/>
  <c r="N15" i="2"/>
  <c r="O15" i="2" s="1"/>
  <c r="R15" i="2"/>
  <c r="AE14" i="2"/>
  <c r="AH14" i="2"/>
  <c r="Y16" i="2"/>
  <c r="W17" i="2"/>
  <c r="R16" i="2" l="1"/>
  <c r="N16" i="2"/>
  <c r="O16" i="2" s="1"/>
  <c r="Y17" i="2"/>
  <c r="AA17" i="2" s="1"/>
  <c r="W18" i="2"/>
  <c r="AA16" i="2"/>
  <c r="K17" i="2"/>
  <c r="J18" i="2"/>
  <c r="AQ19" i="2"/>
  <c r="AK20" i="2"/>
  <c r="AK21" i="2" l="1"/>
  <c r="AQ20" i="2"/>
  <c r="K18" i="2"/>
  <c r="J19" i="2"/>
  <c r="R17" i="2"/>
  <c r="N17" i="2"/>
  <c r="O17" i="2" s="1"/>
  <c r="AE16" i="2"/>
  <c r="AH16" i="2"/>
  <c r="Y18" i="2"/>
  <c r="AA18" i="2" s="1"/>
  <c r="W19" i="2"/>
  <c r="AE17" i="2"/>
  <c r="AH17" i="2"/>
  <c r="AE18" i="2" l="1"/>
  <c r="AH18" i="2"/>
  <c r="AK22" i="2"/>
  <c r="AQ21" i="2"/>
  <c r="K19" i="2"/>
  <c r="J20" i="2"/>
  <c r="N18" i="2"/>
  <c r="O18" i="2" s="1"/>
  <c r="R18" i="2"/>
  <c r="Y19" i="2"/>
  <c r="AA19" i="2" s="1"/>
  <c r="W20" i="2"/>
  <c r="AH19" i="2" l="1"/>
  <c r="AE19" i="2"/>
  <c r="K20" i="2"/>
  <c r="J21" i="2"/>
  <c r="R19" i="2"/>
  <c r="N19" i="2"/>
  <c r="O19" i="2" s="1"/>
  <c r="AK23" i="2"/>
  <c r="AQ22" i="2"/>
  <c r="Y20" i="2"/>
  <c r="W21" i="2"/>
  <c r="AK24" i="2" l="1"/>
  <c r="AQ23" i="2"/>
  <c r="K21" i="2"/>
  <c r="J22" i="2"/>
  <c r="N20" i="2"/>
  <c r="O20" i="2" s="1"/>
  <c r="R20" i="2"/>
  <c r="Y21" i="2"/>
  <c r="W22" i="2"/>
  <c r="AA20" i="2"/>
  <c r="AE20" i="2" l="1"/>
  <c r="AH20" i="2"/>
  <c r="N21" i="2"/>
  <c r="O21" i="2" s="1"/>
  <c r="R21" i="2"/>
  <c r="AK25" i="2"/>
  <c r="AQ24" i="2"/>
  <c r="Y22" i="2"/>
  <c r="AA22" i="2" s="1"/>
  <c r="W23" i="2"/>
  <c r="AA21" i="2"/>
  <c r="K22" i="2"/>
  <c r="J23" i="2"/>
  <c r="W24" i="2" l="1"/>
  <c r="Y23" i="2"/>
  <c r="J24" i="2"/>
  <c r="K23" i="2"/>
  <c r="AE22" i="2"/>
  <c r="AH22" i="2"/>
  <c r="AK26" i="2"/>
  <c r="AQ25" i="2"/>
  <c r="N22" i="2"/>
  <c r="O22" i="2" s="1"/>
  <c r="R22" i="2"/>
  <c r="AE21" i="2"/>
  <c r="AH21" i="2"/>
  <c r="W25" i="2" l="1"/>
  <c r="Y24" i="2"/>
  <c r="AK27" i="2"/>
  <c r="AQ26" i="2"/>
  <c r="N23" i="2"/>
  <c r="O23" i="2" s="1"/>
  <c r="R23" i="2"/>
  <c r="J25" i="2"/>
  <c r="K24" i="2"/>
  <c r="AA23" i="2"/>
  <c r="AE23" i="2" l="1"/>
  <c r="AH23" i="2"/>
  <c r="Y25" i="2"/>
  <c r="AA25" i="2" s="1"/>
  <c r="W26" i="2"/>
  <c r="K25" i="2"/>
  <c r="J26" i="2"/>
  <c r="R24" i="2"/>
  <c r="N24" i="2"/>
  <c r="O24" i="2" s="1"/>
  <c r="AQ27" i="2"/>
  <c r="AK28" i="2"/>
  <c r="AA24" i="2"/>
  <c r="K26" i="2" l="1"/>
  <c r="J27" i="2"/>
  <c r="N25" i="2"/>
  <c r="O25" i="2" s="1"/>
  <c r="R25" i="2"/>
  <c r="Y26" i="2"/>
  <c r="W27" i="2"/>
  <c r="AE24" i="2"/>
  <c r="AH24" i="2"/>
  <c r="AE25" i="2"/>
  <c r="AH25" i="2"/>
  <c r="AQ28" i="2"/>
  <c r="AK29" i="2"/>
  <c r="W28" i="2" l="1"/>
  <c r="Y27" i="2"/>
  <c r="N26" i="2"/>
  <c r="O26" i="2" s="1"/>
  <c r="R26" i="2"/>
  <c r="AA26" i="2"/>
  <c r="AQ29" i="2"/>
  <c r="AK30" i="2"/>
  <c r="K27" i="2"/>
  <c r="J28" i="2"/>
  <c r="N27" i="2" l="1"/>
  <c r="O27" i="2" s="1"/>
  <c r="R27" i="2"/>
  <c r="K28" i="2"/>
  <c r="J29" i="2"/>
  <c r="Y28" i="2"/>
  <c r="W29" i="2"/>
  <c r="AK31" i="2"/>
  <c r="AQ30" i="2"/>
  <c r="AE26" i="2"/>
  <c r="AH26" i="2"/>
  <c r="AA27" i="2"/>
  <c r="AK32" i="2" l="1"/>
  <c r="AQ31" i="2"/>
  <c r="Y29" i="2"/>
  <c r="AA29" i="2" s="1"/>
  <c r="W30" i="2"/>
  <c r="AA28" i="2"/>
  <c r="J30" i="2"/>
  <c r="K29" i="2"/>
  <c r="AH27" i="2"/>
  <c r="AE27" i="2"/>
  <c r="N28" i="2"/>
  <c r="O28" i="2" s="1"/>
  <c r="R28" i="2"/>
  <c r="AK33" i="2" l="1"/>
  <c r="AQ32" i="2"/>
  <c r="J31" i="2"/>
  <c r="K30" i="2"/>
  <c r="AE29" i="2"/>
  <c r="AH29" i="2"/>
  <c r="R29" i="2"/>
  <c r="N29" i="2"/>
  <c r="O29" i="2" s="1"/>
  <c r="AE28" i="2"/>
  <c r="AH28" i="2"/>
  <c r="W31" i="2"/>
  <c r="Y30" i="2"/>
  <c r="AA30" i="2" s="1"/>
  <c r="AK34" i="2" l="1"/>
  <c r="AQ33" i="2"/>
  <c r="AE30" i="2"/>
  <c r="AH30" i="2"/>
  <c r="N30" i="2"/>
  <c r="O30" i="2" s="1"/>
  <c r="R30" i="2"/>
  <c r="Y31" i="2"/>
  <c r="AA31" i="2" s="1"/>
  <c r="W32" i="2"/>
  <c r="J32" i="2"/>
  <c r="K31" i="2"/>
  <c r="Y32" i="2" l="1"/>
  <c r="AA32" i="2" s="1"/>
  <c r="W33" i="2"/>
  <c r="K32" i="2"/>
  <c r="J33" i="2"/>
  <c r="AK35" i="2"/>
  <c r="AQ34" i="2"/>
  <c r="AE31" i="2"/>
  <c r="AH31" i="2"/>
  <c r="R31" i="2"/>
  <c r="N31" i="2"/>
  <c r="O31" i="2" s="1"/>
  <c r="AH32" i="2" l="1"/>
  <c r="AE32" i="2"/>
  <c r="AQ35" i="2"/>
  <c r="AQ37" i="2" s="1"/>
  <c r="AK37" i="2"/>
  <c r="K33" i="2"/>
  <c r="J34" i="2"/>
  <c r="N32" i="2"/>
  <c r="O32" i="2" s="1"/>
  <c r="R32" i="2"/>
  <c r="Y33" i="2"/>
  <c r="AA33" i="2" s="1"/>
  <c r="W34" i="2"/>
  <c r="J35" i="2" l="1"/>
  <c r="K34" i="2"/>
  <c r="AE33" i="2"/>
  <c r="AH33" i="2"/>
  <c r="N33" i="2"/>
  <c r="O33" i="2" s="1"/>
  <c r="R33" i="2"/>
  <c r="W35" i="2"/>
  <c r="Y34" i="2"/>
  <c r="AA34" i="2" s="1"/>
  <c r="K35" i="2" l="1"/>
  <c r="J37" i="2"/>
  <c r="AH34" i="2"/>
  <c r="AE34" i="2"/>
  <c r="Y35" i="2"/>
  <c r="W37" i="2"/>
  <c r="N34" i="2"/>
  <c r="O34" i="2" s="1"/>
  <c r="R34" i="2"/>
  <c r="AA35" i="2" l="1"/>
  <c r="Y37" i="2"/>
  <c r="N35" i="2"/>
  <c r="R35" i="2"/>
  <c r="R37" i="2" s="1"/>
  <c r="K37" i="2"/>
  <c r="AE35" i="2" l="1"/>
  <c r="AE37" i="2" s="1"/>
  <c r="AH35" i="2"/>
  <c r="AH37" i="2" s="1"/>
  <c r="AA37" i="2"/>
  <c r="O35" i="2"/>
  <c r="O37" i="2" s="1"/>
  <c r="N37" i="2"/>
  <c r="AE38" i="2" l="1"/>
  <c r="AE41" i="2" s="1"/>
  <c r="AE43" i="2" s="1"/>
</calcChain>
</file>

<file path=xl/sharedStrings.xml><?xml version="1.0" encoding="utf-8"?>
<sst xmlns="http://schemas.openxmlformats.org/spreadsheetml/2006/main" count="2086" uniqueCount="532">
  <si>
    <t> TCO</t>
  </si>
  <si>
    <t>IPP</t>
  </si>
  <si>
    <t> </t>
  </si>
  <si>
    <t>SIT</t>
  </si>
  <si>
    <t>IGS</t>
  </si>
  <si>
    <t>ITS</t>
  </si>
  <si>
    <t>KOT</t>
  </si>
  <si>
    <t>PAL</t>
  </si>
  <si>
    <t>LEND</t>
  </si>
  <si>
    <t> COLUMBIA GULF</t>
  </si>
  <si>
    <t>FTS2</t>
  </si>
  <si>
    <t>ITS2</t>
  </si>
  <si>
    <t>FTS1</t>
  </si>
  <si>
    <t>ITS1</t>
  </si>
  <si>
    <t>TSP</t>
  </si>
  <si>
    <t>Svc Contract</t>
  </si>
  <si>
    <t>Rate</t>
  </si>
  <si>
    <t>Park/Lend</t>
  </si>
  <si>
    <t>OPT</t>
  </si>
  <si>
    <t>Term Start</t>
  </si>
  <si>
    <t>Term end</t>
  </si>
  <si>
    <t>Offer</t>
  </si>
  <si>
    <t>MDQ</t>
  </si>
  <si>
    <t>SCQ</t>
  </si>
  <si>
    <t>Available MDQ</t>
  </si>
  <si>
    <t>Released</t>
  </si>
  <si>
    <t>Recall</t>
  </si>
  <si>
    <t>#28332</t>
  </si>
  <si>
    <t>Demand</t>
  </si>
  <si>
    <t>Transco</t>
  </si>
  <si>
    <t>Tenn</t>
  </si>
  <si>
    <t xml:space="preserve"> </t>
  </si>
  <si>
    <t>buy/sell</t>
  </si>
  <si>
    <t>pipe</t>
  </si>
  <si>
    <t>customer</t>
  </si>
  <si>
    <t>dates</t>
  </si>
  <si>
    <t>rec</t>
  </si>
  <si>
    <t>del</t>
  </si>
  <si>
    <t>dem</t>
  </si>
  <si>
    <t>com</t>
  </si>
  <si>
    <t>aca</t>
  </si>
  <si>
    <t>gri</t>
  </si>
  <si>
    <t>s/c</t>
  </si>
  <si>
    <t>fuel %</t>
  </si>
  <si>
    <t>total</t>
  </si>
  <si>
    <t>vol</t>
  </si>
  <si>
    <t>comment</t>
  </si>
  <si>
    <t>Days</t>
  </si>
  <si>
    <t>Boston Gas</t>
  </si>
  <si>
    <t>Access</t>
  </si>
  <si>
    <t>FT-1</t>
  </si>
  <si>
    <t>CDS</t>
  </si>
  <si>
    <t>M3</t>
  </si>
  <si>
    <t>TETCO</t>
  </si>
  <si>
    <t>CNG</t>
  </si>
  <si>
    <t>AFT-13</t>
  </si>
  <si>
    <t>max demand</t>
  </si>
  <si>
    <t>M2</t>
  </si>
  <si>
    <t>Leach</t>
  </si>
  <si>
    <t>Algonquin</t>
  </si>
  <si>
    <t>St 30</t>
  </si>
  <si>
    <t>Items have been checked</t>
  </si>
  <si>
    <t>Need to verify</t>
  </si>
  <si>
    <t>CES</t>
  </si>
  <si>
    <t>Col Gulf</t>
  </si>
  <si>
    <t>Rayne</t>
  </si>
  <si>
    <t>CES Contact:  John Hodge 713-693-2801</t>
  </si>
  <si>
    <t>ENA Structuring Contact:  Mark Breese 3-6751</t>
  </si>
  <si>
    <t>Comments:</t>
  </si>
  <si>
    <t>Questions</t>
  </si>
  <si>
    <t>Commodity and fuel  on sheet looks like CGAS .  CGLF rate and fuel is $.017 and 2.988%</t>
  </si>
  <si>
    <t>Bought to serve retail requirements, feeds K#65026</t>
  </si>
  <si>
    <t>Col Gas</t>
  </si>
  <si>
    <t>CPA</t>
  </si>
  <si>
    <t>CMD</t>
  </si>
  <si>
    <t>Act Demand</t>
  </si>
  <si>
    <t>Est Demand</t>
  </si>
  <si>
    <t>Type</t>
  </si>
  <si>
    <t>CES / CMD</t>
  </si>
  <si>
    <t>CES / CVA</t>
  </si>
  <si>
    <t>801 - Leach</t>
  </si>
  <si>
    <t>FTS</t>
  </si>
  <si>
    <t>CMD-08</t>
  </si>
  <si>
    <t>CGV-30</t>
  </si>
  <si>
    <t>CMD-08, CMD-04</t>
  </si>
  <si>
    <t>CES / COH</t>
  </si>
  <si>
    <t>STOW</t>
  </si>
  <si>
    <t>FSS</t>
  </si>
  <si>
    <t>MSQ</t>
  </si>
  <si>
    <t>MDWQ</t>
  </si>
  <si>
    <t>#25699</t>
  </si>
  <si>
    <t>#25712</t>
  </si>
  <si>
    <t>#25955</t>
  </si>
  <si>
    <t>#25965</t>
  </si>
  <si>
    <t>#26150</t>
  </si>
  <si>
    <t>#26503</t>
  </si>
  <si>
    <t>COH-08</t>
  </si>
  <si>
    <t>#26577</t>
  </si>
  <si>
    <t>#26726</t>
  </si>
  <si>
    <t>CES / CPA</t>
  </si>
  <si>
    <t>CPA-08</t>
  </si>
  <si>
    <t>#26754</t>
  </si>
  <si>
    <t>#26753</t>
  </si>
  <si>
    <t>CPA-04</t>
  </si>
  <si>
    <t>CES / BG&amp;E</t>
  </si>
  <si>
    <t>BG&amp;E-10</t>
  </si>
  <si>
    <t>#27127</t>
  </si>
  <si>
    <t>SST</t>
  </si>
  <si>
    <t>COH-03, COH-07, COH-05, COH-08</t>
  </si>
  <si>
    <t>Cust / LDC</t>
  </si>
  <si>
    <t>AFT-1B</t>
  </si>
  <si>
    <t>CES/Agency</t>
  </si>
  <si>
    <t>FTNN</t>
  </si>
  <si>
    <t>GSSTE</t>
  </si>
  <si>
    <t>Storage Demand</t>
  </si>
  <si>
    <t>Storage Capacity</t>
  </si>
  <si>
    <t>734462 Cygnet</t>
  </si>
  <si>
    <t>23N-7 Sandusky</t>
  </si>
  <si>
    <t>#22429</t>
  </si>
  <si>
    <t>A3 Maumee</t>
  </si>
  <si>
    <t>23-4 COH-07 Alliance</t>
  </si>
  <si>
    <t>#22422</t>
  </si>
  <si>
    <t>F4 Monclova</t>
  </si>
  <si>
    <t>#26722</t>
  </si>
  <si>
    <t>FT-A</t>
  </si>
  <si>
    <t>Atlanta</t>
  </si>
  <si>
    <t>Various</t>
  </si>
  <si>
    <t>020042 East Lobelville</t>
  </si>
  <si>
    <t>Released month to month</t>
  </si>
  <si>
    <t>FTS-1</t>
  </si>
  <si>
    <t>CVA</t>
  </si>
  <si>
    <t>Boston</t>
  </si>
  <si>
    <t>Leidy</t>
  </si>
  <si>
    <t>Perulack</t>
  </si>
  <si>
    <t>Bechtelsville</t>
  </si>
  <si>
    <t>SS-1</t>
  </si>
  <si>
    <t>Texas Gas</t>
  </si>
  <si>
    <t>1247 Lebanon CNG</t>
  </si>
  <si>
    <t>FT</t>
  </si>
  <si>
    <t>Zone SL</t>
  </si>
  <si>
    <t>Zone 1</t>
  </si>
  <si>
    <t>FT -R</t>
  </si>
  <si>
    <t>St 45</t>
  </si>
  <si>
    <t>Z3</t>
  </si>
  <si>
    <t>6484 Atlanta</t>
  </si>
  <si>
    <t>6971 St 85</t>
  </si>
  <si>
    <t>FTCHR</t>
  </si>
  <si>
    <t>St 65</t>
  </si>
  <si>
    <t>6325 Wharton Nat Fuel</t>
  </si>
  <si>
    <t>6561 Algon Centerville</t>
  </si>
  <si>
    <t>2.4899 / 2.1439</t>
  </si>
  <si>
    <t>FTL-R</t>
  </si>
  <si>
    <t>#10723</t>
  </si>
  <si>
    <t>#13683</t>
  </si>
  <si>
    <t>2.8607 / 2.1439</t>
  </si>
  <si>
    <t>WSR Demand</t>
  </si>
  <si>
    <t>WSR</t>
  </si>
  <si>
    <t>WSR Capacity</t>
  </si>
  <si>
    <t>ESR Capacity</t>
  </si>
  <si>
    <t>ESR Demand</t>
  </si>
  <si>
    <t>ESR</t>
  </si>
  <si>
    <t>143929 / 143928</t>
  </si>
  <si>
    <t>143931 / 143928</t>
  </si>
  <si>
    <t>East Tenn</t>
  </si>
  <si>
    <t>Lobelville</t>
  </si>
  <si>
    <t>Z1</t>
  </si>
  <si>
    <t>#22428; Primary to Op 5, ROFR</t>
  </si>
  <si>
    <t>734462 Crossroads</t>
  </si>
  <si>
    <t>23N-2 COH 5</t>
  </si>
  <si>
    <t>#22747; Primary to contrained Op 7, ROFR</t>
  </si>
  <si>
    <t>23-4 COH-07-4</t>
  </si>
  <si>
    <t>FT Z3-Z6</t>
  </si>
  <si>
    <t>Index</t>
  </si>
  <si>
    <t>Comm</t>
  </si>
  <si>
    <t>Surcharges</t>
  </si>
  <si>
    <t>Fuel</t>
  </si>
  <si>
    <t>Transport</t>
  </si>
  <si>
    <t>Delivered Price</t>
  </si>
  <si>
    <t>Algo Comm</t>
  </si>
  <si>
    <t>Algo Transport</t>
  </si>
  <si>
    <t>Index Prem</t>
  </si>
  <si>
    <t>CGAS</t>
  </si>
  <si>
    <t>New K#</t>
  </si>
  <si>
    <t>New Sitara</t>
  </si>
  <si>
    <t>ENA</t>
  </si>
  <si>
    <t>Pending Release</t>
  </si>
  <si>
    <t>801-Leach</t>
  </si>
  <si>
    <t>19-26</t>
  </si>
  <si>
    <t>19-27</t>
  </si>
  <si>
    <t>#27772</t>
  </si>
  <si>
    <t>ACTIVE #200001000039</t>
  </si>
  <si>
    <t>Dayton</t>
  </si>
  <si>
    <t>T015955</t>
  </si>
  <si>
    <t>#015836</t>
  </si>
  <si>
    <t>#015839</t>
  </si>
  <si>
    <t>#15841</t>
  </si>
  <si>
    <t>#15843</t>
  </si>
  <si>
    <t>9/d</t>
  </si>
  <si>
    <t>16/d</t>
  </si>
  <si>
    <t>na</t>
  </si>
  <si>
    <t>SNAT</t>
  </si>
  <si>
    <t>AGL</t>
  </si>
  <si>
    <t>CSS</t>
  </si>
  <si>
    <t>Bear Creek</t>
  </si>
  <si>
    <t>Stor</t>
  </si>
  <si>
    <t>From CES #66615</t>
  </si>
  <si>
    <t>SGA</t>
  </si>
  <si>
    <t>A</t>
  </si>
  <si>
    <t>B</t>
  </si>
  <si>
    <t>C</t>
  </si>
  <si>
    <t>E</t>
  </si>
  <si>
    <t>F</t>
  </si>
  <si>
    <t>G</t>
  </si>
  <si>
    <t>H</t>
  </si>
  <si>
    <t>I</t>
  </si>
  <si>
    <t>J</t>
  </si>
  <si>
    <t>K</t>
  </si>
  <si>
    <t>L</t>
  </si>
  <si>
    <t>A+B+C</t>
  </si>
  <si>
    <t>Storage</t>
  </si>
  <si>
    <t>CES Retail</t>
  </si>
  <si>
    <t>Calp</t>
  </si>
  <si>
    <t>Total</t>
  </si>
  <si>
    <t>1st of Month</t>
  </si>
  <si>
    <t>Strg Vol</t>
  </si>
  <si>
    <t>Total Req</t>
  </si>
  <si>
    <t>Portland Storage</t>
  </si>
  <si>
    <t>FS-MA</t>
  </si>
  <si>
    <t>Equit</t>
  </si>
  <si>
    <t>11089</t>
  </si>
  <si>
    <t>TEPE 0144</t>
  </si>
  <si>
    <t>8 Mansfield COH 7-8</t>
  </si>
  <si>
    <t>#26694;  Primary receipt Toledo agg., ROFR, total MDQ is 20,000 day, contract will be split between retail and wholesale with 15,000/day going to Retail-Mass Markets.  Old contract was 62039.</t>
  </si>
  <si>
    <t>#26714</t>
  </si>
  <si>
    <t>No offer</t>
  </si>
  <si>
    <t>100% Reimbursed from CES</t>
  </si>
  <si>
    <t>CES S-N Transport</t>
  </si>
  <si>
    <t>North Citygate</t>
  </si>
  <si>
    <t>South Citygate</t>
  </si>
  <si>
    <t>East Tennessee</t>
  </si>
  <si>
    <t>Tenn 1-1</t>
  </si>
  <si>
    <t xml:space="preserve">E Tenn </t>
  </si>
  <si>
    <t>LA</t>
  </si>
  <si>
    <t>Note:  Tenn 1-1 surcharge of $.0225 does not apply</t>
  </si>
  <si>
    <t>Equitrans</t>
  </si>
  <si>
    <t>IT</t>
  </si>
  <si>
    <t>Tenn Z1 - Z5</t>
  </si>
  <si>
    <t>Texas Eastern M3</t>
  </si>
  <si>
    <t>Ela</t>
  </si>
  <si>
    <t>FT Z3-Z4</t>
  </si>
  <si>
    <t>FT Z4-Z4 Rate Schedule FTSR No. 37F</t>
  </si>
  <si>
    <t>FT Z4-Z4 Rate Schedule FTCHR No. 37M</t>
  </si>
  <si>
    <t>St 85</t>
  </si>
  <si>
    <t>(excluded Great Plains)</t>
  </si>
  <si>
    <t>FT Z4-Z5 PSNC Volumetric Release</t>
  </si>
  <si>
    <t>Deal 158693.  PSNC sends ENA an invoice for this gas.  ENA will forward this to PSNC each month.</t>
  </si>
  <si>
    <t>Volumetric Demand</t>
  </si>
  <si>
    <t>Deal 157591.  Because this is a volumetric contract, the demand charge</t>
  </si>
  <si>
    <t>for the capacity is included in the sales price.  There should not be a demand</t>
  </si>
  <si>
    <t>charge for this contract on the capacity worksheet.</t>
  </si>
  <si>
    <t>149346/ change to 214854 on 4/1/2000</t>
  </si>
  <si>
    <t>#23652</t>
  </si>
  <si>
    <t>Just added to march</t>
  </si>
  <si>
    <t>Deal 206266</t>
  </si>
  <si>
    <t>TCO</t>
  </si>
  <si>
    <t>evergreen</t>
  </si>
  <si>
    <t>AS Pooling Agreement</t>
  </si>
  <si>
    <t>AS</t>
  </si>
  <si>
    <t>CMd</t>
  </si>
  <si>
    <t>#28331</t>
  </si>
  <si>
    <t>FSNG101</t>
  </si>
  <si>
    <t>Pricing Notes</t>
  </si>
  <si>
    <t>Pipeline</t>
  </si>
  <si>
    <t>Undertakes</t>
  </si>
  <si>
    <t>Overtakes</t>
  </si>
  <si>
    <t>CNG North Citygate</t>
  </si>
  <si>
    <t>CNG South Citygate</t>
  </si>
  <si>
    <t>GD CNG South Point - .01 plus variable</t>
  </si>
  <si>
    <t>GD CNG South Point + .01 plus variable</t>
  </si>
  <si>
    <t>Texas Gas Z4</t>
  </si>
  <si>
    <t>GD Algo Citygate + .02</t>
  </si>
  <si>
    <t>GD M3 - .01</t>
  </si>
  <si>
    <t>GD M3 + .01</t>
  </si>
  <si>
    <t>Texas Eastern Ela (UGI)</t>
  </si>
  <si>
    <t>GD Tetco Ela - .01</t>
  </si>
  <si>
    <t>GD Tetco Ela + .01</t>
  </si>
  <si>
    <t>Must negotiate daily pricing</t>
  </si>
  <si>
    <t>Tenn Z6</t>
  </si>
  <si>
    <t>Transco Z6 New York</t>
  </si>
  <si>
    <t>This includes deliveries to Bug, Con Ed, Lilco, and PSE&amp;G</t>
  </si>
  <si>
    <t>Transco Z6 Non-New York</t>
  </si>
  <si>
    <t>GD Transco NNY - .02</t>
  </si>
  <si>
    <t>GD Transco NNY + .02</t>
  </si>
  <si>
    <t xml:space="preserve">Transco Z5 </t>
  </si>
  <si>
    <t>GD CGAS App - .01 plus variable</t>
  </si>
  <si>
    <t>Atlanta Gas Light Program</t>
  </si>
  <si>
    <t>Sonat</t>
  </si>
  <si>
    <t>E Tenn</t>
  </si>
  <si>
    <t>GD Posting</t>
  </si>
  <si>
    <t>Price</t>
  </si>
  <si>
    <t>GD Algon Others</t>
  </si>
  <si>
    <t>Example:</t>
  </si>
  <si>
    <t>If the FOM Tetco M3 volume is 4,000 dt/day</t>
  </si>
  <si>
    <t>CES will be able to swing from 3,000 dt/day to 5,000 dt/day.</t>
  </si>
  <si>
    <t>Volumes less than the FOM volumes will be defined as Undertakes.</t>
  </si>
  <si>
    <t>Volumes greater than the FOM volumes will be defined as Overtakes.</t>
  </si>
  <si>
    <t>For the 30th, ENA will pay CES $3.1700  for undertakes and $3.1900 for overtakes.</t>
  </si>
  <si>
    <t>Variable cost will be based on the apllicable FOM index price</t>
  </si>
  <si>
    <t>If CES's volume for Tetco M3 on the 30th is 3176, then ENA bill CES for 4,000 dt at the Exhibit 1 price</t>
  </si>
  <si>
    <t>and ENA will buy from CES 824 dt at $3.1700</t>
  </si>
  <si>
    <t xml:space="preserve">If CES's volume for Tetco M3 on the 30th is 4300, then ENA will bill CES for 4,000 dt at the Exhibit 1 price </t>
  </si>
  <si>
    <t>and ENA will bill CES for 300 dt at $3.1900</t>
  </si>
  <si>
    <t>40208-Oakford</t>
  </si>
  <si>
    <t>60001-Lebanon</t>
  </si>
  <si>
    <t>60003-Cornwell</t>
  </si>
  <si>
    <t>5A2529</t>
  </si>
  <si>
    <t>19-32</t>
  </si>
  <si>
    <t>19E</t>
  </si>
  <si>
    <t>25-36</t>
  </si>
  <si>
    <t>25-39</t>
  </si>
  <si>
    <t>00205-Mendon</t>
  </si>
  <si>
    <t>0021-Norwood</t>
  </si>
  <si>
    <t>00211-Hanover</t>
  </si>
  <si>
    <t>00032-Waltham</t>
  </si>
  <si>
    <t>AFT1</t>
  </si>
  <si>
    <t>FS 120, PK 139, SM 82, SS 120</t>
  </si>
  <si>
    <t>27-Everett</t>
  </si>
  <si>
    <t>210-Lambertville</t>
  </si>
  <si>
    <t>FS 210, PK 235, SM 160, SS210</t>
  </si>
  <si>
    <t>AFT-E1</t>
  </si>
  <si>
    <t>89-Medford</t>
  </si>
  <si>
    <t>AFT-1F</t>
  </si>
  <si>
    <t>52-Ponkapoag</t>
  </si>
  <si>
    <t>FS62, pk 93, ss 62, no summer</t>
  </si>
  <si>
    <t>STX</t>
  </si>
  <si>
    <t>m2</t>
  </si>
  <si>
    <t>SSNG45</t>
  </si>
  <si>
    <t>Terminated- 74/d</t>
  </si>
  <si>
    <t>Terminated-139/d</t>
  </si>
  <si>
    <t>Terminated-11/d</t>
  </si>
  <si>
    <t>Terminated-18/d</t>
  </si>
  <si>
    <t>Terminated-167</t>
  </si>
  <si>
    <t>The balance of the volumes on this deal will be billed Tetco M3 IF + $.01</t>
  </si>
  <si>
    <t>Deal # 228246 for North and tiered rate.  Deal # 228234 for South all at one rate.</t>
  </si>
  <si>
    <t>Deal 231742</t>
  </si>
  <si>
    <t>Deal 231741</t>
  </si>
  <si>
    <t>Deal 232619</t>
  </si>
  <si>
    <t>FOM Volumes</t>
  </si>
  <si>
    <t>Deal Ticket #</t>
  </si>
  <si>
    <t xml:space="preserve">      Buy Back</t>
  </si>
  <si>
    <t>a05-Delmont</t>
  </si>
  <si>
    <t>25-26</t>
  </si>
  <si>
    <t>#28742</t>
  </si>
  <si>
    <t>#23890</t>
  </si>
  <si>
    <t>#28389, Sheet No 29</t>
  </si>
  <si>
    <t xml:space="preserve">      Overtakes</t>
  </si>
  <si>
    <t>#28632</t>
  </si>
  <si>
    <t>#19739</t>
  </si>
  <si>
    <t>46-30 OPT 10-30</t>
  </si>
  <si>
    <t>#28631</t>
  </si>
  <si>
    <t>REL 788</t>
  </si>
  <si>
    <t>GD CNG South Point + .025 plus variable</t>
  </si>
  <si>
    <t>FSGA25</t>
  </si>
  <si>
    <t>#24855</t>
  </si>
  <si>
    <t>stow</t>
  </si>
  <si>
    <t>#16429</t>
  </si>
  <si>
    <t>#016332</t>
  </si>
  <si>
    <t>#016352</t>
  </si>
  <si>
    <t>#016430</t>
  </si>
  <si>
    <t>#16431</t>
  </si>
  <si>
    <t>#016432</t>
  </si>
  <si>
    <t>#016433</t>
  </si>
  <si>
    <t>Envirogas</t>
  </si>
  <si>
    <t>Month to Month</t>
  </si>
  <si>
    <t>#27991</t>
  </si>
  <si>
    <t>GD CGAS App + .02 plus variable</t>
  </si>
  <si>
    <t>GD TGT Zone Gas SL - $.01 plus variable</t>
  </si>
  <si>
    <t>GD CNG South Point for all volumes greater than CES's max available transport</t>
  </si>
  <si>
    <t>GD TGT Zone Gas SL + $.01 plus variable, up to CES's max available transport on TGT</t>
  </si>
  <si>
    <t>CGAS Onshore</t>
  </si>
  <si>
    <t>GD Columbia - .01</t>
  </si>
  <si>
    <t>GD Columbia + .01</t>
  </si>
  <si>
    <t>CGAS Mainline</t>
  </si>
  <si>
    <t>GD Columbia, Mainline - .01</t>
  </si>
  <si>
    <t>GD Columbia, Mainline + .01</t>
  </si>
  <si>
    <t>ENA will give CES the right to swing +/- 25% from their FOM volumes for the month of May, 2000.</t>
  </si>
  <si>
    <t>Some of the pricing for the swing volumes is shown below.</t>
  </si>
  <si>
    <t>GD Tenn Z6(delivered) - .015</t>
  </si>
  <si>
    <t>GD Tenn Z6 (delivered) + .015</t>
  </si>
  <si>
    <t>4 BG&amp;E</t>
  </si>
  <si>
    <t>ENA Trsp</t>
  </si>
  <si>
    <t>Storage Injection:</t>
  </si>
  <si>
    <t>Inj Comm</t>
  </si>
  <si>
    <t>FT Z3-Z5</t>
  </si>
  <si>
    <t>Deal 232614</t>
  </si>
  <si>
    <t>SL</t>
  </si>
  <si>
    <t>La</t>
  </si>
  <si>
    <t>Deal 231744</t>
  </si>
  <si>
    <t>#19862</t>
  </si>
  <si>
    <t>REL 965</t>
  </si>
  <si>
    <t>REL 972</t>
  </si>
  <si>
    <t>REL 944</t>
  </si>
  <si>
    <t>REL 951</t>
  </si>
  <si>
    <t>3.5163/.7537</t>
  </si>
  <si>
    <t>#19825</t>
  </si>
  <si>
    <t>3.5161/.7537</t>
  </si>
  <si>
    <t>#19827</t>
  </si>
  <si>
    <t>#13697</t>
  </si>
  <si>
    <t>3.5162/2.7055</t>
  </si>
  <si>
    <t>#19826</t>
  </si>
  <si>
    <t>#28962</t>
  </si>
  <si>
    <t>#28933</t>
  </si>
  <si>
    <t>#29000</t>
  </si>
  <si>
    <t>Release to equitable</t>
  </si>
  <si>
    <t>23-1</t>
  </si>
  <si>
    <t xml:space="preserve">2.4899 </t>
  </si>
  <si>
    <t>#20100</t>
  </si>
  <si>
    <t xml:space="preserve">2.8607 </t>
  </si>
  <si>
    <t>#20101</t>
  </si>
  <si>
    <t xml:space="preserve">TERM: 6/1/00 - 6/30/00 </t>
  </si>
  <si>
    <t>Gas Requierments for sale toMME</t>
  </si>
  <si>
    <t>Point of Delivery- COH</t>
  </si>
  <si>
    <t>Projected</t>
  </si>
  <si>
    <t>Daily</t>
  </si>
  <si>
    <t>Monthly</t>
  </si>
  <si>
    <t>TCO -OP</t>
  </si>
  <si>
    <t>Market</t>
  </si>
  <si>
    <t>Burn</t>
  </si>
  <si>
    <t>Bank</t>
  </si>
  <si>
    <t>Delivery</t>
  </si>
  <si>
    <t>Zone</t>
  </si>
  <si>
    <t>Area</t>
  </si>
  <si>
    <t>Meter</t>
  </si>
  <si>
    <t>Dth/Day</t>
  </si>
  <si>
    <t>Dth/Month</t>
  </si>
  <si>
    <t>Withdrawal</t>
  </si>
  <si>
    <t>Requirements</t>
  </si>
  <si>
    <t>23N-2</t>
  </si>
  <si>
    <t>23N-7</t>
  </si>
  <si>
    <t>23-3</t>
  </si>
  <si>
    <t>23-4</t>
  </si>
  <si>
    <t>23-5</t>
  </si>
  <si>
    <t>23-6</t>
  </si>
  <si>
    <t>23-8</t>
  </si>
  <si>
    <t>23-9</t>
  </si>
  <si>
    <t>24-35</t>
  </si>
  <si>
    <t>Includes 1430/day delivered to Titanium Metals at zone 8-35.</t>
  </si>
  <si>
    <t>Sitara Deal 282945</t>
  </si>
  <si>
    <t>Adjusted on</t>
  </si>
  <si>
    <t>#29139</t>
  </si>
  <si>
    <t xml:space="preserve">#13488, BGC released to CES #13824, we re-released to ENA, eff 6/1/2000 released to Energy Express </t>
  </si>
  <si>
    <t>#13824, released to Energy Express for the term of the deal, should be recalled by Boston effective 7/1/2000</t>
  </si>
  <si>
    <t>Energy Express</t>
  </si>
  <si>
    <t>#13817, released to Energy Express at CES's request for the term of the deal, should be recalled effective 7/1/2000 by Boston Gas</t>
  </si>
  <si>
    <t>#013489, BGC released to CES #13288, we re-released to ENA, effective 6/1/2000 released to Energy Express</t>
  </si>
  <si>
    <t>254262, unable to re-release in Sitara</t>
  </si>
  <si>
    <t>AFT1FT2 (AFT-2)</t>
  </si>
  <si>
    <t>#3784, released to Energy Express per CES</t>
  </si>
  <si>
    <t>#3666, released to Energy Express</t>
  </si>
  <si>
    <t>#3589, released from CES k#779234, offer #3589</t>
  </si>
  <si>
    <t>#3581, from CES k#779233, offer #3581</t>
  </si>
  <si>
    <t>#3662, from CES k#779153, offer #3573</t>
  </si>
  <si>
    <t>#3786, released to Energy Express</t>
  </si>
  <si>
    <t>#3671, released from CES k#779152, offer #3597</t>
  </si>
  <si>
    <t>#3787, released to Energy Express</t>
  </si>
  <si>
    <t>#3672, released from CES k#779235, offer #3605</t>
  </si>
  <si>
    <t>#3788, released to Energy Express</t>
  </si>
  <si>
    <t>#3673, released from CES k#779232, offer#3613</t>
  </si>
  <si>
    <t>#3789, released to Energy Express</t>
  </si>
  <si>
    <t>#3674, released from CES k#779150, offer #3621</t>
  </si>
  <si>
    <t>#3790, released to Energy Express</t>
  </si>
  <si>
    <t>Coh 7-9</t>
  </si>
  <si>
    <t>#29077</t>
  </si>
  <si>
    <t>Use to schedule inj and with, billed commodity only.</t>
  </si>
  <si>
    <t>CES East Desk Transportation Capacity for June, 2000</t>
  </si>
  <si>
    <t>Release to mgag .15</t>
  </si>
  <si>
    <t>Note:  Effective 6/1/2000  all Boston Capacity was released to Energy Express.</t>
  </si>
  <si>
    <t>ces</t>
  </si>
  <si>
    <t>Lilco</t>
  </si>
  <si>
    <t>FT-R</t>
  </si>
  <si>
    <t>3.5130/.7537</t>
  </si>
  <si>
    <t>#19858</t>
  </si>
  <si>
    <t>Deal 282783</t>
  </si>
  <si>
    <t>Comment:  CES has 220 dt/day of South to North Space.</t>
  </si>
  <si>
    <t>Deal 269370  CES has 1,000 dth of FTS, price 1,000 day at the FTS rate, balance at the IT rate.</t>
  </si>
  <si>
    <t>Deal 228296 ENA will bill CES 471 dth/day at Ela + $.01 + transport</t>
  </si>
  <si>
    <t>CES has 471 dt of Access to M3 space.</t>
  </si>
  <si>
    <t>Deal 280227</t>
  </si>
  <si>
    <t>greater than 0 will be priced at $4.8178.</t>
  </si>
  <si>
    <t>CES has 0 dth of Algonquin capacity  priced at $4.7278, all volume</t>
  </si>
  <si>
    <t>Deal 276517</t>
  </si>
  <si>
    <t>Choice</t>
  </si>
  <si>
    <t>Sales</t>
  </si>
  <si>
    <t>Incremental</t>
  </si>
  <si>
    <t>Transport less</t>
  </si>
  <si>
    <t xml:space="preserve">Gas </t>
  </si>
  <si>
    <t>Transport Fixed Price Deals</t>
  </si>
  <si>
    <t>Total 1st of</t>
  </si>
  <si>
    <t>Stow</t>
  </si>
  <si>
    <t>Injection</t>
  </si>
  <si>
    <t>To CES</t>
  </si>
  <si>
    <t>Fixed Price</t>
  </si>
  <si>
    <t>GD - $.01</t>
  </si>
  <si>
    <t>Month Fixed Price</t>
  </si>
  <si>
    <t>average rate===&gt;</t>
  </si>
  <si>
    <t xml:space="preserve">FOM CGAS IF + $.0075 </t>
  </si>
  <si>
    <t>Comment:  Baseload fixed price deals will be included in the</t>
  </si>
  <si>
    <t>Note:</t>
  </si>
  <si>
    <t>first of the month volume for pricing purposes.</t>
  </si>
  <si>
    <t>Volume</t>
  </si>
  <si>
    <t>Comment</t>
  </si>
  <si>
    <t>Storage Sales</t>
  </si>
  <si>
    <t>FOM pricing using CES transport+ injection costs</t>
  </si>
  <si>
    <t>Citygate Sales</t>
  </si>
  <si>
    <t>FOM pricing using CES transport</t>
  </si>
  <si>
    <t>Less ENA Tport</t>
  </si>
  <si>
    <t>Delivered to</t>
  </si>
  <si>
    <t>CPA8-35</t>
  </si>
  <si>
    <t>Overtakes Using CES Transport</t>
  </si>
  <si>
    <t>GD + $.01 + variable ($.0953)</t>
  </si>
  <si>
    <t>GDA +.01+.0953</t>
  </si>
  <si>
    <t>GDA+.01+.0953+.02</t>
  </si>
  <si>
    <t>20K/day</t>
  </si>
  <si>
    <t>(20K)/day</t>
  </si>
  <si>
    <t xml:space="preserve">Not to be included in above </t>
  </si>
  <si>
    <t>Volume and Rate not included in above, ENA Bought 19,293 @.18</t>
  </si>
  <si>
    <t>Deal 276681</t>
  </si>
  <si>
    <t>Deal 276671</t>
  </si>
  <si>
    <t>Deal 276681, 282945</t>
  </si>
  <si>
    <t>Z1-Z6</t>
  </si>
  <si>
    <t>Price = IF + $.0175 + variable + $.02 demand for ENA transport</t>
  </si>
  <si>
    <t>Deal 282945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</si>
</sst>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&quot;$&quot;#,##0.0000_);\(&quot;$&quot;#,##0.0000\)"/>
    <numFmt numFmtId="167" formatCode="_(&quot;$&quot;* #,##0.0000_);_(&quot;$&quot;* \(#,##0.0000\);_(&quot;$&quot;* &quot;-&quot;??_);_(@_)"/>
    <numFmt numFmtId="168" formatCode="&quot;$&quot;#,##0.0000_);[Red]\(&quot;$&quot;#,##0.0000\)"/>
    <numFmt numFmtId="169" formatCode="#,##0.00000"/>
    <numFmt numFmtId="170" formatCode="0.000%"/>
    <numFmt numFmtId="175" formatCode="_(* #,##0.000_);_(* \(#,##0.000\);_(* &quot;-&quot;??_);_(@_)"/>
    <numFmt numFmtId="177" formatCode="_(* #,##0_);_(* \(#,##0\);_(* &quot;-&quot;??_);_(@_)"/>
    <numFmt numFmtId="183" formatCode="_(* #,##0.0000_);_(* \(#,##0.0000\);_(* &quot;-&quot;??_);_(@_)"/>
    <numFmt numFmtId="187" formatCode="_(&quot;$&quot;* #,##0.000_);_(&quot;$&quot;* \(#,##0.000\);_(&quot;$&quot;* &quot;-&quot;??_);_(@_)"/>
    <numFmt numFmtId="191" formatCode="0.0000%"/>
  </numFmts>
  <fonts count="18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</font>
    <font>
      <b/>
      <u/>
      <sz val="8"/>
      <name val="Arial"/>
    </font>
    <font>
      <b/>
      <sz val="8"/>
      <name val="Arial"/>
      <family val="2"/>
    </font>
    <font>
      <sz val="10"/>
      <name val="Arial"/>
      <family val="2"/>
    </font>
    <font>
      <sz val="9"/>
      <name val="Arial"/>
    </font>
    <font>
      <b/>
      <sz val="9"/>
      <name val="Arial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i/>
      <sz val="12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  <font>
      <b/>
      <i/>
      <sz val="10"/>
      <name val="Times New Roman"/>
      <family val="1"/>
    </font>
    <font>
      <b/>
      <i/>
      <u/>
      <sz val="10"/>
      <name val="Times New Roman"/>
      <family val="1"/>
    </font>
    <font>
      <u/>
      <sz val="1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0">
    <xf numFmtId="0" fontId="0" fillId="0" borderId="0" xfId="0"/>
    <xf numFmtId="38" fontId="2" fillId="0" borderId="0" xfId="0" applyNumberFormat="1" applyFont="1" applyFill="1" applyAlignment="1">
      <alignment horizontal="left"/>
    </xf>
    <xf numFmtId="3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right"/>
    </xf>
    <xf numFmtId="38" fontId="2" fillId="0" borderId="1" xfId="0" applyNumberFormat="1" applyFont="1" applyFill="1" applyBorder="1" applyAlignment="1">
      <alignment horizontal="left"/>
    </xf>
    <xf numFmtId="38" fontId="3" fillId="0" borderId="1" xfId="0" applyNumberFormat="1" applyFont="1" applyFill="1" applyBorder="1" applyAlignment="1">
      <alignment horizontal="center"/>
    </xf>
    <xf numFmtId="38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9" fontId="2" fillId="0" borderId="1" xfId="0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16" fontId="4" fillId="0" borderId="0" xfId="0" applyNumberFormat="1" applyFont="1" applyFill="1" applyAlignment="1">
      <alignment horizontal="left"/>
    </xf>
    <xf numFmtId="16" fontId="4" fillId="0" borderId="0" xfId="0" applyNumberFormat="1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9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38" fontId="4" fillId="0" borderId="0" xfId="0" applyNumberFormat="1" applyFont="1" applyFill="1" applyAlignment="1">
      <alignment horizontal="right"/>
    </xf>
    <xf numFmtId="38" fontId="3" fillId="0" borderId="1" xfId="0" applyNumberFormat="1" applyFont="1" applyFill="1" applyBorder="1" applyAlignment="1">
      <alignment horizontal="right"/>
    </xf>
    <xf numFmtId="168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0" borderId="0" xfId="0" applyFill="1"/>
    <xf numFmtId="1" fontId="3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38" fontId="2" fillId="0" borderId="0" xfId="0" applyNumberFormat="1" applyFont="1" applyFill="1" applyBorder="1" applyAlignment="1">
      <alignment horizontal="right"/>
    </xf>
    <xf numFmtId="38" fontId="2" fillId="0" borderId="0" xfId="0" quotePrefix="1" applyNumberFormat="1" applyFont="1" applyFill="1" applyAlignment="1">
      <alignment horizontal="left"/>
    </xf>
    <xf numFmtId="38" fontId="3" fillId="0" borderId="1" xfId="0" applyNumberFormat="1" applyFont="1" applyFill="1" applyBorder="1" applyAlignment="1">
      <alignment horizontal="left"/>
    </xf>
    <xf numFmtId="168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left"/>
    </xf>
    <xf numFmtId="38" fontId="3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0" fillId="0" borderId="0" xfId="0" applyNumberFormat="1" applyFill="1"/>
    <xf numFmtId="38" fontId="2" fillId="0" borderId="0" xfId="0" quotePrefix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left"/>
    </xf>
    <xf numFmtId="38" fontId="2" fillId="2" borderId="0" xfId="0" applyNumberFormat="1" applyFont="1" applyFill="1" applyAlignment="1">
      <alignment horizontal="left"/>
    </xf>
    <xf numFmtId="170" fontId="2" fillId="0" borderId="0" xfId="0" applyNumberFormat="1" applyFont="1" applyFill="1" applyAlignment="1">
      <alignment horizontal="center"/>
    </xf>
    <xf numFmtId="170" fontId="4" fillId="0" borderId="0" xfId="0" applyNumberFormat="1" applyFont="1" applyFill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2" fillId="0" borderId="0" xfId="0" quotePrefix="1" applyNumberFormat="1" applyFont="1" applyFill="1" applyAlignment="1">
      <alignment horizontal="left"/>
    </xf>
    <xf numFmtId="170" fontId="0" fillId="0" borderId="0" xfId="0" applyNumberFormat="1" applyFill="1"/>
    <xf numFmtId="168" fontId="5" fillId="0" borderId="0" xfId="0" applyNumberFormat="1" applyFont="1" applyFill="1" applyAlignment="1">
      <alignment horizontal="left"/>
    </xf>
    <xf numFmtId="1" fontId="2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/>
    <xf numFmtId="0" fontId="2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0" fontId="2" fillId="0" borderId="0" xfId="0" applyNumberFormat="1" applyFont="1" applyFill="1" applyAlignment="1">
      <alignment horizontal="right"/>
    </xf>
    <xf numFmtId="0" fontId="2" fillId="0" borderId="0" xfId="0" quotePrefix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left"/>
    </xf>
    <xf numFmtId="38" fontId="4" fillId="0" borderId="0" xfId="0" applyNumberFormat="1" applyFont="1" applyFill="1" applyAlignment="1">
      <alignment horizontal="left"/>
    </xf>
    <xf numFmtId="38" fontId="2" fillId="0" borderId="0" xfId="0" quotePrefix="1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6" fillId="0" borderId="0" xfId="0" applyFont="1" applyFill="1"/>
    <xf numFmtId="0" fontId="7" fillId="0" borderId="0" xfId="0" applyFont="1" applyFill="1"/>
    <xf numFmtId="177" fontId="7" fillId="0" borderId="0" xfId="1" applyNumberFormat="1" applyFont="1" applyFill="1"/>
    <xf numFmtId="165" fontId="7" fillId="0" borderId="0" xfId="0" applyNumberFormat="1" applyFont="1" applyFill="1"/>
    <xf numFmtId="0" fontId="8" fillId="0" borderId="0" xfId="0" applyFont="1" applyFill="1"/>
    <xf numFmtId="0" fontId="9" fillId="0" borderId="0" xfId="0" applyFont="1" applyFill="1"/>
    <xf numFmtId="0" fontId="7" fillId="0" borderId="0" xfId="0" applyFont="1" applyFill="1" applyBorder="1"/>
    <xf numFmtId="165" fontId="7" fillId="0" borderId="0" xfId="0" applyNumberFormat="1" applyFont="1" applyFill="1" applyBorder="1"/>
    <xf numFmtId="10" fontId="7" fillId="0" borderId="0" xfId="3" applyNumberFormat="1" applyFont="1" applyFill="1" applyBorder="1"/>
    <xf numFmtId="38" fontId="2" fillId="2" borderId="0" xfId="0" applyNumberFormat="1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169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70" fontId="2" fillId="2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38" fontId="2" fillId="2" borderId="0" xfId="0" applyNumberFormat="1" applyFont="1" applyFill="1" applyAlignment="1">
      <alignment horizontal="right"/>
    </xf>
    <xf numFmtId="0" fontId="2" fillId="2" borderId="0" xfId="0" applyNumberFormat="1" applyFont="1" applyFill="1" applyAlignment="1">
      <alignment horizontal="center"/>
    </xf>
    <xf numFmtId="0" fontId="6" fillId="2" borderId="0" xfId="0" applyFont="1" applyFill="1"/>
    <xf numFmtId="38" fontId="0" fillId="0" borderId="0" xfId="0" applyNumberFormat="1" applyFill="1"/>
    <xf numFmtId="177" fontId="0" fillId="0" borderId="0" xfId="1" applyNumberFormat="1" applyFont="1"/>
    <xf numFmtId="38" fontId="2" fillId="0" borderId="2" xfId="0" applyNumberFormat="1" applyFont="1" applyFill="1" applyBorder="1" applyAlignment="1">
      <alignment horizontal="right"/>
    </xf>
    <xf numFmtId="170" fontId="7" fillId="0" borderId="0" xfId="3" applyNumberFormat="1" applyFont="1" applyFill="1" applyBorder="1"/>
    <xf numFmtId="177" fontId="7" fillId="0" borderId="0" xfId="0" applyNumberFormat="1" applyFont="1" applyFill="1"/>
    <xf numFmtId="170" fontId="7" fillId="0" borderId="0" xfId="3" applyNumberFormat="1" applyFont="1" applyFill="1"/>
    <xf numFmtId="40" fontId="2" fillId="0" borderId="0" xfId="0" applyNumberFormat="1" applyFont="1" applyFill="1" applyAlignment="1">
      <alignment horizontal="right"/>
    </xf>
    <xf numFmtId="167" fontId="0" fillId="0" borderId="0" xfId="2" applyNumberFormat="1" applyFont="1"/>
    <xf numFmtId="0" fontId="11" fillId="0" borderId="0" xfId="0" applyFont="1"/>
    <xf numFmtId="167" fontId="11" fillId="0" borderId="0" xfId="2" applyNumberFormat="1" applyFont="1"/>
    <xf numFmtId="0" fontId="0" fillId="0" borderId="0" xfId="0" applyFill="1" applyAlignment="1" applyProtection="1">
      <alignment vertical="top"/>
      <protection locked="0"/>
    </xf>
    <xf numFmtId="177" fontId="7" fillId="0" borderId="0" xfId="1" applyNumberFormat="1" applyFont="1" applyFill="1" applyBorder="1"/>
    <xf numFmtId="0" fontId="10" fillId="0" borderId="0" xfId="0" applyFont="1" applyFill="1" applyAlignment="1">
      <alignment horizontal="right"/>
    </xf>
    <xf numFmtId="0" fontId="2" fillId="2" borderId="0" xfId="0" quotePrefix="1" applyNumberFormat="1" applyFont="1" applyFill="1" applyAlignment="1">
      <alignment horizontal="left"/>
    </xf>
    <xf numFmtId="0" fontId="2" fillId="2" borderId="0" xfId="0" applyNumberFormat="1" applyFont="1" applyFill="1" applyAlignment="1">
      <alignment horizontal="right"/>
    </xf>
    <xf numFmtId="0" fontId="6" fillId="3" borderId="0" xfId="0" applyFont="1" applyFill="1"/>
    <xf numFmtId="38" fontId="2" fillId="3" borderId="0" xfId="0" applyNumberFormat="1" applyFont="1" applyFill="1" applyAlignment="1">
      <alignment horizontal="left"/>
    </xf>
    <xf numFmtId="38" fontId="2" fillId="3" borderId="0" xfId="0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38" fontId="2" fillId="3" borderId="0" xfId="0" quotePrefix="1" applyNumberFormat="1" applyFont="1" applyFill="1" applyAlignment="1">
      <alignment horizontal="left"/>
    </xf>
    <xf numFmtId="169" fontId="2" fillId="3" borderId="0" xfId="0" applyNumberFormat="1" applyFont="1" applyFill="1" applyAlignment="1">
      <alignment horizontal="center"/>
    </xf>
    <xf numFmtId="168" fontId="2" fillId="3" borderId="0" xfId="0" applyNumberFormat="1" applyFont="1" applyFill="1" applyAlignment="1">
      <alignment horizontal="center"/>
    </xf>
    <xf numFmtId="170" fontId="2" fillId="3" borderId="0" xfId="0" applyNumberFormat="1" applyFont="1" applyFill="1" applyAlignment="1">
      <alignment horizontal="center"/>
    </xf>
    <xf numFmtId="40" fontId="5" fillId="3" borderId="0" xfId="0" applyNumberFormat="1" applyFont="1" applyFill="1" applyAlignment="1">
      <alignment horizontal="right"/>
    </xf>
    <xf numFmtId="38" fontId="2" fillId="3" borderId="0" xfId="0" applyNumberFormat="1" applyFont="1" applyFill="1" applyAlignment="1">
      <alignment horizontal="right"/>
    </xf>
    <xf numFmtId="0" fontId="2" fillId="3" borderId="0" xfId="0" applyNumberFormat="1" applyFont="1" applyFill="1" applyAlignment="1">
      <alignment horizontal="right"/>
    </xf>
    <xf numFmtId="1" fontId="2" fillId="3" borderId="0" xfId="0" applyNumberFormat="1" applyFont="1" applyFill="1" applyAlignment="1">
      <alignment horizontal="center"/>
    </xf>
    <xf numFmtId="38" fontId="2" fillId="3" borderId="0" xfId="0" applyNumberFormat="1" applyFont="1" applyFill="1" applyBorder="1" applyAlignment="1">
      <alignment horizontal="center"/>
    </xf>
    <xf numFmtId="38" fontId="5" fillId="3" borderId="0" xfId="0" applyNumberFormat="1" applyFont="1" applyFill="1" applyAlignment="1">
      <alignment horizontal="right"/>
    </xf>
    <xf numFmtId="0" fontId="2" fillId="3" borderId="0" xfId="0" applyNumberFormat="1" applyFont="1" applyFill="1" applyAlignment="1">
      <alignment horizontal="center"/>
    </xf>
    <xf numFmtId="38" fontId="2" fillId="2" borderId="0" xfId="0" quotePrefix="1" applyNumberFormat="1" applyFont="1" applyFill="1" applyAlignment="1">
      <alignment horizontal="left"/>
    </xf>
    <xf numFmtId="38" fontId="2" fillId="3" borderId="0" xfId="0" quotePrefix="1" applyNumberFormat="1" applyFont="1" applyFill="1" applyAlignment="1">
      <alignment horizontal="center"/>
    </xf>
    <xf numFmtId="0" fontId="2" fillId="3" borderId="0" xfId="0" applyFont="1" applyFill="1"/>
    <xf numFmtId="38" fontId="2" fillId="4" borderId="0" xfId="0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center"/>
    </xf>
    <xf numFmtId="14" fontId="2" fillId="4" borderId="0" xfId="0" applyNumberFormat="1" applyFont="1" applyFill="1" applyAlignment="1">
      <alignment horizontal="center"/>
    </xf>
    <xf numFmtId="169" fontId="2" fillId="4" borderId="0" xfId="0" applyNumberFormat="1" applyFont="1" applyFill="1" applyAlignment="1">
      <alignment horizontal="center"/>
    </xf>
    <xf numFmtId="168" fontId="2" fillId="4" borderId="0" xfId="0" applyNumberFormat="1" applyFont="1" applyFill="1" applyAlignment="1">
      <alignment horizontal="center"/>
    </xf>
    <xf numFmtId="170" fontId="2" fillId="4" borderId="0" xfId="0" applyNumberFormat="1" applyFont="1" applyFill="1" applyAlignment="1">
      <alignment horizontal="center"/>
    </xf>
    <xf numFmtId="1" fontId="2" fillId="4" borderId="0" xfId="0" applyNumberFormat="1" applyFont="1" applyFill="1" applyAlignment="1">
      <alignment horizontal="center"/>
    </xf>
    <xf numFmtId="38" fontId="2" fillId="4" borderId="0" xfId="0" applyNumberFormat="1" applyFont="1" applyFill="1" applyAlignment="1">
      <alignment horizontal="right"/>
    </xf>
    <xf numFmtId="0" fontId="2" fillId="4" borderId="0" xfId="0" applyNumberFormat="1" applyFont="1" applyFill="1" applyAlignment="1">
      <alignment horizontal="right"/>
    </xf>
    <xf numFmtId="0" fontId="2" fillId="4" borderId="0" xfId="0" applyNumberFormat="1" applyFont="1" applyFill="1" applyAlignment="1">
      <alignment horizontal="center"/>
    </xf>
    <xf numFmtId="0" fontId="6" fillId="4" borderId="0" xfId="0" applyFont="1" applyFill="1"/>
    <xf numFmtId="0" fontId="2" fillId="3" borderId="0" xfId="0" quotePrefix="1" applyNumberFormat="1" applyFont="1" applyFill="1" applyAlignment="1">
      <alignment horizontal="right"/>
    </xf>
    <xf numFmtId="40" fontId="2" fillId="2" borderId="0" xfId="0" applyNumberFormat="1" applyFont="1" applyFill="1" applyAlignment="1">
      <alignment horizontal="right"/>
    </xf>
    <xf numFmtId="1" fontId="2" fillId="3" borderId="0" xfId="0" quotePrefix="1" applyNumberFormat="1" applyFont="1" applyFill="1" applyAlignment="1">
      <alignment horizontal="center"/>
    </xf>
    <xf numFmtId="165" fontId="7" fillId="2" borderId="0" xfId="0" applyNumberFormat="1" applyFont="1" applyFill="1"/>
    <xf numFmtId="10" fontId="7" fillId="2" borderId="0" xfId="3" applyNumberFormat="1" applyFont="1" applyFill="1"/>
    <xf numFmtId="165" fontId="7" fillId="2" borderId="3" xfId="0" applyNumberFormat="1" applyFont="1" applyFill="1" applyBorder="1"/>
    <xf numFmtId="165" fontId="7" fillId="2" borderId="2" xfId="0" applyNumberFormat="1" applyFont="1" applyFill="1" applyBorder="1"/>
    <xf numFmtId="191" fontId="7" fillId="2" borderId="0" xfId="3" applyNumberFormat="1" applyFont="1" applyFill="1"/>
    <xf numFmtId="165" fontId="7" fillId="2" borderId="4" xfId="0" applyNumberFormat="1" applyFont="1" applyFill="1" applyBorder="1"/>
    <xf numFmtId="165" fontId="7" fillId="2" borderId="5" xfId="0" applyNumberFormat="1" applyFont="1" applyFill="1" applyBorder="1"/>
    <xf numFmtId="43" fontId="0" fillId="0" borderId="0" xfId="1" applyFont="1" applyFill="1" applyAlignment="1" applyProtection="1">
      <alignment vertical="top"/>
      <protection locked="0"/>
    </xf>
    <xf numFmtId="17" fontId="12" fillId="0" borderId="0" xfId="0" applyNumberFormat="1" applyFont="1"/>
    <xf numFmtId="0" fontId="13" fillId="0" borderId="0" xfId="0" applyFont="1"/>
    <xf numFmtId="0" fontId="12" fillId="0" borderId="0" xfId="0" applyFont="1"/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4" fillId="0" borderId="0" xfId="0" applyFont="1"/>
    <xf numFmtId="0" fontId="16" fillId="0" borderId="0" xfId="0" applyFont="1"/>
    <xf numFmtId="1" fontId="0" fillId="0" borderId="0" xfId="0" applyNumberFormat="1"/>
    <xf numFmtId="0" fontId="14" fillId="0" borderId="1" xfId="0" applyFont="1" applyBorder="1"/>
    <xf numFmtId="0" fontId="0" fillId="0" borderId="1" xfId="0" applyBorder="1"/>
    <xf numFmtId="1" fontId="0" fillId="0" borderId="1" xfId="0" applyNumberFormat="1" applyBorder="1"/>
    <xf numFmtId="0" fontId="17" fillId="0" borderId="0" xfId="0" applyFont="1"/>
    <xf numFmtId="0" fontId="0" fillId="0" borderId="4" xfId="0" applyBorder="1"/>
    <xf numFmtId="0" fontId="0" fillId="2" borderId="0" xfId="0" applyFill="1"/>
    <xf numFmtId="0" fontId="0" fillId="5" borderId="0" xfId="0" applyFill="1"/>
    <xf numFmtId="0" fontId="15" fillId="5" borderId="0" xfId="0" applyFont="1" applyFill="1" applyAlignment="1">
      <alignment horizontal="center"/>
    </xf>
    <xf numFmtId="0" fontId="16" fillId="5" borderId="0" xfId="0" applyFont="1" applyFill="1" applyAlignment="1">
      <alignment horizontal="center"/>
    </xf>
    <xf numFmtId="0" fontId="14" fillId="5" borderId="0" xfId="0" applyFont="1" applyFill="1"/>
    <xf numFmtId="0" fontId="0" fillId="5" borderId="1" xfId="0" applyFill="1" applyBorder="1"/>
    <xf numFmtId="0" fontId="0" fillId="5" borderId="4" xfId="0" applyFill="1" applyBorder="1"/>
    <xf numFmtId="14" fontId="0" fillId="5" borderId="0" xfId="0" applyNumberFormat="1" applyFill="1"/>
    <xf numFmtId="0" fontId="2" fillId="2" borderId="0" xfId="0" applyNumberFormat="1" applyFont="1" applyFill="1" applyAlignment="1">
      <alignment horizontal="left"/>
    </xf>
    <xf numFmtId="1" fontId="2" fillId="2" borderId="0" xfId="0" applyNumberFormat="1" applyFont="1" applyFill="1" applyAlignment="1">
      <alignment horizontal="left"/>
    </xf>
    <xf numFmtId="1" fontId="2" fillId="5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0" fillId="6" borderId="0" xfId="0" applyFill="1" applyAlignment="1">
      <alignment wrapText="1"/>
    </xf>
    <xf numFmtId="14" fontId="0" fillId="6" borderId="0" xfId="0" applyNumberFormat="1" applyFill="1" applyAlignment="1">
      <alignment wrapText="1"/>
    </xf>
    <xf numFmtId="0" fontId="0" fillId="7" borderId="0" xfId="0" applyFill="1" applyAlignment="1">
      <alignment wrapText="1"/>
    </xf>
    <xf numFmtId="14" fontId="0" fillId="7" borderId="0" xfId="0" applyNumberFormat="1" applyFill="1" applyAlignment="1">
      <alignment wrapText="1"/>
    </xf>
    <xf numFmtId="3" fontId="0" fillId="7" borderId="0" xfId="0" applyNumberFormat="1" applyFill="1" applyAlignment="1">
      <alignment wrapText="1"/>
    </xf>
    <xf numFmtId="3" fontId="0" fillId="6" borderId="0" xfId="0" applyNumberFormat="1" applyFill="1" applyAlignment="1">
      <alignment wrapText="1"/>
    </xf>
    <xf numFmtId="38" fontId="2" fillId="2" borderId="0" xfId="0" quotePrefix="1" applyNumberFormat="1" applyFont="1" applyFill="1" applyAlignment="1">
      <alignment horizontal="center"/>
    </xf>
    <xf numFmtId="14" fontId="5" fillId="3" borderId="0" xfId="0" applyNumberFormat="1" applyFont="1" applyFill="1" applyAlignment="1">
      <alignment horizontal="center"/>
    </xf>
    <xf numFmtId="0" fontId="6" fillId="8" borderId="0" xfId="0" applyFont="1" applyFill="1"/>
    <xf numFmtId="38" fontId="2" fillId="8" borderId="0" xfId="0" applyNumberFormat="1" applyFont="1" applyFill="1" applyAlignment="1">
      <alignment horizontal="left"/>
    </xf>
    <xf numFmtId="38" fontId="2" fillId="8" borderId="0" xfId="0" applyNumberFormat="1" applyFont="1" applyFill="1" applyAlignment="1">
      <alignment horizontal="center"/>
    </xf>
    <xf numFmtId="14" fontId="2" fillId="8" borderId="0" xfId="0" applyNumberFormat="1" applyFont="1" applyFill="1" applyAlignment="1">
      <alignment horizontal="center"/>
    </xf>
    <xf numFmtId="38" fontId="2" fillId="8" borderId="0" xfId="0" quotePrefix="1" applyNumberFormat="1" applyFont="1" applyFill="1" applyAlignment="1">
      <alignment horizontal="left"/>
    </xf>
    <xf numFmtId="169" fontId="2" fillId="8" borderId="0" xfId="0" applyNumberFormat="1" applyFont="1" applyFill="1" applyAlignment="1">
      <alignment horizontal="center"/>
    </xf>
    <xf numFmtId="168" fontId="2" fillId="8" borderId="0" xfId="0" applyNumberFormat="1" applyFont="1" applyFill="1" applyAlignment="1">
      <alignment horizontal="center"/>
    </xf>
    <xf numFmtId="170" fontId="2" fillId="8" borderId="0" xfId="0" applyNumberFormat="1" applyFont="1" applyFill="1" applyAlignment="1">
      <alignment horizontal="center"/>
    </xf>
    <xf numFmtId="1" fontId="2" fillId="8" borderId="0" xfId="0" quotePrefix="1" applyNumberFormat="1" applyFont="1" applyFill="1" applyAlignment="1">
      <alignment horizontal="center"/>
    </xf>
    <xf numFmtId="38" fontId="5" fillId="8" borderId="0" xfId="0" applyNumberFormat="1" applyFont="1" applyFill="1" applyAlignment="1">
      <alignment horizontal="right"/>
    </xf>
    <xf numFmtId="38" fontId="2" fillId="8" borderId="0" xfId="0" applyNumberFormat="1" applyFont="1" applyFill="1" applyAlignment="1">
      <alignment horizontal="right"/>
    </xf>
    <xf numFmtId="0" fontId="2" fillId="8" borderId="0" xfId="0" applyNumberFormat="1" applyFont="1" applyFill="1" applyAlignment="1">
      <alignment horizontal="right"/>
    </xf>
    <xf numFmtId="0" fontId="2" fillId="8" borderId="0" xfId="0" applyNumberFormat="1" applyFont="1" applyFill="1" applyAlignment="1">
      <alignment horizontal="center"/>
    </xf>
    <xf numFmtId="0" fontId="7" fillId="2" borderId="0" xfId="0" applyFont="1" applyFill="1"/>
    <xf numFmtId="0" fontId="0" fillId="2" borderId="0" xfId="0" applyFill="1" applyAlignment="1" applyProtection="1">
      <alignment vertical="top"/>
      <protection locked="0"/>
    </xf>
    <xf numFmtId="165" fontId="7" fillId="2" borderId="0" xfId="0" applyNumberFormat="1" applyFont="1" applyFill="1" applyBorder="1"/>
    <xf numFmtId="0" fontId="9" fillId="2" borderId="0" xfId="0" applyFont="1" applyFill="1"/>
    <xf numFmtId="0" fontId="7" fillId="2" borderId="0" xfId="0" applyFont="1" applyFill="1" applyBorder="1"/>
    <xf numFmtId="0" fontId="10" fillId="0" borderId="0" xfId="0" applyFont="1" applyFill="1"/>
    <xf numFmtId="0" fontId="10" fillId="0" borderId="0" xfId="0" applyFont="1" applyFill="1" applyBorder="1"/>
    <xf numFmtId="165" fontId="10" fillId="0" borderId="0" xfId="0" applyNumberFormat="1" applyFont="1" applyFill="1"/>
    <xf numFmtId="170" fontId="10" fillId="0" borderId="0" xfId="3" applyNumberFormat="1" applyFont="1" applyFill="1"/>
    <xf numFmtId="165" fontId="10" fillId="2" borderId="0" xfId="0" applyNumberFormat="1" applyFont="1" applyFill="1"/>
    <xf numFmtId="10" fontId="10" fillId="2" borderId="0" xfId="3" applyNumberFormat="1" applyFont="1" applyFill="1"/>
    <xf numFmtId="165" fontId="10" fillId="2" borderId="3" xfId="0" applyNumberFormat="1" applyFont="1" applyFill="1" applyBorder="1"/>
    <xf numFmtId="165" fontId="10" fillId="2" borderId="2" xfId="0" applyNumberFormat="1" applyFont="1" applyFill="1" applyBorder="1"/>
    <xf numFmtId="177" fontId="7" fillId="2" borderId="0" xfId="1" applyNumberFormat="1" applyFont="1" applyFill="1" applyBorder="1"/>
    <xf numFmtId="0" fontId="0" fillId="0" borderId="0" xfId="0" applyAlignment="1" applyProtection="1">
      <alignment vertical="top"/>
      <protection locked="0"/>
    </xf>
    <xf numFmtId="177" fontId="1" fillId="0" borderId="0" xfId="1" applyNumberFormat="1" applyAlignment="1">
      <alignment horizontal="center"/>
    </xf>
    <xf numFmtId="177" fontId="1" fillId="0" borderId="0" xfId="1" applyNumberFormat="1" applyFont="1" applyAlignment="1">
      <alignment horizontal="center"/>
    </xf>
    <xf numFmtId="177" fontId="1" fillId="0" borderId="0" xfId="1" applyNumberFormat="1" applyFont="1" applyFill="1" applyAlignment="1">
      <alignment horizontal="center"/>
    </xf>
    <xf numFmtId="177" fontId="1" fillId="0" borderId="0" xfId="1" applyNumberFormat="1" applyFill="1" applyAlignment="1">
      <alignment horizontal="center"/>
    </xf>
    <xf numFmtId="177" fontId="1" fillId="0" borderId="0" xfId="1" applyNumberFormat="1"/>
    <xf numFmtId="177" fontId="1" fillId="0" borderId="6" xfId="1" applyNumberFormat="1" applyFont="1" applyBorder="1" applyAlignment="1">
      <alignment horizontal="center"/>
    </xf>
    <xf numFmtId="177" fontId="1" fillId="0" borderId="7" xfId="1" applyNumberFormat="1" applyBorder="1" applyAlignment="1">
      <alignment horizontal="center"/>
    </xf>
    <xf numFmtId="177" fontId="1" fillId="0" borderId="0" xfId="1" applyNumberFormat="1" applyFont="1" applyBorder="1" applyAlignment="1">
      <alignment horizontal="center"/>
    </xf>
    <xf numFmtId="177" fontId="1" fillId="0" borderId="0" xfId="1" applyNumberFormat="1" applyFont="1"/>
    <xf numFmtId="177" fontId="1" fillId="0" borderId="8" xfId="1" applyNumberFormat="1" applyFont="1" applyBorder="1" applyAlignment="1">
      <alignment horizontal="center"/>
    </xf>
    <xf numFmtId="177" fontId="1" fillId="0" borderId="9" xfId="1" applyNumberFormat="1" applyFont="1" applyBorder="1" applyAlignment="1">
      <alignment horizontal="center"/>
    </xf>
    <xf numFmtId="177" fontId="1" fillId="0" borderId="10" xfId="1" applyNumberFormat="1" applyBorder="1" applyAlignment="1">
      <alignment horizontal="center"/>
    </xf>
    <xf numFmtId="177" fontId="1" fillId="0" borderId="0" xfId="1" applyNumberFormat="1" applyBorder="1" applyAlignment="1">
      <alignment horizontal="center"/>
    </xf>
    <xf numFmtId="177" fontId="1" fillId="0" borderId="11" xfId="1" applyNumberFormat="1" applyBorder="1" applyAlignment="1">
      <alignment horizontal="center"/>
    </xf>
    <xf numFmtId="167" fontId="1" fillId="0" borderId="0" xfId="2" applyNumberFormat="1"/>
    <xf numFmtId="167" fontId="1" fillId="0" borderId="0" xfId="2" applyNumberFormat="1" applyAlignment="1">
      <alignment horizontal="center"/>
    </xf>
    <xf numFmtId="183" fontId="1" fillId="0" borderId="0" xfId="1" applyNumberFormat="1"/>
    <xf numFmtId="177" fontId="1" fillId="0" borderId="1" xfId="1" applyNumberFormat="1" applyBorder="1" applyAlignment="1">
      <alignment horizontal="center"/>
    </xf>
    <xf numFmtId="177" fontId="1" fillId="0" borderId="0" xfId="1" applyNumberFormat="1" applyBorder="1"/>
    <xf numFmtId="177" fontId="1" fillId="0" borderId="1" xfId="1" applyNumberFormat="1" applyBorder="1"/>
    <xf numFmtId="183" fontId="1" fillId="0" borderId="0" xfId="1" applyNumberFormat="1" applyFont="1" applyAlignment="1">
      <alignment horizontal="center"/>
    </xf>
    <xf numFmtId="177" fontId="1" fillId="0" borderId="5" xfId="1" applyNumberFormat="1" applyBorder="1"/>
    <xf numFmtId="177" fontId="1" fillId="0" borderId="0" xfId="1" applyNumberFormat="1" applyFill="1"/>
    <xf numFmtId="177" fontId="1" fillId="0" borderId="0" xfId="1" applyNumberFormat="1" applyFont="1" applyBorder="1"/>
    <xf numFmtId="177" fontId="1" fillId="0" borderId="0" xfId="1" applyNumberFormat="1" applyFont="1" applyFill="1"/>
    <xf numFmtId="167" fontId="1" fillId="0" borderId="0" xfId="2" applyNumberFormat="1" applyFont="1" applyBorder="1"/>
    <xf numFmtId="167" fontId="1" fillId="0" borderId="0" xfId="2" applyNumberFormat="1" applyFont="1"/>
    <xf numFmtId="0" fontId="2" fillId="9" borderId="0" xfId="0" applyNumberFormat="1" applyFont="1" applyFill="1" applyAlignment="1">
      <alignment horizontal="center"/>
    </xf>
    <xf numFmtId="0" fontId="6" fillId="9" borderId="0" xfId="0" applyFont="1" applyFill="1"/>
    <xf numFmtId="0" fontId="6" fillId="9" borderId="12" xfId="0" applyFont="1" applyFill="1" applyBorder="1"/>
    <xf numFmtId="38" fontId="2" fillId="9" borderId="13" xfId="0" applyNumberFormat="1" applyFont="1" applyFill="1" applyBorder="1" applyAlignment="1">
      <alignment horizontal="left"/>
    </xf>
    <xf numFmtId="38" fontId="2" fillId="9" borderId="13" xfId="0" applyNumberFormat="1" applyFont="1" applyFill="1" applyBorder="1" applyAlignment="1">
      <alignment horizontal="center"/>
    </xf>
    <xf numFmtId="14" fontId="2" fillId="9" borderId="13" xfId="0" applyNumberFormat="1" applyFont="1" applyFill="1" applyBorder="1" applyAlignment="1">
      <alignment horizontal="center"/>
    </xf>
    <xf numFmtId="38" fontId="2" fillId="9" borderId="13" xfId="0" quotePrefix="1" applyNumberFormat="1" applyFont="1" applyFill="1" applyBorder="1" applyAlignment="1">
      <alignment horizontal="left"/>
    </xf>
    <xf numFmtId="169" fontId="2" fillId="9" borderId="13" xfId="0" applyNumberFormat="1" applyFont="1" applyFill="1" applyBorder="1" applyAlignment="1">
      <alignment horizontal="center"/>
    </xf>
    <xf numFmtId="168" fontId="2" fillId="9" borderId="13" xfId="0" applyNumberFormat="1" applyFont="1" applyFill="1" applyBorder="1" applyAlignment="1">
      <alignment horizontal="center"/>
    </xf>
    <xf numFmtId="170" fontId="2" fillId="9" borderId="13" xfId="0" applyNumberFormat="1" applyFont="1" applyFill="1" applyBorder="1" applyAlignment="1">
      <alignment horizontal="center"/>
    </xf>
    <xf numFmtId="1" fontId="2" fillId="9" borderId="13" xfId="0" applyNumberFormat="1" applyFont="1" applyFill="1" applyBorder="1" applyAlignment="1">
      <alignment horizontal="center"/>
    </xf>
    <xf numFmtId="38" fontId="2" fillId="9" borderId="13" xfId="0" applyNumberFormat="1" applyFont="1" applyFill="1" applyBorder="1" applyAlignment="1">
      <alignment horizontal="right"/>
    </xf>
    <xf numFmtId="0" fontId="2" fillId="9" borderId="13" xfId="0" applyNumberFormat="1" applyFont="1" applyFill="1" applyBorder="1" applyAlignment="1">
      <alignment horizontal="right"/>
    </xf>
    <xf numFmtId="38" fontId="2" fillId="9" borderId="14" xfId="0" applyNumberFormat="1" applyFont="1" applyFill="1" applyBorder="1" applyAlignment="1">
      <alignment horizontal="left"/>
    </xf>
    <xf numFmtId="0" fontId="6" fillId="9" borderId="15" xfId="0" applyFont="1" applyFill="1" applyBorder="1"/>
    <xf numFmtId="38" fontId="2" fillId="9" borderId="16" xfId="0" applyNumberFormat="1" applyFont="1" applyFill="1" applyBorder="1" applyAlignment="1">
      <alignment horizontal="left"/>
    </xf>
    <xf numFmtId="38" fontId="2" fillId="9" borderId="16" xfId="0" applyNumberFormat="1" applyFont="1" applyFill="1" applyBorder="1" applyAlignment="1">
      <alignment horizontal="center"/>
    </xf>
    <xf numFmtId="14" fontId="2" fillId="9" borderId="16" xfId="0" applyNumberFormat="1" applyFont="1" applyFill="1" applyBorder="1" applyAlignment="1">
      <alignment horizontal="center"/>
    </xf>
    <xf numFmtId="38" fontId="2" fillId="9" borderId="16" xfId="0" quotePrefix="1" applyNumberFormat="1" applyFont="1" applyFill="1" applyBorder="1" applyAlignment="1">
      <alignment horizontal="left"/>
    </xf>
    <xf numFmtId="169" fontId="2" fillId="9" borderId="16" xfId="0" applyNumberFormat="1" applyFont="1" applyFill="1" applyBorder="1" applyAlignment="1">
      <alignment horizontal="center"/>
    </xf>
    <xf numFmtId="168" fontId="2" fillId="9" borderId="16" xfId="0" applyNumberFormat="1" applyFont="1" applyFill="1" applyBorder="1" applyAlignment="1">
      <alignment horizontal="center"/>
    </xf>
    <xf numFmtId="170" fontId="2" fillId="9" borderId="16" xfId="0" applyNumberFormat="1" applyFont="1" applyFill="1" applyBorder="1" applyAlignment="1">
      <alignment horizontal="center"/>
    </xf>
    <xf numFmtId="1" fontId="2" fillId="9" borderId="16" xfId="0" applyNumberFormat="1" applyFont="1" applyFill="1" applyBorder="1" applyAlignment="1">
      <alignment horizontal="center"/>
    </xf>
    <xf numFmtId="38" fontId="2" fillId="9" borderId="16" xfId="0" applyNumberFormat="1" applyFont="1" applyFill="1" applyBorder="1" applyAlignment="1">
      <alignment horizontal="right"/>
    </xf>
    <xf numFmtId="38" fontId="2" fillId="9" borderId="16" xfId="0" quotePrefix="1" applyNumberFormat="1" applyFont="1" applyFill="1" applyBorder="1" applyAlignment="1">
      <alignment horizontal="right"/>
    </xf>
    <xf numFmtId="0" fontId="2" fillId="9" borderId="16" xfId="0" applyNumberFormat="1" applyFont="1" applyFill="1" applyBorder="1" applyAlignment="1">
      <alignment horizontal="right"/>
    </xf>
    <xf numFmtId="38" fontId="2" fillId="9" borderId="17" xfId="0" applyNumberFormat="1" applyFont="1" applyFill="1" applyBorder="1" applyAlignment="1">
      <alignment horizontal="left"/>
    </xf>
    <xf numFmtId="0" fontId="6" fillId="9" borderId="18" xfId="0" applyFont="1" applyFill="1" applyBorder="1"/>
    <xf numFmtId="38" fontId="2" fillId="9" borderId="19" xfId="0" applyNumberFormat="1" applyFont="1" applyFill="1" applyBorder="1" applyAlignment="1">
      <alignment horizontal="left"/>
    </xf>
    <xf numFmtId="38" fontId="2" fillId="9" borderId="19" xfId="0" applyNumberFormat="1" applyFont="1" applyFill="1" applyBorder="1" applyAlignment="1">
      <alignment horizontal="center"/>
    </xf>
    <xf numFmtId="14" fontId="2" fillId="9" borderId="19" xfId="0" applyNumberFormat="1" applyFont="1" applyFill="1" applyBorder="1" applyAlignment="1">
      <alignment horizontal="center"/>
    </xf>
    <xf numFmtId="38" fontId="2" fillId="9" borderId="19" xfId="0" quotePrefix="1" applyNumberFormat="1" applyFont="1" applyFill="1" applyBorder="1" applyAlignment="1">
      <alignment horizontal="left"/>
    </xf>
    <xf numFmtId="169" fontId="2" fillId="9" borderId="19" xfId="0" applyNumberFormat="1" applyFont="1" applyFill="1" applyBorder="1" applyAlignment="1">
      <alignment horizontal="center"/>
    </xf>
    <xf numFmtId="168" fontId="2" fillId="9" borderId="19" xfId="0" applyNumberFormat="1" applyFont="1" applyFill="1" applyBorder="1" applyAlignment="1">
      <alignment horizontal="center"/>
    </xf>
    <xf numFmtId="170" fontId="2" fillId="9" borderId="19" xfId="0" applyNumberFormat="1" applyFont="1" applyFill="1" applyBorder="1" applyAlignment="1">
      <alignment horizontal="center"/>
    </xf>
    <xf numFmtId="1" fontId="2" fillId="9" borderId="19" xfId="0" applyNumberFormat="1" applyFont="1" applyFill="1" applyBorder="1" applyAlignment="1">
      <alignment horizontal="center"/>
    </xf>
    <xf numFmtId="38" fontId="2" fillId="9" borderId="19" xfId="0" applyNumberFormat="1" applyFont="1" applyFill="1" applyBorder="1" applyAlignment="1">
      <alignment horizontal="right"/>
    </xf>
    <xf numFmtId="0" fontId="2" fillId="9" borderId="19" xfId="0" applyNumberFormat="1" applyFont="1" applyFill="1" applyBorder="1" applyAlignment="1">
      <alignment horizontal="right"/>
    </xf>
    <xf numFmtId="38" fontId="2" fillId="9" borderId="20" xfId="0" applyNumberFormat="1" applyFont="1" applyFill="1" applyBorder="1" applyAlignment="1">
      <alignment horizontal="left"/>
    </xf>
    <xf numFmtId="187" fontId="0" fillId="0" borderId="0" xfId="2" applyNumberFormat="1" applyFont="1"/>
    <xf numFmtId="44" fontId="0" fillId="0" borderId="0" xfId="2" applyNumberFormat="1" applyFont="1" applyAlignment="1">
      <alignment horizontal="center"/>
    </xf>
    <xf numFmtId="177" fontId="0" fillId="0" borderId="0" xfId="1" quotePrefix="1" applyNumberFormat="1" applyFont="1" applyAlignment="1">
      <alignment horizontal="center"/>
    </xf>
    <xf numFmtId="177" fontId="0" fillId="0" borderId="0" xfId="1" applyNumberFormat="1" applyFont="1" applyAlignment="1">
      <alignment horizontal="center"/>
    </xf>
    <xf numFmtId="167" fontId="0" fillId="0" borderId="0" xfId="2" applyNumberFormat="1" applyFont="1" applyFill="1" applyAlignment="1">
      <alignment horizontal="center"/>
    </xf>
    <xf numFmtId="183" fontId="0" fillId="0" borderId="0" xfId="1" applyNumberFormat="1" applyFont="1"/>
    <xf numFmtId="43" fontId="0" fillId="0" borderId="0" xfId="1" applyNumberFormat="1" applyFont="1"/>
    <xf numFmtId="44" fontId="0" fillId="0" borderId="0" xfId="2" applyFont="1" applyAlignment="1">
      <alignment horizontal="center"/>
    </xf>
    <xf numFmtId="9" fontId="7" fillId="2" borderId="0" xfId="3" applyFont="1" applyFill="1"/>
    <xf numFmtId="7" fontId="7" fillId="2" borderId="0" xfId="0" applyNumberFormat="1" applyFont="1" applyFill="1"/>
    <xf numFmtId="175" fontId="0" fillId="0" borderId="0" xfId="1" applyNumberFormat="1" applyFont="1" applyAlignment="1">
      <alignment horizontal="center"/>
    </xf>
    <xf numFmtId="183" fontId="1" fillId="0" borderId="0" xfId="1" applyNumberFormat="1" applyAlignment="1">
      <alignment horizontal="center"/>
    </xf>
    <xf numFmtId="177" fontId="1" fillId="0" borderId="1" xfId="1" applyNumberFormat="1" applyFont="1" applyBorder="1" applyAlignment="1">
      <alignment horizontal="center"/>
    </xf>
    <xf numFmtId="177" fontId="1" fillId="0" borderId="21" xfId="1" applyNumberFormat="1" applyBorder="1" applyAlignment="1">
      <alignment horizontal="center"/>
    </xf>
    <xf numFmtId="177" fontId="1" fillId="0" borderId="3" xfId="1" applyNumberFormat="1" applyBorder="1" applyAlignment="1">
      <alignment horizontal="center"/>
    </xf>
    <xf numFmtId="177" fontId="1" fillId="0" borderId="22" xfId="1" applyNumberFormat="1" applyBorder="1" applyAlignment="1">
      <alignment horizontal="center"/>
    </xf>
    <xf numFmtId="177" fontId="1" fillId="0" borderId="1" xfId="1" applyNumberFormat="1" applyFont="1" applyFill="1" applyBorder="1" applyAlignment="1">
      <alignment horizontal="center"/>
    </xf>
    <xf numFmtId="0" fontId="1" fillId="0" borderId="1" xfId="1" applyNumberFormat="1" applyFill="1" applyBorder="1" applyAlignment="1">
      <alignment horizontal="center"/>
    </xf>
    <xf numFmtId="0" fontId="1" fillId="2" borderId="1" xfId="1" applyNumberFormat="1" applyFill="1" applyBorder="1" applyAlignment="1">
      <alignment horizontal="center"/>
    </xf>
    <xf numFmtId="0" fontId="1" fillId="0" borderId="1" xfId="1" applyNumberFormat="1" applyFont="1" applyFill="1" applyBorder="1"/>
    <xf numFmtId="0" fontId="1" fillId="0" borderId="1" xfId="1" applyNumberFormat="1" applyBorder="1"/>
    <xf numFmtId="0" fontId="1" fillId="0" borderId="1" xfId="1" applyNumberFormat="1" applyFont="1" applyBorder="1"/>
    <xf numFmtId="177" fontId="0" fillId="0" borderId="1" xfId="1" applyNumberFormat="1" applyFont="1" applyBorder="1"/>
    <xf numFmtId="165" fontId="0" fillId="0" borderId="0" xfId="0" applyNumberFormat="1"/>
    <xf numFmtId="7" fontId="0" fillId="0" borderId="0" xfId="0" applyNumberForma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0"/>
  <sheetViews>
    <sheetView topLeftCell="A7" workbookViewId="0">
      <selection activeCell="A52" sqref="A52"/>
    </sheetView>
  </sheetViews>
  <sheetFormatPr defaultRowHeight="12.75" x14ac:dyDescent="0.2"/>
  <cols>
    <col min="1" max="1" width="22.140625" customWidth="1"/>
    <col min="2" max="3" width="17.5703125" customWidth="1"/>
    <col min="4" max="4" width="14.140625" customWidth="1"/>
    <col min="5" max="5" width="11.7109375" style="87" customWidth="1"/>
    <col min="6" max="6" width="10.42578125" style="87" customWidth="1"/>
    <col min="7" max="7" width="38.5703125" customWidth="1"/>
    <col min="8" max="9" width="11.42578125" style="87" customWidth="1"/>
  </cols>
  <sheetData>
    <row r="1" spans="1:10" x14ac:dyDescent="0.2">
      <c r="A1" s="88" t="s">
        <v>271</v>
      </c>
      <c r="B1" s="88"/>
      <c r="C1" s="88"/>
      <c r="E1" s="87" t="s">
        <v>385</v>
      </c>
    </row>
    <row r="2" spans="1:10" x14ac:dyDescent="0.2">
      <c r="E2" s="87" t="s">
        <v>386</v>
      </c>
    </row>
    <row r="3" spans="1:10" x14ac:dyDescent="0.2">
      <c r="E3" s="87" t="s">
        <v>307</v>
      </c>
    </row>
    <row r="4" spans="1:10" x14ac:dyDescent="0.2">
      <c r="E4" s="87" t="s">
        <v>304</v>
      </c>
    </row>
    <row r="5" spans="1:10" x14ac:dyDescent="0.2">
      <c r="E5" s="87" t="s">
        <v>305</v>
      </c>
    </row>
    <row r="7" spans="1:10" x14ac:dyDescent="0.2">
      <c r="D7" t="s">
        <v>301</v>
      </c>
      <c r="E7" s="87" t="s">
        <v>302</v>
      </c>
    </row>
    <row r="8" spans="1:10" x14ac:dyDescent="0.2">
      <c r="E8" s="87" t="s">
        <v>303</v>
      </c>
    </row>
    <row r="9" spans="1:10" x14ac:dyDescent="0.2">
      <c r="E9" s="87" t="s">
        <v>306</v>
      </c>
    </row>
    <row r="10" spans="1:10" x14ac:dyDescent="0.2">
      <c r="E10" s="87" t="s">
        <v>308</v>
      </c>
    </row>
    <row r="11" spans="1:10" x14ac:dyDescent="0.2">
      <c r="F11" s="87" t="s">
        <v>309</v>
      </c>
    </row>
    <row r="12" spans="1:10" x14ac:dyDescent="0.2">
      <c r="E12" s="87" t="s">
        <v>310</v>
      </c>
    </row>
    <row r="13" spans="1:10" x14ac:dyDescent="0.2">
      <c r="F13" s="87" t="s">
        <v>311</v>
      </c>
    </row>
    <row r="16" spans="1:10" x14ac:dyDescent="0.2">
      <c r="A16" s="88" t="s">
        <v>272</v>
      </c>
      <c r="B16" s="88" t="s">
        <v>347</v>
      </c>
      <c r="C16" s="88" t="s">
        <v>348</v>
      </c>
      <c r="E16" s="89" t="s">
        <v>298</v>
      </c>
      <c r="F16" s="89" t="s">
        <v>299</v>
      </c>
      <c r="G16" s="88" t="s">
        <v>273</v>
      </c>
      <c r="H16" s="89" t="s">
        <v>298</v>
      </c>
      <c r="I16" s="89" t="s">
        <v>299</v>
      </c>
      <c r="J16" s="88" t="s">
        <v>274</v>
      </c>
    </row>
    <row r="18" spans="1:10" x14ac:dyDescent="0.2">
      <c r="A18" t="s">
        <v>59</v>
      </c>
      <c r="B18" s="81">
        <v>2159</v>
      </c>
      <c r="C18">
        <v>228293</v>
      </c>
      <c r="E18" s="87">
        <v>3.1</v>
      </c>
      <c r="F18" s="87">
        <v>3.1</v>
      </c>
      <c r="G18" t="s">
        <v>300</v>
      </c>
      <c r="H18" s="87">
        <v>3.1549999999999998</v>
      </c>
      <c r="I18" s="87">
        <f>3.155+0.02</f>
        <v>3.1749999999999998</v>
      </c>
      <c r="J18" t="s">
        <v>280</v>
      </c>
    </row>
    <row r="19" spans="1:10" x14ac:dyDescent="0.2">
      <c r="A19" t="s">
        <v>349</v>
      </c>
      <c r="B19" s="81"/>
      <c r="C19">
        <v>248838</v>
      </c>
    </row>
    <row r="20" spans="1:10" x14ac:dyDescent="0.2">
      <c r="A20" t="s">
        <v>355</v>
      </c>
      <c r="B20" s="81"/>
      <c r="C20">
        <v>251539</v>
      </c>
    </row>
    <row r="21" spans="1:10" ht="14.25" customHeight="1" x14ac:dyDescent="0.2">
      <c r="B21" s="81"/>
    </row>
    <row r="22" spans="1:10" x14ac:dyDescent="0.2">
      <c r="A22" t="s">
        <v>379</v>
      </c>
      <c r="B22" s="81"/>
      <c r="G22" t="s">
        <v>380</v>
      </c>
      <c r="J22" t="s">
        <v>381</v>
      </c>
    </row>
    <row r="23" spans="1:10" x14ac:dyDescent="0.2">
      <c r="A23" t="s">
        <v>349</v>
      </c>
      <c r="B23" s="81"/>
    </row>
    <row r="24" spans="1:10" x14ac:dyDescent="0.2">
      <c r="A24" t="s">
        <v>355</v>
      </c>
      <c r="B24" s="81"/>
    </row>
    <row r="25" spans="1:10" x14ac:dyDescent="0.2">
      <c r="B25" s="81"/>
    </row>
    <row r="26" spans="1:10" x14ac:dyDescent="0.2">
      <c r="A26" t="s">
        <v>382</v>
      </c>
      <c r="B26" s="81"/>
      <c r="G26" t="s">
        <v>383</v>
      </c>
      <c r="J26" t="s">
        <v>384</v>
      </c>
    </row>
    <row r="27" spans="1:10" x14ac:dyDescent="0.2">
      <c r="A27" t="s">
        <v>349</v>
      </c>
      <c r="B27" s="81"/>
    </row>
    <row r="28" spans="1:10" x14ac:dyDescent="0.2">
      <c r="A28" t="s">
        <v>355</v>
      </c>
      <c r="B28" s="81"/>
    </row>
    <row r="29" spans="1:10" ht="14.25" customHeight="1" x14ac:dyDescent="0.2">
      <c r="B29" s="81"/>
    </row>
    <row r="30" spans="1:10" x14ac:dyDescent="0.2">
      <c r="A30" t="s">
        <v>275</v>
      </c>
      <c r="B30" s="81">
        <v>3054</v>
      </c>
      <c r="C30">
        <v>228246</v>
      </c>
      <c r="E30" s="87">
        <v>3.14</v>
      </c>
      <c r="G30" t="s">
        <v>277</v>
      </c>
      <c r="H30" s="87">
        <v>3.14</v>
      </c>
      <c r="J30" t="s">
        <v>361</v>
      </c>
    </row>
    <row r="31" spans="1:10" x14ac:dyDescent="0.2">
      <c r="A31" t="s">
        <v>349</v>
      </c>
      <c r="B31" s="81"/>
      <c r="C31">
        <v>251635</v>
      </c>
    </row>
    <row r="32" spans="1:10" x14ac:dyDescent="0.2">
      <c r="A32" t="s">
        <v>355</v>
      </c>
      <c r="B32" s="81"/>
      <c r="C32">
        <v>251633</v>
      </c>
    </row>
    <row r="33" spans="1:10" x14ac:dyDescent="0.2">
      <c r="B33" s="81"/>
    </row>
    <row r="34" spans="1:10" x14ac:dyDescent="0.2">
      <c r="A34" t="s">
        <v>276</v>
      </c>
      <c r="B34" s="81">
        <v>3960</v>
      </c>
      <c r="C34">
        <v>228234</v>
      </c>
      <c r="E34" s="87">
        <v>3.14</v>
      </c>
      <c r="G34" t="s">
        <v>277</v>
      </c>
      <c r="H34" s="87">
        <v>3.14</v>
      </c>
      <c r="J34" t="s">
        <v>278</v>
      </c>
    </row>
    <row r="35" spans="1:10" x14ac:dyDescent="0.2">
      <c r="A35" t="s">
        <v>349</v>
      </c>
      <c r="B35" s="81"/>
      <c r="C35">
        <v>251630</v>
      </c>
    </row>
    <row r="36" spans="1:10" x14ac:dyDescent="0.2">
      <c r="A36" t="s">
        <v>355</v>
      </c>
      <c r="B36" s="81"/>
      <c r="C36">
        <v>251620</v>
      </c>
    </row>
    <row r="37" spans="1:10" x14ac:dyDescent="0.2">
      <c r="B37" s="81"/>
    </row>
    <row r="38" spans="1:10" x14ac:dyDescent="0.2">
      <c r="A38" t="s">
        <v>181</v>
      </c>
      <c r="B38" s="81">
        <v>111210</v>
      </c>
      <c r="E38" s="87">
        <v>3.0350000000000001</v>
      </c>
      <c r="G38" t="s">
        <v>294</v>
      </c>
      <c r="H38" s="87">
        <v>3.0350000000000001</v>
      </c>
      <c r="J38" t="s">
        <v>375</v>
      </c>
    </row>
    <row r="39" spans="1:10" x14ac:dyDescent="0.2">
      <c r="B39" s="81"/>
    </row>
    <row r="40" spans="1:10" x14ac:dyDescent="0.2">
      <c r="A40" t="s">
        <v>279</v>
      </c>
      <c r="B40" s="81">
        <v>1665</v>
      </c>
      <c r="C40">
        <v>251753</v>
      </c>
      <c r="G40" t="s">
        <v>376</v>
      </c>
      <c r="H40" s="87">
        <f>3.035+0.02</f>
        <v>3.0550000000000002</v>
      </c>
      <c r="J40" t="s">
        <v>378</v>
      </c>
    </row>
    <row r="41" spans="1:10" x14ac:dyDescent="0.2">
      <c r="A41" t="s">
        <v>349</v>
      </c>
      <c r="B41" s="81"/>
      <c r="C41">
        <v>251755</v>
      </c>
      <c r="J41" t="s">
        <v>377</v>
      </c>
    </row>
    <row r="42" spans="1:10" x14ac:dyDescent="0.2">
      <c r="A42" t="s">
        <v>355</v>
      </c>
      <c r="B42" s="81"/>
      <c r="C42">
        <v>251757</v>
      </c>
    </row>
    <row r="43" spans="1:10" x14ac:dyDescent="0.2">
      <c r="B43" s="81"/>
    </row>
    <row r="44" spans="1:10" x14ac:dyDescent="0.2">
      <c r="A44" t="s">
        <v>247</v>
      </c>
      <c r="B44" s="81">
        <v>4717</v>
      </c>
      <c r="C44">
        <v>250260</v>
      </c>
      <c r="E44" s="87">
        <f>3.18</f>
        <v>3.18</v>
      </c>
      <c r="F44" s="87">
        <f>3.18-0.01</f>
        <v>3.1700000000000004</v>
      </c>
      <c r="G44" t="s">
        <v>281</v>
      </c>
      <c r="H44" s="87">
        <f>3.18</f>
        <v>3.18</v>
      </c>
      <c r="I44" s="87">
        <f>3.18+0.01</f>
        <v>3.19</v>
      </c>
      <c r="J44" t="s">
        <v>282</v>
      </c>
    </row>
    <row r="45" spans="1:10" x14ac:dyDescent="0.2">
      <c r="A45" t="s">
        <v>349</v>
      </c>
      <c r="B45" s="81"/>
      <c r="C45">
        <v>251295</v>
      </c>
    </row>
    <row r="46" spans="1:10" x14ac:dyDescent="0.2">
      <c r="A46" t="s">
        <v>355</v>
      </c>
      <c r="B46" s="81"/>
      <c r="C46">
        <v>251268</v>
      </c>
    </row>
    <row r="47" spans="1:10" x14ac:dyDescent="0.2">
      <c r="B47" s="81"/>
    </row>
    <row r="48" spans="1:10" x14ac:dyDescent="0.2">
      <c r="A48" t="s">
        <v>283</v>
      </c>
      <c r="B48" s="81"/>
      <c r="C48">
        <v>250257</v>
      </c>
      <c r="E48" s="87">
        <f>2.83</f>
        <v>2.83</v>
      </c>
      <c r="F48" s="87">
        <f>2.83-0.01</f>
        <v>2.8200000000000003</v>
      </c>
      <c r="G48" t="s">
        <v>284</v>
      </c>
      <c r="H48" s="87">
        <f>2.83</f>
        <v>2.83</v>
      </c>
      <c r="I48" s="87">
        <f>2.83+0.01</f>
        <v>2.84</v>
      </c>
      <c r="J48" t="s">
        <v>285</v>
      </c>
    </row>
    <row r="49" spans="1:10" x14ac:dyDescent="0.2">
      <c r="A49" t="s">
        <v>349</v>
      </c>
      <c r="B49" s="81"/>
      <c r="C49">
        <v>251732</v>
      </c>
    </row>
    <row r="50" spans="1:10" x14ac:dyDescent="0.2">
      <c r="A50" t="s">
        <v>355</v>
      </c>
      <c r="B50" s="81"/>
      <c r="C50">
        <v>251736</v>
      </c>
    </row>
    <row r="51" spans="1:10" x14ac:dyDescent="0.2">
      <c r="B51" s="81"/>
    </row>
    <row r="52" spans="1:10" x14ac:dyDescent="0.2">
      <c r="A52" t="s">
        <v>287</v>
      </c>
      <c r="B52" s="81">
        <v>2330</v>
      </c>
      <c r="C52">
        <v>229573</v>
      </c>
      <c r="G52" t="s">
        <v>387</v>
      </c>
      <c r="J52" t="s">
        <v>388</v>
      </c>
    </row>
    <row r="53" spans="1:10" x14ac:dyDescent="0.2">
      <c r="A53" t="s">
        <v>349</v>
      </c>
      <c r="B53" s="81"/>
      <c r="C53">
        <v>250281</v>
      </c>
    </row>
    <row r="54" spans="1:10" x14ac:dyDescent="0.2">
      <c r="A54" t="s">
        <v>355</v>
      </c>
      <c r="B54" s="81"/>
      <c r="C54">
        <v>250290</v>
      </c>
    </row>
    <row r="55" spans="1:10" x14ac:dyDescent="0.2">
      <c r="B55" s="81"/>
    </row>
    <row r="56" spans="1:10" x14ac:dyDescent="0.2">
      <c r="A56" t="s">
        <v>290</v>
      </c>
      <c r="B56" s="81">
        <v>145</v>
      </c>
      <c r="C56">
        <v>253490</v>
      </c>
      <c r="E56" s="87">
        <f>3.135</f>
        <v>3.1349999999999998</v>
      </c>
      <c r="F56" s="87">
        <f>3.135-0.02</f>
        <v>3.1149999999999998</v>
      </c>
      <c r="G56" t="s">
        <v>291</v>
      </c>
      <c r="H56" s="87">
        <f>3.135</f>
        <v>3.1349999999999998</v>
      </c>
      <c r="I56" s="87">
        <f>3.135+0.02</f>
        <v>3.1549999999999998</v>
      </c>
      <c r="J56" t="s">
        <v>292</v>
      </c>
    </row>
    <row r="57" spans="1:10" x14ac:dyDescent="0.2">
      <c r="B57" s="81"/>
    </row>
    <row r="58" spans="1:10" x14ac:dyDescent="0.2">
      <c r="B58" s="81"/>
    </row>
    <row r="59" spans="1:10" x14ac:dyDescent="0.2">
      <c r="B59" s="81"/>
    </row>
    <row r="60" spans="1:10" x14ac:dyDescent="0.2">
      <c r="A60" t="s">
        <v>293</v>
      </c>
      <c r="B60" s="81">
        <v>279</v>
      </c>
      <c r="C60">
        <v>253486</v>
      </c>
      <c r="G60" t="s">
        <v>286</v>
      </c>
      <c r="J60" t="s">
        <v>286</v>
      </c>
    </row>
    <row r="61" spans="1:10" x14ac:dyDescent="0.2">
      <c r="B61" s="81"/>
    </row>
    <row r="62" spans="1:10" x14ac:dyDescent="0.2">
      <c r="A62" t="s">
        <v>288</v>
      </c>
      <c r="B62" s="81">
        <v>311</v>
      </c>
      <c r="C62">
        <v>253493</v>
      </c>
      <c r="G62" t="s">
        <v>286</v>
      </c>
      <c r="J62" t="s">
        <v>286</v>
      </c>
    </row>
    <row r="63" spans="1:10" x14ac:dyDescent="0.2">
      <c r="B63" s="81"/>
      <c r="D63" t="s">
        <v>289</v>
      </c>
    </row>
    <row r="64" spans="1:10" x14ac:dyDescent="0.2">
      <c r="B64" s="81"/>
    </row>
    <row r="65" spans="1:10" x14ac:dyDescent="0.2">
      <c r="A65" t="s">
        <v>244</v>
      </c>
      <c r="B65" s="81">
        <v>2478</v>
      </c>
      <c r="C65">
        <v>250456</v>
      </c>
      <c r="G65" t="s">
        <v>286</v>
      </c>
      <c r="J65" t="s">
        <v>286</v>
      </c>
    </row>
    <row r="66" spans="1:10" x14ac:dyDescent="0.2">
      <c r="B66" s="81"/>
    </row>
    <row r="67" spans="1:10" x14ac:dyDescent="0.2">
      <c r="A67" s="88" t="s">
        <v>295</v>
      </c>
      <c r="B67" s="88"/>
      <c r="C67" s="88"/>
    </row>
    <row r="68" spans="1:10" x14ac:dyDescent="0.2">
      <c r="A68" t="s">
        <v>29</v>
      </c>
      <c r="B68" s="81">
        <v>10006</v>
      </c>
      <c r="G68" t="s">
        <v>286</v>
      </c>
      <c r="J68" t="s">
        <v>286</v>
      </c>
    </row>
    <row r="69" spans="1:10" x14ac:dyDescent="0.2">
      <c r="A69" t="s">
        <v>296</v>
      </c>
      <c r="B69" s="81">
        <v>10799</v>
      </c>
      <c r="G69" t="s">
        <v>286</v>
      </c>
      <c r="J69" t="s">
        <v>286</v>
      </c>
    </row>
    <row r="70" spans="1:10" x14ac:dyDescent="0.2">
      <c r="A70" t="s">
        <v>297</v>
      </c>
      <c r="B70" s="81"/>
      <c r="G70" t="s">
        <v>286</v>
      </c>
      <c r="J70" t="s">
        <v>286</v>
      </c>
    </row>
  </sheetData>
  <pageMargins left="0.75" right="0.75" top="1" bottom="1" header="0.5" footer="0.5"/>
  <pageSetup scale="51"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50"/>
  <sheetViews>
    <sheetView topLeftCell="N1" workbookViewId="0">
      <pane ySplit="5" topLeftCell="A25" activePane="bottomLeft" state="frozen"/>
      <selection activeCell="C1" sqref="C1"/>
      <selection pane="bottomLeft" activeCell="H48" sqref="H48"/>
    </sheetView>
  </sheetViews>
  <sheetFormatPr defaultRowHeight="12.75" x14ac:dyDescent="0.2"/>
  <cols>
    <col min="1" max="1" width="5.7109375" style="81" customWidth="1"/>
    <col min="2" max="2" width="11" style="81" customWidth="1"/>
    <col min="3" max="4" width="11.28515625" style="81" customWidth="1"/>
    <col min="5" max="5" width="7.5703125" style="81" customWidth="1"/>
    <col min="6" max="6" width="12.85546875" style="81" customWidth="1"/>
    <col min="7" max="7" width="4.7109375" style="81" customWidth="1"/>
    <col min="8" max="8" width="12.85546875" style="81" customWidth="1"/>
    <col min="9" max="9" width="10.42578125" style="81" customWidth="1"/>
    <col min="10" max="10" width="16.140625" style="81" customWidth="1"/>
    <col min="11" max="11" width="12.85546875" style="81" customWidth="1"/>
    <col min="12" max="12" width="9.140625" style="81"/>
    <col min="13" max="13" width="10.5703125" style="81" customWidth="1"/>
    <col min="14" max="14" width="10.7109375" style="81" customWidth="1"/>
    <col min="15" max="15" width="16.140625" style="81" customWidth="1"/>
    <col min="16" max="16" width="15.85546875" style="81" customWidth="1"/>
    <col min="17" max="17" width="5" style="81" customWidth="1"/>
    <col min="18" max="18" width="8.7109375" style="81" customWidth="1"/>
    <col min="19" max="19" width="3.85546875" style="81" customWidth="1"/>
    <col min="20" max="20" width="21.28515625" style="81" customWidth="1"/>
    <col min="21" max="21" width="18.28515625" style="81" customWidth="1"/>
    <col min="22" max="22" width="3.85546875" style="81" customWidth="1"/>
    <col min="23" max="23" width="16" style="81" customWidth="1"/>
    <col min="24" max="24" width="11.7109375" style="81" customWidth="1"/>
    <col min="25" max="25" width="14" style="81" customWidth="1"/>
    <col min="26" max="26" width="13.85546875" style="81" customWidth="1"/>
    <col min="27" max="30" width="9.140625" style="81"/>
    <col min="31" max="31" width="16.28515625" style="81" customWidth="1"/>
    <col min="32" max="33" width="9.140625" style="81"/>
    <col min="34" max="34" width="13" style="81" customWidth="1"/>
    <col min="35" max="16384" width="9.140625" style="81"/>
  </cols>
  <sheetData>
    <row r="1" spans="1:66" x14ac:dyDescent="0.2">
      <c r="A1" s="198"/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B1" s="198"/>
      <c r="AC1" s="198"/>
      <c r="AD1" s="198"/>
      <c r="AE1" s="198"/>
      <c r="AF1" s="198"/>
      <c r="AG1" s="198"/>
      <c r="AH1" s="198"/>
      <c r="AI1" s="198"/>
      <c r="AJ1" s="198"/>
      <c r="AK1" s="198"/>
      <c r="AL1" s="198"/>
      <c r="AM1" s="198"/>
      <c r="AN1" s="198"/>
      <c r="AO1" s="198"/>
      <c r="AP1" s="198"/>
      <c r="AQ1" s="198"/>
      <c r="AR1" s="198"/>
      <c r="AS1" s="198"/>
      <c r="AT1" s="198"/>
      <c r="AU1" s="198"/>
      <c r="AV1" s="198"/>
      <c r="AW1" s="198"/>
      <c r="AX1" s="198"/>
      <c r="AY1" s="198"/>
      <c r="AZ1" s="198"/>
      <c r="BA1" s="198"/>
      <c r="BB1" s="198"/>
      <c r="BC1" s="198"/>
      <c r="BD1" s="198"/>
      <c r="BE1" s="198"/>
      <c r="BF1" s="198"/>
      <c r="BG1" s="198"/>
      <c r="BH1" s="198"/>
      <c r="BI1" s="198"/>
      <c r="BJ1" s="198"/>
      <c r="BK1" s="198"/>
      <c r="BL1" s="198"/>
      <c r="BM1" s="198"/>
      <c r="BN1" s="198"/>
    </row>
    <row r="2" spans="1:66" x14ac:dyDescent="0.2">
      <c r="A2" s="199"/>
      <c r="B2" s="199" t="s">
        <v>207</v>
      </c>
      <c r="C2" s="199" t="s">
        <v>208</v>
      </c>
      <c r="D2" s="199" t="s">
        <v>209</v>
      </c>
      <c r="E2" s="199" t="s">
        <v>210</v>
      </c>
      <c r="F2" s="199" t="s">
        <v>211</v>
      </c>
      <c r="G2" s="199" t="s">
        <v>212</v>
      </c>
      <c r="H2" s="199" t="s">
        <v>213</v>
      </c>
      <c r="I2" s="199" t="s">
        <v>214</v>
      </c>
      <c r="J2" s="200" t="s">
        <v>215</v>
      </c>
      <c r="K2" s="200" t="s">
        <v>216</v>
      </c>
      <c r="L2" s="200" t="s">
        <v>217</v>
      </c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0"/>
      <c r="AA2" s="200"/>
      <c r="AB2" s="200"/>
      <c r="AC2" s="201"/>
      <c r="AD2" s="200"/>
      <c r="AE2" s="200"/>
      <c r="AF2" s="200"/>
      <c r="AG2" s="199"/>
      <c r="AH2" s="199"/>
      <c r="AI2" s="199"/>
      <c r="AJ2" s="199"/>
      <c r="AK2" s="199"/>
      <c r="AL2" s="199"/>
      <c r="AM2" s="199"/>
      <c r="AN2" s="199"/>
      <c r="AO2" s="199"/>
      <c r="AP2" s="199"/>
      <c r="AQ2" s="199"/>
      <c r="AR2" s="199"/>
      <c r="AS2" s="199"/>
      <c r="AT2" s="199"/>
      <c r="AU2" s="199"/>
      <c r="AV2" s="199"/>
      <c r="AW2" s="199"/>
      <c r="AX2" s="199"/>
      <c r="AY2" s="199"/>
      <c r="AZ2" s="199"/>
      <c r="BA2" s="199"/>
      <c r="BB2" s="199"/>
      <c r="BC2" s="199"/>
      <c r="BD2" s="199"/>
      <c r="BE2" s="199"/>
      <c r="BF2" s="199"/>
      <c r="BG2" s="199"/>
      <c r="BH2" s="199"/>
      <c r="BI2" s="199"/>
      <c r="BJ2" s="199"/>
      <c r="BK2" s="199"/>
      <c r="BL2" s="199"/>
      <c r="BM2" s="199"/>
      <c r="BN2" s="199"/>
    </row>
    <row r="3" spans="1:66" x14ac:dyDescent="0.2">
      <c r="A3" s="199"/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  <c r="U3" s="199"/>
      <c r="V3" s="199"/>
      <c r="W3" s="199"/>
      <c r="X3" s="199"/>
      <c r="Y3" s="199"/>
      <c r="Z3" s="199"/>
      <c r="AA3" s="199"/>
      <c r="AB3" s="199"/>
      <c r="AC3" s="202"/>
      <c r="AD3" s="199"/>
      <c r="AE3" s="199"/>
      <c r="AF3" s="199"/>
      <c r="AG3" s="203"/>
      <c r="AH3" s="203"/>
      <c r="AI3" s="203"/>
      <c r="AJ3" s="203"/>
      <c r="AK3" s="203"/>
      <c r="AL3" s="203"/>
      <c r="AM3" s="203"/>
      <c r="AN3" s="203"/>
      <c r="AO3" s="203"/>
      <c r="AP3" s="203"/>
      <c r="AQ3" s="203"/>
      <c r="AR3" s="203"/>
      <c r="AS3" s="203"/>
      <c r="AT3" s="203"/>
      <c r="AU3" s="203"/>
      <c r="AV3" s="203"/>
      <c r="AW3" s="203"/>
      <c r="AX3" s="203"/>
      <c r="AY3" s="203"/>
      <c r="AZ3" s="203"/>
      <c r="BA3" s="203"/>
      <c r="BB3" s="203"/>
      <c r="BC3" s="203"/>
      <c r="BD3" s="203"/>
      <c r="BE3" s="203"/>
      <c r="BF3" s="203"/>
      <c r="BG3" s="203"/>
      <c r="BH3" s="203"/>
      <c r="BI3" s="203"/>
      <c r="BJ3" s="203"/>
      <c r="BK3" s="203"/>
      <c r="BL3" s="203"/>
      <c r="BM3" s="203"/>
      <c r="BN3" s="203"/>
    </row>
    <row r="4" spans="1:66" x14ac:dyDescent="0.2">
      <c r="A4" s="199"/>
      <c r="B4" s="199"/>
      <c r="C4" s="199"/>
      <c r="D4" s="199"/>
      <c r="E4" s="199"/>
      <c r="F4" s="199" t="s">
        <v>218</v>
      </c>
      <c r="G4" s="199"/>
      <c r="H4" s="204" t="s">
        <v>491</v>
      </c>
      <c r="I4" s="205" t="s">
        <v>219</v>
      </c>
      <c r="J4" s="206" t="s">
        <v>516</v>
      </c>
      <c r="K4" s="200" t="s">
        <v>492</v>
      </c>
      <c r="L4" s="199"/>
      <c r="M4" s="200" t="s">
        <v>63</v>
      </c>
      <c r="N4" s="200" t="s">
        <v>493</v>
      </c>
      <c r="O4" s="200" t="s">
        <v>494</v>
      </c>
      <c r="P4" s="200" t="s">
        <v>520</v>
      </c>
      <c r="Q4" s="199"/>
      <c r="R4" s="200" t="s">
        <v>222</v>
      </c>
      <c r="S4" s="199"/>
      <c r="T4" s="200" t="s">
        <v>274</v>
      </c>
      <c r="U4" s="200" t="s">
        <v>521</v>
      </c>
      <c r="V4" s="199"/>
      <c r="W4" s="199"/>
      <c r="X4" s="199"/>
      <c r="Y4" s="199"/>
      <c r="Z4" s="199"/>
      <c r="AA4" s="200" t="s">
        <v>273</v>
      </c>
      <c r="AB4" s="199"/>
      <c r="AC4" s="201" t="s">
        <v>495</v>
      </c>
      <c r="AD4" s="199"/>
      <c r="AE4" s="200"/>
      <c r="AF4" s="200"/>
      <c r="AG4" s="203"/>
      <c r="AH4" s="203"/>
      <c r="AI4" s="203"/>
      <c r="AJ4" s="203"/>
      <c r="AK4" s="207" t="s">
        <v>496</v>
      </c>
      <c r="AL4" s="203"/>
      <c r="AM4" s="203"/>
      <c r="AN4" s="203"/>
      <c r="AO4" s="203"/>
      <c r="AP4" s="203"/>
      <c r="AQ4" s="207" t="s">
        <v>497</v>
      </c>
      <c r="AR4" s="203"/>
      <c r="AS4" s="207"/>
      <c r="AT4" s="203"/>
      <c r="AU4" s="207"/>
      <c r="AV4" s="203"/>
      <c r="AW4" s="203"/>
      <c r="AX4" s="203"/>
      <c r="AY4" s="203"/>
      <c r="AZ4" s="203"/>
      <c r="BA4" s="207"/>
      <c r="BB4" s="203"/>
      <c r="BC4" s="207"/>
      <c r="BD4" s="203"/>
      <c r="BE4" s="203"/>
      <c r="BF4" s="203"/>
      <c r="BG4" s="207"/>
      <c r="BH4" s="203"/>
      <c r="BI4" s="203"/>
      <c r="BJ4" s="203"/>
      <c r="BK4" s="203"/>
      <c r="BL4" s="203"/>
      <c r="BM4" s="203"/>
      <c r="BN4" s="203"/>
    </row>
    <row r="5" spans="1:66" s="287" customFormat="1" x14ac:dyDescent="0.2">
      <c r="A5" s="216"/>
      <c r="B5" s="216" t="s">
        <v>220</v>
      </c>
      <c r="C5" s="216" t="s">
        <v>221</v>
      </c>
      <c r="D5" s="216" t="s">
        <v>191</v>
      </c>
      <c r="E5" s="216"/>
      <c r="F5" s="216" t="s">
        <v>222</v>
      </c>
      <c r="G5" s="216"/>
      <c r="H5" s="208" t="s">
        <v>498</v>
      </c>
      <c r="I5" s="209" t="s">
        <v>499</v>
      </c>
      <c r="J5" s="277" t="s">
        <v>517</v>
      </c>
      <c r="K5" s="277" t="s">
        <v>500</v>
      </c>
      <c r="L5" s="216"/>
      <c r="M5" s="277" t="s">
        <v>176</v>
      </c>
      <c r="N5" s="277" t="s">
        <v>176</v>
      </c>
      <c r="O5" s="277" t="s">
        <v>501</v>
      </c>
      <c r="P5" s="277"/>
      <c r="Q5" s="216"/>
      <c r="R5" s="277" t="s">
        <v>274</v>
      </c>
      <c r="S5" s="216"/>
      <c r="T5" s="277" t="s">
        <v>515</v>
      </c>
      <c r="U5" s="277"/>
      <c r="V5" s="216"/>
      <c r="W5" s="278" t="s">
        <v>223</v>
      </c>
      <c r="X5" s="279" t="s">
        <v>224</v>
      </c>
      <c r="Y5" s="280" t="s">
        <v>225</v>
      </c>
      <c r="Z5" s="216"/>
      <c r="AA5" s="216"/>
      <c r="AB5" s="216"/>
      <c r="AC5" s="281" t="s">
        <v>423</v>
      </c>
      <c r="AD5" s="277" t="s">
        <v>502</v>
      </c>
      <c r="AE5" s="277"/>
      <c r="AF5" s="277"/>
      <c r="AG5" s="218"/>
      <c r="AH5" s="218"/>
      <c r="AI5" s="218"/>
      <c r="AJ5" s="218"/>
      <c r="AK5" s="282">
        <v>0</v>
      </c>
      <c r="AL5" s="283">
        <v>229344</v>
      </c>
      <c r="AM5" s="283">
        <v>229357</v>
      </c>
      <c r="AN5" s="283">
        <v>227882</v>
      </c>
      <c r="AO5" s="284" t="s">
        <v>31</v>
      </c>
      <c r="AP5" s="285"/>
      <c r="AQ5" s="286" t="s">
        <v>503</v>
      </c>
      <c r="AR5" s="285"/>
      <c r="AS5" s="285"/>
      <c r="AT5" s="285"/>
      <c r="AU5" s="285"/>
      <c r="AV5" s="285"/>
      <c r="AW5" s="285"/>
      <c r="AX5" s="285"/>
      <c r="AY5" s="285"/>
      <c r="AZ5" s="285"/>
      <c r="BA5" s="286"/>
      <c r="BB5" s="285"/>
      <c r="BC5" s="285"/>
      <c r="BD5" s="285"/>
      <c r="BE5" s="285"/>
      <c r="BF5" s="285"/>
      <c r="BG5" s="285"/>
      <c r="BH5" s="285"/>
      <c r="BI5" s="285"/>
      <c r="BJ5" s="285"/>
      <c r="BK5" s="285"/>
      <c r="BL5" s="285"/>
      <c r="BM5" s="216"/>
      <c r="BN5" s="216"/>
    </row>
    <row r="6" spans="1:66" x14ac:dyDescent="0.2">
      <c r="A6" s="199">
        <v>1</v>
      </c>
      <c r="B6" s="199">
        <v>5135</v>
      </c>
      <c r="C6" s="199">
        <v>0</v>
      </c>
      <c r="D6" s="199">
        <v>24085</v>
      </c>
      <c r="E6" s="199"/>
      <c r="F6" s="199">
        <f>B6+C6+D6</f>
        <v>29220</v>
      </c>
      <c r="G6" s="199"/>
      <c r="H6" s="199">
        <v>0</v>
      </c>
      <c r="I6" s="199">
        <v>36304</v>
      </c>
      <c r="J6" s="199">
        <v>450</v>
      </c>
      <c r="K6" s="199">
        <f>I6+J6+F6+J6</f>
        <v>66424</v>
      </c>
      <c r="L6" s="199"/>
      <c r="M6" s="199">
        <v>94949</v>
      </c>
      <c r="N6" s="268">
        <f>IF((K6-M6)&gt;0,K6-M6,0)</f>
        <v>0</v>
      </c>
      <c r="O6" s="268">
        <f>IF(N6&gt;10,N6-10,0)</f>
        <v>0</v>
      </c>
      <c r="P6" s="269">
        <f>AC6+0.1053</f>
        <v>4.8052999999999999</v>
      </c>
      <c r="Q6" s="268"/>
      <c r="R6" s="267">
        <f>IF((K6-Y6)&gt;0,K6-Y6,0)</f>
        <v>8566</v>
      </c>
      <c r="S6" s="268"/>
      <c r="T6" s="267">
        <v>0</v>
      </c>
      <c r="U6" s="269">
        <f>AC6+0.1253</f>
        <v>4.8253000000000004</v>
      </c>
      <c r="V6" s="199"/>
      <c r="W6" s="210">
        <v>21554</v>
      </c>
      <c r="X6" s="211">
        <v>36304</v>
      </c>
      <c r="Y6" s="212">
        <f>W6+X6</f>
        <v>57858</v>
      </c>
      <c r="Z6" s="199"/>
      <c r="AA6" s="267">
        <f t="shared" ref="AA6:AA35" si="0">IF((Y6-K6)&gt;0,Y6-K6,0)</f>
        <v>0</v>
      </c>
      <c r="AB6" s="199"/>
      <c r="AC6" s="265">
        <v>4.7</v>
      </c>
      <c r="AD6" s="213">
        <f>AC6-0.01</f>
        <v>4.6900000000000004</v>
      </c>
      <c r="AE6" s="266">
        <f>SUM(AA6*AD6)</f>
        <v>0</v>
      </c>
      <c r="AF6" s="214"/>
      <c r="AG6" s="270">
        <f>4.5375-AD6</f>
        <v>-0.15250000000000075</v>
      </c>
      <c r="AH6" s="271">
        <f>+AG6*AA6</f>
        <v>0</v>
      </c>
      <c r="AI6" s="203"/>
      <c r="AJ6" s="203"/>
      <c r="AK6" s="203">
        <f>+AK5</f>
        <v>0</v>
      </c>
      <c r="AL6" s="203">
        <v>3</v>
      </c>
      <c r="AM6" s="203">
        <v>2</v>
      </c>
      <c r="AN6" s="203">
        <v>5</v>
      </c>
      <c r="AO6" s="203">
        <v>0</v>
      </c>
      <c r="AP6" s="203"/>
      <c r="AQ6" s="203">
        <f>AK6+AL6+AM6+AN6</f>
        <v>10</v>
      </c>
      <c r="AR6" s="203"/>
      <c r="AS6" s="203"/>
      <c r="AT6" s="203"/>
      <c r="AU6" s="203"/>
      <c r="AV6" s="203"/>
      <c r="AW6" s="203"/>
      <c r="AX6" s="203"/>
      <c r="AY6" s="203"/>
      <c r="AZ6" s="203"/>
      <c r="BA6" s="203"/>
      <c r="BB6" s="203"/>
      <c r="BC6" s="203"/>
      <c r="BD6" s="203"/>
      <c r="BE6" s="203"/>
      <c r="BF6" s="203"/>
      <c r="BG6" s="203"/>
      <c r="BH6" s="203"/>
      <c r="BI6" s="203"/>
      <c r="BJ6" s="203"/>
      <c r="BK6" s="203"/>
      <c r="BL6" s="203"/>
      <c r="BM6" s="203"/>
      <c r="BN6" s="203"/>
    </row>
    <row r="7" spans="1:66" x14ac:dyDescent="0.2">
      <c r="A7" s="199">
        <v>2</v>
      </c>
      <c r="B7" s="199">
        <v>5035</v>
      </c>
      <c r="C7" s="199">
        <v>0</v>
      </c>
      <c r="D7" s="199">
        <v>24185</v>
      </c>
      <c r="E7" s="199"/>
      <c r="F7" s="199">
        <f t="shared" ref="F7:F36" si="1">B7+C7+D7</f>
        <v>29220</v>
      </c>
      <c r="G7" s="199"/>
      <c r="H7" s="199">
        <v>0</v>
      </c>
      <c r="I7" s="199">
        <v>36304</v>
      </c>
      <c r="J7" s="199">
        <f>+J6</f>
        <v>450</v>
      </c>
      <c r="K7" s="199">
        <f t="shared" ref="K7:K35" si="2">I7+J7+F7+J7</f>
        <v>66424</v>
      </c>
      <c r="L7" s="199"/>
      <c r="M7" s="199">
        <f>+M6</f>
        <v>94949</v>
      </c>
      <c r="N7" s="268">
        <f t="shared" ref="N7:N35" si="3">IF((K7-M7)&gt;0,K7-M7,0)</f>
        <v>0</v>
      </c>
      <c r="O7" s="268">
        <f t="shared" ref="O7:O35" si="4">IF(N7&gt;10,N7-10,0)</f>
        <v>0</v>
      </c>
      <c r="P7" s="269">
        <f t="shared" ref="P7:P35" si="5">AC7+0.1053</f>
        <v>4.6902999999999997</v>
      </c>
      <c r="Q7" s="268"/>
      <c r="R7" s="267">
        <f t="shared" ref="R7:R35" si="6">IF((K7-Y7)&gt;0,K7-Y7,0)</f>
        <v>8566</v>
      </c>
      <c r="S7" s="268"/>
      <c r="T7" s="267">
        <v>0</v>
      </c>
      <c r="U7" s="269">
        <f t="shared" ref="U7:U35" si="7">AC7+0.1253</f>
        <v>4.7103000000000002</v>
      </c>
      <c r="V7" s="199"/>
      <c r="W7" s="210">
        <f>+W6</f>
        <v>21554</v>
      </c>
      <c r="X7" s="211">
        <v>36304</v>
      </c>
      <c r="Y7" s="212">
        <f t="shared" ref="Y7:Y35" si="8">W7+X7</f>
        <v>57858</v>
      </c>
      <c r="Z7" s="199"/>
      <c r="AA7" s="267">
        <f t="shared" si="0"/>
        <v>0</v>
      </c>
      <c r="AB7" s="199"/>
      <c r="AC7" s="265">
        <v>4.585</v>
      </c>
      <c r="AD7" s="213">
        <f t="shared" ref="AD7:AD35" si="9">AC7-0.01</f>
        <v>4.5750000000000002</v>
      </c>
      <c r="AE7" s="266">
        <f t="shared" ref="AE7:AE35" si="10">SUM(AA7*AD7)</f>
        <v>0</v>
      </c>
      <c r="AF7" s="214"/>
      <c r="AG7" s="270">
        <f t="shared" ref="AG7:AG35" si="11">4.5375-AD7</f>
        <v>-3.7500000000000533E-2</v>
      </c>
      <c r="AH7" s="271">
        <f t="shared" ref="AH7:AH35" si="12">+AG7*AA7</f>
        <v>0</v>
      </c>
      <c r="AI7" s="215"/>
      <c r="AJ7" s="215"/>
      <c r="AK7" s="203">
        <f>+AK6</f>
        <v>0</v>
      </c>
      <c r="AL7" s="203">
        <v>3</v>
      </c>
      <c r="AM7" s="203">
        <f>+AM6</f>
        <v>2</v>
      </c>
      <c r="AN7" s="203">
        <f>+AN6</f>
        <v>5</v>
      </c>
      <c r="AO7" s="203">
        <v>0</v>
      </c>
      <c r="AP7" s="203"/>
      <c r="AQ7" s="203">
        <f t="shared" ref="AQ7:AQ35" si="13">AK7+AL7+AM7+AN7</f>
        <v>10</v>
      </c>
      <c r="AR7" s="203"/>
      <c r="AS7" s="203"/>
      <c r="AT7" s="203"/>
      <c r="AU7" s="203"/>
      <c r="AV7" s="203"/>
      <c r="AW7" s="203"/>
      <c r="AX7" s="203"/>
      <c r="AY7" s="203"/>
      <c r="AZ7" s="203"/>
      <c r="BA7" s="203"/>
      <c r="BB7" s="203"/>
      <c r="BC7" s="203"/>
      <c r="BD7" s="203"/>
      <c r="BE7" s="203"/>
      <c r="BF7" s="203"/>
      <c r="BG7" s="203"/>
      <c r="BH7" s="203"/>
      <c r="BI7" s="203"/>
      <c r="BJ7" s="203"/>
      <c r="BK7" s="203"/>
      <c r="BL7" s="203"/>
      <c r="BM7" s="203"/>
      <c r="BN7" s="203"/>
    </row>
    <row r="8" spans="1:66" x14ac:dyDescent="0.2">
      <c r="A8" s="199">
        <v>3</v>
      </c>
      <c r="B8" s="199">
        <v>5035</v>
      </c>
      <c r="C8" s="199">
        <v>0</v>
      </c>
      <c r="D8" s="199">
        <v>24185</v>
      </c>
      <c r="E8" s="199"/>
      <c r="F8" s="199">
        <f t="shared" si="1"/>
        <v>29220</v>
      </c>
      <c r="G8" s="199"/>
      <c r="H8" s="199">
        <v>0</v>
      </c>
      <c r="I8" s="199">
        <v>36304</v>
      </c>
      <c r="J8" s="199">
        <f>+J7</f>
        <v>450</v>
      </c>
      <c r="K8" s="199">
        <f t="shared" si="2"/>
        <v>66424</v>
      </c>
      <c r="L8" s="199"/>
      <c r="M8" s="199">
        <f t="shared" ref="M8:M35" si="14">+M7</f>
        <v>94949</v>
      </c>
      <c r="N8" s="268">
        <f t="shared" si="3"/>
        <v>0</v>
      </c>
      <c r="O8" s="268">
        <f t="shared" si="4"/>
        <v>0</v>
      </c>
      <c r="P8" s="269">
        <f t="shared" si="5"/>
        <v>4.5152999999999999</v>
      </c>
      <c r="Q8" s="268"/>
      <c r="R8" s="267">
        <f t="shared" si="6"/>
        <v>8566</v>
      </c>
      <c r="S8" s="268"/>
      <c r="T8" s="267">
        <v>0</v>
      </c>
      <c r="U8" s="269">
        <f t="shared" si="7"/>
        <v>4.5353000000000003</v>
      </c>
      <c r="V8" s="199"/>
      <c r="W8" s="210">
        <f t="shared" ref="W8:W35" si="15">+W7</f>
        <v>21554</v>
      </c>
      <c r="X8" s="211">
        <v>36304</v>
      </c>
      <c r="Y8" s="212">
        <f t="shared" si="8"/>
        <v>57858</v>
      </c>
      <c r="Z8" s="199"/>
      <c r="AA8" s="267">
        <f t="shared" si="0"/>
        <v>0</v>
      </c>
      <c r="AB8" s="199"/>
      <c r="AC8" s="265">
        <v>4.41</v>
      </c>
      <c r="AD8" s="213">
        <f t="shared" si="9"/>
        <v>4.4000000000000004</v>
      </c>
      <c r="AE8" s="266">
        <f t="shared" si="10"/>
        <v>0</v>
      </c>
      <c r="AF8" s="214"/>
      <c r="AG8" s="270">
        <f t="shared" si="11"/>
        <v>0.13749999999999929</v>
      </c>
      <c r="AH8" s="271">
        <f t="shared" si="12"/>
        <v>0</v>
      </c>
      <c r="AI8" s="203"/>
      <c r="AJ8" s="203"/>
      <c r="AK8" s="203">
        <f t="shared" ref="AK8:AK35" si="16">+AK7</f>
        <v>0</v>
      </c>
      <c r="AL8" s="203">
        <v>3</v>
      </c>
      <c r="AM8" s="203">
        <f>+AM7</f>
        <v>2</v>
      </c>
      <c r="AN8" s="203">
        <f>+AN7</f>
        <v>5</v>
      </c>
      <c r="AO8" s="203">
        <v>0</v>
      </c>
      <c r="AP8" s="203"/>
      <c r="AQ8" s="203">
        <f t="shared" si="13"/>
        <v>10</v>
      </c>
      <c r="AR8" s="203"/>
      <c r="AS8" s="203"/>
      <c r="AT8" s="203"/>
      <c r="AU8" s="203"/>
      <c r="AV8" s="203"/>
      <c r="AW8" s="203"/>
      <c r="AX8" s="203"/>
      <c r="AY8" s="203"/>
      <c r="AZ8" s="203"/>
      <c r="BA8" s="203"/>
      <c r="BB8" s="203"/>
      <c r="BC8" s="203"/>
      <c r="BD8" s="203"/>
      <c r="BE8" s="203"/>
      <c r="BF8" s="203"/>
      <c r="BG8" s="203"/>
      <c r="BH8" s="203"/>
      <c r="BI8" s="203"/>
      <c r="BJ8" s="203"/>
      <c r="BK8" s="203"/>
      <c r="BL8" s="203"/>
      <c r="BM8" s="203"/>
      <c r="BN8" s="203"/>
    </row>
    <row r="9" spans="1:66" x14ac:dyDescent="0.2">
      <c r="A9" s="199">
        <v>4</v>
      </c>
      <c r="B9" s="199">
        <v>5035</v>
      </c>
      <c r="C9" s="199">
        <v>0</v>
      </c>
      <c r="D9" s="199">
        <v>24185</v>
      </c>
      <c r="E9" s="199"/>
      <c r="F9" s="199">
        <f t="shared" si="1"/>
        <v>29220</v>
      </c>
      <c r="G9" s="199"/>
      <c r="H9" s="199">
        <v>0</v>
      </c>
      <c r="I9" s="199">
        <v>36304</v>
      </c>
      <c r="J9" s="199">
        <f t="shared" ref="J9:J35" si="17">+J8</f>
        <v>450</v>
      </c>
      <c r="K9" s="199">
        <f t="shared" si="2"/>
        <v>66424</v>
      </c>
      <c r="L9" s="199"/>
      <c r="M9" s="199">
        <f t="shared" si="14"/>
        <v>94949</v>
      </c>
      <c r="N9" s="268">
        <f t="shared" si="3"/>
        <v>0</v>
      </c>
      <c r="O9" s="268">
        <f t="shared" si="4"/>
        <v>0</v>
      </c>
      <c r="P9" s="269">
        <f t="shared" si="5"/>
        <v>4.5152999999999999</v>
      </c>
      <c r="Q9" s="268"/>
      <c r="R9" s="267">
        <f t="shared" si="6"/>
        <v>8566</v>
      </c>
      <c r="S9" s="268"/>
      <c r="T9" s="267">
        <v>0</v>
      </c>
      <c r="U9" s="269">
        <f t="shared" si="7"/>
        <v>4.5353000000000003</v>
      </c>
      <c r="V9" s="199"/>
      <c r="W9" s="210">
        <f t="shared" si="15"/>
        <v>21554</v>
      </c>
      <c r="X9" s="211">
        <v>36304</v>
      </c>
      <c r="Y9" s="212">
        <f t="shared" si="8"/>
        <v>57858</v>
      </c>
      <c r="Z9" s="199"/>
      <c r="AA9" s="267">
        <f t="shared" si="0"/>
        <v>0</v>
      </c>
      <c r="AB9" s="199"/>
      <c r="AC9" s="265">
        <f>+AC8</f>
        <v>4.41</v>
      </c>
      <c r="AD9" s="213">
        <f t="shared" si="9"/>
        <v>4.4000000000000004</v>
      </c>
      <c r="AE9" s="266">
        <f t="shared" si="10"/>
        <v>0</v>
      </c>
      <c r="AF9" s="214"/>
      <c r="AG9" s="270">
        <f t="shared" si="11"/>
        <v>0.13749999999999929</v>
      </c>
      <c r="AH9" s="271">
        <f t="shared" si="12"/>
        <v>0</v>
      </c>
      <c r="AI9" s="203"/>
      <c r="AJ9" s="203"/>
      <c r="AK9" s="203">
        <f t="shared" si="16"/>
        <v>0</v>
      </c>
      <c r="AL9" s="203">
        <v>3</v>
      </c>
      <c r="AM9" s="203">
        <f t="shared" ref="AM9:AM35" si="18">+AM8</f>
        <v>2</v>
      </c>
      <c r="AN9" s="203">
        <f t="shared" ref="AN9:AN35" si="19">+AN8</f>
        <v>5</v>
      </c>
      <c r="AO9" s="203">
        <v>0</v>
      </c>
      <c r="AP9" s="203"/>
      <c r="AQ9" s="203">
        <f t="shared" si="13"/>
        <v>10</v>
      </c>
      <c r="AR9" s="203"/>
      <c r="AS9" s="203"/>
      <c r="AT9" s="203"/>
      <c r="AU9" s="203"/>
      <c r="AV9" s="203"/>
      <c r="AW9" s="203"/>
      <c r="AX9" s="203"/>
      <c r="AY9" s="203"/>
      <c r="AZ9" s="203"/>
      <c r="BA9" s="203"/>
      <c r="BB9" s="203"/>
      <c r="BC9" s="203"/>
      <c r="BD9" s="203"/>
      <c r="BE9" s="203"/>
      <c r="BF9" s="203"/>
      <c r="BG9" s="203"/>
      <c r="BH9" s="203"/>
      <c r="BI9" s="203"/>
      <c r="BJ9" s="203"/>
      <c r="BK9" s="203"/>
      <c r="BL9" s="203"/>
      <c r="BM9" s="203"/>
      <c r="BN9" s="203"/>
    </row>
    <row r="10" spans="1:66" x14ac:dyDescent="0.2">
      <c r="A10" s="199">
        <v>5</v>
      </c>
      <c r="B10" s="199">
        <v>5035</v>
      </c>
      <c r="C10" s="199">
        <v>0</v>
      </c>
      <c r="D10" s="199">
        <v>24185</v>
      </c>
      <c r="E10" s="199"/>
      <c r="F10" s="199">
        <f t="shared" si="1"/>
        <v>29220</v>
      </c>
      <c r="G10" s="199"/>
      <c r="H10" s="199">
        <v>0</v>
      </c>
      <c r="I10" s="199">
        <v>36304</v>
      </c>
      <c r="J10" s="199">
        <f t="shared" si="17"/>
        <v>450</v>
      </c>
      <c r="K10" s="199">
        <f t="shared" si="2"/>
        <v>66424</v>
      </c>
      <c r="L10" s="199"/>
      <c r="M10" s="199">
        <f t="shared" si="14"/>
        <v>94949</v>
      </c>
      <c r="N10" s="268">
        <f t="shared" si="3"/>
        <v>0</v>
      </c>
      <c r="O10" s="268">
        <f t="shared" si="4"/>
        <v>0</v>
      </c>
      <c r="P10" s="269">
        <f t="shared" si="5"/>
        <v>4.5152999999999999</v>
      </c>
      <c r="Q10" s="268"/>
      <c r="R10" s="267">
        <f t="shared" si="6"/>
        <v>8566</v>
      </c>
      <c r="S10" s="268"/>
      <c r="T10" s="267">
        <v>0</v>
      </c>
      <c r="U10" s="269">
        <f t="shared" si="7"/>
        <v>4.5353000000000003</v>
      </c>
      <c r="V10" s="199"/>
      <c r="W10" s="210">
        <f t="shared" si="15"/>
        <v>21554</v>
      </c>
      <c r="X10" s="211">
        <v>36304</v>
      </c>
      <c r="Y10" s="212">
        <f t="shared" si="8"/>
        <v>57858</v>
      </c>
      <c r="Z10" s="199"/>
      <c r="AA10" s="267">
        <f t="shared" si="0"/>
        <v>0</v>
      </c>
      <c r="AB10" s="199"/>
      <c r="AC10" s="265">
        <f>+AC9</f>
        <v>4.41</v>
      </c>
      <c r="AD10" s="213">
        <f t="shared" si="9"/>
        <v>4.4000000000000004</v>
      </c>
      <c r="AE10" s="266">
        <f t="shared" si="10"/>
        <v>0</v>
      </c>
      <c r="AF10" s="214"/>
      <c r="AG10" s="270">
        <f t="shared" si="11"/>
        <v>0.13749999999999929</v>
      </c>
      <c r="AH10" s="271">
        <f t="shared" si="12"/>
        <v>0</v>
      </c>
      <c r="AI10" s="203"/>
      <c r="AJ10" s="203"/>
      <c r="AK10" s="203">
        <f t="shared" si="16"/>
        <v>0</v>
      </c>
      <c r="AL10" s="203">
        <v>3</v>
      </c>
      <c r="AM10" s="203">
        <f t="shared" si="18"/>
        <v>2</v>
      </c>
      <c r="AN10" s="203">
        <f t="shared" si="19"/>
        <v>5</v>
      </c>
      <c r="AO10" s="203">
        <v>0</v>
      </c>
      <c r="AP10" s="203"/>
      <c r="AQ10" s="203">
        <f t="shared" si="13"/>
        <v>10</v>
      </c>
      <c r="AR10" s="203"/>
      <c r="AS10" s="203"/>
      <c r="AT10" s="203"/>
      <c r="AU10" s="203"/>
      <c r="AV10" s="203"/>
      <c r="AW10" s="203"/>
      <c r="AX10" s="203"/>
      <c r="AY10" s="203"/>
      <c r="AZ10" s="203"/>
      <c r="BA10" s="203"/>
      <c r="BB10" s="203"/>
      <c r="BC10" s="203"/>
      <c r="BD10" s="203"/>
      <c r="BE10" s="203"/>
      <c r="BF10" s="203"/>
      <c r="BG10" s="203"/>
      <c r="BH10" s="203"/>
      <c r="BI10" s="203"/>
      <c r="BJ10" s="203"/>
      <c r="BK10" s="203"/>
      <c r="BL10" s="203"/>
      <c r="BM10" s="203"/>
      <c r="BN10" s="203"/>
    </row>
    <row r="11" spans="1:66" x14ac:dyDescent="0.2">
      <c r="A11" s="199">
        <v>6</v>
      </c>
      <c r="B11" s="199">
        <v>5035</v>
      </c>
      <c r="C11" s="199">
        <v>0</v>
      </c>
      <c r="D11" s="199">
        <v>24185</v>
      </c>
      <c r="E11" s="199"/>
      <c r="F11" s="199">
        <f t="shared" si="1"/>
        <v>29220</v>
      </c>
      <c r="G11" s="199"/>
      <c r="H11" s="199">
        <v>0</v>
      </c>
      <c r="I11" s="199">
        <v>36304</v>
      </c>
      <c r="J11" s="199">
        <f t="shared" si="17"/>
        <v>450</v>
      </c>
      <c r="K11" s="199">
        <f t="shared" si="2"/>
        <v>66424</v>
      </c>
      <c r="L11" s="199"/>
      <c r="M11" s="199">
        <f t="shared" si="14"/>
        <v>94949</v>
      </c>
      <c r="N11" s="268">
        <f t="shared" si="3"/>
        <v>0</v>
      </c>
      <c r="O11" s="268">
        <f t="shared" si="4"/>
        <v>0</v>
      </c>
      <c r="P11" s="269">
        <f t="shared" si="5"/>
        <v>4.4502999999999995</v>
      </c>
      <c r="Q11" s="268"/>
      <c r="R11" s="267">
        <f t="shared" si="6"/>
        <v>8566</v>
      </c>
      <c r="S11" s="268"/>
      <c r="T11" s="267">
        <v>0</v>
      </c>
      <c r="U11" s="269">
        <f t="shared" si="7"/>
        <v>4.4702999999999999</v>
      </c>
      <c r="V11" s="199"/>
      <c r="W11" s="210">
        <f t="shared" si="15"/>
        <v>21554</v>
      </c>
      <c r="X11" s="211">
        <v>36304</v>
      </c>
      <c r="Y11" s="212">
        <f t="shared" si="8"/>
        <v>57858</v>
      </c>
      <c r="Z11" s="199"/>
      <c r="AA11" s="267">
        <f t="shared" si="0"/>
        <v>0</v>
      </c>
      <c r="AB11" s="199"/>
      <c r="AC11" s="265">
        <v>4.3449999999999998</v>
      </c>
      <c r="AD11" s="213">
        <f t="shared" si="9"/>
        <v>4.335</v>
      </c>
      <c r="AE11" s="266">
        <f t="shared" si="10"/>
        <v>0</v>
      </c>
      <c r="AF11" s="214"/>
      <c r="AG11" s="270">
        <f t="shared" si="11"/>
        <v>0.20249999999999968</v>
      </c>
      <c r="AH11" s="271">
        <f t="shared" si="12"/>
        <v>0</v>
      </c>
      <c r="AI11" s="203"/>
      <c r="AJ11" s="203"/>
      <c r="AK11" s="203">
        <f t="shared" si="16"/>
        <v>0</v>
      </c>
      <c r="AL11" s="203">
        <v>3</v>
      </c>
      <c r="AM11" s="203">
        <f t="shared" si="18"/>
        <v>2</v>
      </c>
      <c r="AN11" s="203">
        <f t="shared" si="19"/>
        <v>5</v>
      </c>
      <c r="AO11" s="203">
        <v>0</v>
      </c>
      <c r="AP11" s="203"/>
      <c r="AQ11" s="203">
        <f t="shared" si="13"/>
        <v>10</v>
      </c>
      <c r="AR11" s="203"/>
      <c r="AS11" s="203"/>
      <c r="AT11" s="203"/>
      <c r="AU11" s="203"/>
      <c r="AV11" s="203"/>
      <c r="AW11" s="203"/>
      <c r="AX11" s="203"/>
      <c r="AY11" s="203"/>
      <c r="AZ11" s="203"/>
      <c r="BA11" s="203"/>
      <c r="BB11" s="203"/>
      <c r="BC11" s="203"/>
      <c r="BD11" s="203"/>
      <c r="BE11" s="203"/>
      <c r="BF11" s="203"/>
      <c r="BG11" s="203"/>
      <c r="BH11" s="203"/>
      <c r="BI11" s="203"/>
      <c r="BJ11" s="203"/>
      <c r="BK11" s="203"/>
      <c r="BL11" s="203"/>
      <c r="BM11" s="203"/>
      <c r="BN11" s="203"/>
    </row>
    <row r="12" spans="1:66" x14ac:dyDescent="0.2">
      <c r="A12" s="199">
        <v>7</v>
      </c>
      <c r="B12" s="199">
        <v>5035</v>
      </c>
      <c r="C12" s="199">
        <v>0</v>
      </c>
      <c r="D12" s="199">
        <v>24185</v>
      </c>
      <c r="E12" s="199"/>
      <c r="F12" s="199">
        <f t="shared" si="1"/>
        <v>29220</v>
      </c>
      <c r="G12" s="199"/>
      <c r="H12" s="199">
        <v>0</v>
      </c>
      <c r="I12" s="199">
        <v>36304</v>
      </c>
      <c r="J12" s="199">
        <f t="shared" si="17"/>
        <v>450</v>
      </c>
      <c r="K12" s="199">
        <f t="shared" si="2"/>
        <v>66424</v>
      </c>
      <c r="L12" s="199"/>
      <c r="M12" s="199">
        <f t="shared" si="14"/>
        <v>94949</v>
      </c>
      <c r="N12" s="268">
        <f t="shared" si="3"/>
        <v>0</v>
      </c>
      <c r="O12" s="268">
        <f t="shared" si="4"/>
        <v>0</v>
      </c>
      <c r="P12" s="269">
        <f t="shared" si="5"/>
        <v>4.7702999999999998</v>
      </c>
      <c r="Q12" s="268"/>
      <c r="R12" s="267">
        <f t="shared" si="6"/>
        <v>8566</v>
      </c>
      <c r="S12" s="268"/>
      <c r="T12" s="267">
        <v>0</v>
      </c>
      <c r="U12" s="269">
        <f t="shared" si="7"/>
        <v>4.7903000000000002</v>
      </c>
      <c r="V12" s="199"/>
      <c r="W12" s="210">
        <f t="shared" si="15"/>
        <v>21554</v>
      </c>
      <c r="X12" s="211">
        <v>36304</v>
      </c>
      <c r="Y12" s="212">
        <f t="shared" si="8"/>
        <v>57858</v>
      </c>
      <c r="Z12" s="199"/>
      <c r="AA12" s="267">
        <f t="shared" si="0"/>
        <v>0</v>
      </c>
      <c r="AB12" s="199"/>
      <c r="AC12" s="265">
        <v>4.665</v>
      </c>
      <c r="AD12" s="213">
        <f t="shared" si="9"/>
        <v>4.6550000000000002</v>
      </c>
      <c r="AE12" s="266">
        <f t="shared" si="10"/>
        <v>0</v>
      </c>
      <c r="AF12" s="214"/>
      <c r="AG12" s="270">
        <f t="shared" si="11"/>
        <v>-0.1175000000000006</v>
      </c>
      <c r="AH12" s="271">
        <f t="shared" si="12"/>
        <v>0</v>
      </c>
      <c r="AI12" s="203"/>
      <c r="AJ12" s="203"/>
      <c r="AK12" s="203">
        <f t="shared" si="16"/>
        <v>0</v>
      </c>
      <c r="AL12" s="203">
        <v>3</v>
      </c>
      <c r="AM12" s="203">
        <f t="shared" si="18"/>
        <v>2</v>
      </c>
      <c r="AN12" s="203">
        <f t="shared" si="19"/>
        <v>5</v>
      </c>
      <c r="AO12" s="203">
        <v>0</v>
      </c>
      <c r="AP12" s="203"/>
      <c r="AQ12" s="203">
        <f t="shared" si="13"/>
        <v>10</v>
      </c>
      <c r="AR12" s="203"/>
      <c r="AS12" s="203"/>
      <c r="AT12" s="203"/>
      <c r="AU12" s="203"/>
      <c r="AV12" s="203"/>
      <c r="AW12" s="203"/>
      <c r="AX12" s="203"/>
      <c r="AY12" s="203"/>
      <c r="AZ12" s="203"/>
      <c r="BA12" s="203"/>
      <c r="BB12" s="203"/>
      <c r="BC12" s="203"/>
      <c r="BD12" s="203"/>
      <c r="BE12" s="203"/>
      <c r="BF12" s="203"/>
      <c r="BG12" s="203"/>
      <c r="BH12" s="203"/>
      <c r="BI12" s="203"/>
      <c r="BJ12" s="203"/>
      <c r="BK12" s="203"/>
      <c r="BL12" s="203"/>
      <c r="BM12" s="203"/>
      <c r="BN12" s="203"/>
    </row>
    <row r="13" spans="1:66" x14ac:dyDescent="0.2">
      <c r="A13" s="199">
        <v>8</v>
      </c>
      <c r="B13" s="199">
        <v>5035</v>
      </c>
      <c r="C13" s="199">
        <v>0</v>
      </c>
      <c r="D13" s="199">
        <v>24185</v>
      </c>
      <c r="E13" s="199"/>
      <c r="F13" s="199">
        <f t="shared" si="1"/>
        <v>29220</v>
      </c>
      <c r="G13" s="199"/>
      <c r="H13" s="199">
        <v>0</v>
      </c>
      <c r="I13" s="199">
        <v>36304</v>
      </c>
      <c r="J13" s="199">
        <f t="shared" si="17"/>
        <v>450</v>
      </c>
      <c r="K13" s="199">
        <f t="shared" si="2"/>
        <v>66424</v>
      </c>
      <c r="L13" s="199"/>
      <c r="M13" s="199">
        <f t="shared" si="14"/>
        <v>94949</v>
      </c>
      <c r="N13" s="268">
        <f t="shared" si="3"/>
        <v>0</v>
      </c>
      <c r="O13" s="268">
        <f t="shared" si="4"/>
        <v>0</v>
      </c>
      <c r="P13" s="269">
        <f t="shared" si="5"/>
        <v>4.5053000000000001</v>
      </c>
      <c r="Q13" s="268"/>
      <c r="R13" s="267">
        <f t="shared" si="6"/>
        <v>8566</v>
      </c>
      <c r="S13" s="268"/>
      <c r="T13" s="267">
        <v>0</v>
      </c>
      <c r="U13" s="269">
        <f t="shared" si="7"/>
        <v>4.5253000000000005</v>
      </c>
      <c r="V13" s="199"/>
      <c r="W13" s="210">
        <f t="shared" si="15"/>
        <v>21554</v>
      </c>
      <c r="X13" s="211">
        <v>36304</v>
      </c>
      <c r="Y13" s="212">
        <f t="shared" si="8"/>
        <v>57858</v>
      </c>
      <c r="Z13" s="199"/>
      <c r="AA13" s="267">
        <f t="shared" si="0"/>
        <v>0</v>
      </c>
      <c r="AB13" s="199"/>
      <c r="AC13" s="265">
        <v>4.4000000000000004</v>
      </c>
      <c r="AD13" s="213">
        <f t="shared" si="9"/>
        <v>4.3900000000000006</v>
      </c>
      <c r="AE13" s="266">
        <f t="shared" si="10"/>
        <v>0</v>
      </c>
      <c r="AF13" s="214"/>
      <c r="AG13" s="270">
        <f t="shared" si="11"/>
        <v>0.14749999999999908</v>
      </c>
      <c r="AH13" s="271">
        <f t="shared" si="12"/>
        <v>0</v>
      </c>
      <c r="AI13" s="203"/>
      <c r="AJ13" s="203"/>
      <c r="AK13" s="203">
        <f t="shared" si="16"/>
        <v>0</v>
      </c>
      <c r="AL13" s="203">
        <v>3</v>
      </c>
      <c r="AM13" s="203">
        <f t="shared" si="18"/>
        <v>2</v>
      </c>
      <c r="AN13" s="203">
        <f t="shared" si="19"/>
        <v>5</v>
      </c>
      <c r="AO13" s="203">
        <v>0</v>
      </c>
      <c r="AP13" s="203"/>
      <c r="AQ13" s="203">
        <f t="shared" si="13"/>
        <v>10</v>
      </c>
      <c r="AR13" s="203"/>
      <c r="AS13" s="203"/>
      <c r="AT13" s="203"/>
      <c r="AU13" s="203"/>
      <c r="AV13" s="203"/>
      <c r="AW13" s="203"/>
      <c r="AX13" s="203"/>
      <c r="AY13" s="203"/>
      <c r="AZ13" s="203"/>
      <c r="BA13" s="203"/>
      <c r="BB13" s="203"/>
      <c r="BC13" s="203"/>
      <c r="BD13" s="203"/>
      <c r="BE13" s="203"/>
      <c r="BF13" s="203"/>
      <c r="BG13" s="203"/>
      <c r="BH13" s="203"/>
      <c r="BI13" s="203"/>
      <c r="BJ13" s="203"/>
      <c r="BK13" s="203"/>
      <c r="BL13" s="203"/>
      <c r="BM13" s="203"/>
      <c r="BN13" s="203"/>
    </row>
    <row r="14" spans="1:66" x14ac:dyDescent="0.2">
      <c r="A14" s="199">
        <v>9</v>
      </c>
      <c r="B14" s="199">
        <v>5035</v>
      </c>
      <c r="C14" s="199">
        <v>0</v>
      </c>
      <c r="D14" s="199">
        <v>24185</v>
      </c>
      <c r="E14" s="199"/>
      <c r="F14" s="199">
        <f t="shared" si="1"/>
        <v>29220</v>
      </c>
      <c r="G14" s="199"/>
      <c r="H14" s="199">
        <v>0</v>
      </c>
      <c r="I14" s="199">
        <v>36304</v>
      </c>
      <c r="J14" s="199">
        <f t="shared" si="17"/>
        <v>450</v>
      </c>
      <c r="K14" s="199">
        <f t="shared" si="2"/>
        <v>66424</v>
      </c>
      <c r="L14" s="199"/>
      <c r="M14" s="199">
        <f t="shared" si="14"/>
        <v>94949</v>
      </c>
      <c r="N14" s="268">
        <f t="shared" si="3"/>
        <v>0</v>
      </c>
      <c r="O14" s="268">
        <f t="shared" si="4"/>
        <v>0</v>
      </c>
      <c r="P14" s="269">
        <f t="shared" si="5"/>
        <v>4.2502999999999993</v>
      </c>
      <c r="Q14" s="268"/>
      <c r="R14" s="267">
        <f t="shared" si="6"/>
        <v>8566</v>
      </c>
      <c r="S14" s="268"/>
      <c r="T14" s="267">
        <v>0</v>
      </c>
      <c r="U14" s="269">
        <f t="shared" si="7"/>
        <v>4.2702999999999998</v>
      </c>
      <c r="V14" s="199"/>
      <c r="W14" s="210">
        <f t="shared" si="15"/>
        <v>21554</v>
      </c>
      <c r="X14" s="211">
        <v>36304</v>
      </c>
      <c r="Y14" s="212">
        <f t="shared" si="8"/>
        <v>57858</v>
      </c>
      <c r="Z14" s="199"/>
      <c r="AA14" s="267">
        <f t="shared" si="0"/>
        <v>0</v>
      </c>
      <c r="AB14" s="199"/>
      <c r="AC14" s="265">
        <v>4.1449999999999996</v>
      </c>
      <c r="AD14" s="213">
        <f t="shared" si="9"/>
        <v>4.1349999999999998</v>
      </c>
      <c r="AE14" s="266">
        <f t="shared" si="10"/>
        <v>0</v>
      </c>
      <c r="AF14" s="214"/>
      <c r="AG14" s="270">
        <f t="shared" si="11"/>
        <v>0.40249999999999986</v>
      </c>
      <c r="AH14" s="271">
        <f t="shared" si="12"/>
        <v>0</v>
      </c>
      <c r="AI14" s="203"/>
      <c r="AJ14" s="203"/>
      <c r="AK14" s="203">
        <f t="shared" si="16"/>
        <v>0</v>
      </c>
      <c r="AL14" s="203">
        <v>3</v>
      </c>
      <c r="AM14" s="203">
        <f t="shared" si="18"/>
        <v>2</v>
      </c>
      <c r="AN14" s="203">
        <f t="shared" si="19"/>
        <v>5</v>
      </c>
      <c r="AO14" s="203">
        <v>0</v>
      </c>
      <c r="AP14" s="203"/>
      <c r="AQ14" s="203">
        <f t="shared" si="13"/>
        <v>10</v>
      </c>
      <c r="AR14" s="203"/>
      <c r="AS14" s="203"/>
      <c r="AT14" s="203"/>
      <c r="AU14" s="203"/>
      <c r="AV14" s="203"/>
      <c r="AW14" s="203"/>
      <c r="AX14" s="203"/>
      <c r="AY14" s="203"/>
      <c r="AZ14" s="203"/>
      <c r="BA14" s="203"/>
      <c r="BB14" s="203"/>
      <c r="BC14" s="203"/>
      <c r="BD14" s="203"/>
      <c r="BE14" s="203"/>
      <c r="BF14" s="203"/>
      <c r="BG14" s="203"/>
      <c r="BH14" s="203"/>
      <c r="BI14" s="203"/>
      <c r="BJ14" s="203"/>
      <c r="BK14" s="203"/>
      <c r="BL14" s="203"/>
      <c r="BM14" s="203"/>
      <c r="BN14" s="203"/>
    </row>
    <row r="15" spans="1:66" x14ac:dyDescent="0.2">
      <c r="A15" s="199">
        <v>10</v>
      </c>
      <c r="B15" s="199">
        <v>5035</v>
      </c>
      <c r="C15" s="199">
        <v>0</v>
      </c>
      <c r="D15" s="199">
        <v>24185</v>
      </c>
      <c r="E15" s="199"/>
      <c r="F15" s="199">
        <f t="shared" si="1"/>
        <v>29220</v>
      </c>
      <c r="G15" s="199"/>
      <c r="H15" s="199">
        <v>0</v>
      </c>
      <c r="I15" s="199">
        <v>36304</v>
      </c>
      <c r="J15" s="199">
        <f t="shared" si="17"/>
        <v>450</v>
      </c>
      <c r="K15" s="199">
        <f t="shared" si="2"/>
        <v>66424</v>
      </c>
      <c r="L15" s="199"/>
      <c r="M15" s="199">
        <f t="shared" si="14"/>
        <v>94949</v>
      </c>
      <c r="N15" s="268">
        <f t="shared" si="3"/>
        <v>0</v>
      </c>
      <c r="O15" s="268">
        <f t="shared" si="4"/>
        <v>0</v>
      </c>
      <c r="P15" s="269">
        <f t="shared" si="5"/>
        <v>4.4552999999999994</v>
      </c>
      <c r="Q15" s="268"/>
      <c r="R15" s="267">
        <f t="shared" si="6"/>
        <v>8566</v>
      </c>
      <c r="S15" s="268"/>
      <c r="T15" s="267">
        <v>0</v>
      </c>
      <c r="U15" s="269">
        <f t="shared" si="7"/>
        <v>4.4752999999999998</v>
      </c>
      <c r="V15" s="199"/>
      <c r="W15" s="210">
        <f t="shared" si="15"/>
        <v>21554</v>
      </c>
      <c r="X15" s="211">
        <v>36304</v>
      </c>
      <c r="Y15" s="212">
        <f t="shared" si="8"/>
        <v>57858</v>
      </c>
      <c r="Z15" s="199"/>
      <c r="AA15" s="267">
        <f t="shared" si="0"/>
        <v>0</v>
      </c>
      <c r="AB15" s="199"/>
      <c r="AC15" s="265">
        <f>+AC16</f>
        <v>4.3499999999999996</v>
      </c>
      <c r="AD15" s="213">
        <f t="shared" si="9"/>
        <v>4.34</v>
      </c>
      <c r="AE15" s="266">
        <f t="shared" si="10"/>
        <v>0</v>
      </c>
      <c r="AF15" s="214"/>
      <c r="AG15" s="270">
        <f t="shared" si="11"/>
        <v>0.19749999999999979</v>
      </c>
      <c r="AH15" s="271">
        <f t="shared" si="12"/>
        <v>0</v>
      </c>
      <c r="AI15" s="203"/>
      <c r="AJ15" s="203"/>
      <c r="AK15" s="203">
        <f t="shared" si="16"/>
        <v>0</v>
      </c>
      <c r="AL15" s="203">
        <v>3</v>
      </c>
      <c r="AM15" s="203">
        <f t="shared" si="18"/>
        <v>2</v>
      </c>
      <c r="AN15" s="203">
        <f t="shared" si="19"/>
        <v>5</v>
      </c>
      <c r="AO15" s="203">
        <v>0</v>
      </c>
      <c r="AP15" s="203"/>
      <c r="AQ15" s="203">
        <f t="shared" si="13"/>
        <v>10</v>
      </c>
      <c r="AR15" s="203"/>
      <c r="AS15" s="203"/>
      <c r="AT15" s="203"/>
      <c r="AU15" s="203"/>
      <c r="AV15" s="203"/>
      <c r="AW15" s="203"/>
      <c r="AX15" s="203"/>
      <c r="AY15" s="203"/>
      <c r="AZ15" s="203"/>
      <c r="BA15" s="203"/>
      <c r="BB15" s="203"/>
      <c r="BC15" s="203"/>
      <c r="BD15" s="203"/>
      <c r="BE15" s="203"/>
      <c r="BF15" s="203"/>
      <c r="BG15" s="203"/>
      <c r="BH15" s="203"/>
      <c r="BI15" s="203"/>
      <c r="BJ15" s="203"/>
      <c r="BK15" s="203"/>
      <c r="BL15" s="203"/>
      <c r="BM15" s="203"/>
      <c r="BN15" s="203"/>
    </row>
    <row r="16" spans="1:66" x14ac:dyDescent="0.2">
      <c r="A16" s="199">
        <v>11</v>
      </c>
      <c r="B16" s="199">
        <v>5035</v>
      </c>
      <c r="C16" s="199">
        <v>0</v>
      </c>
      <c r="D16" s="199">
        <v>24185</v>
      </c>
      <c r="E16" s="199"/>
      <c r="F16" s="199">
        <f t="shared" si="1"/>
        <v>29220</v>
      </c>
      <c r="G16" s="199"/>
      <c r="H16" s="199">
        <v>0</v>
      </c>
      <c r="I16" s="199">
        <v>36304</v>
      </c>
      <c r="J16" s="199">
        <f t="shared" si="17"/>
        <v>450</v>
      </c>
      <c r="K16" s="199">
        <f t="shared" si="2"/>
        <v>66424</v>
      </c>
      <c r="L16" s="199"/>
      <c r="M16" s="199">
        <f t="shared" si="14"/>
        <v>94949</v>
      </c>
      <c r="N16" s="268">
        <f t="shared" si="3"/>
        <v>0</v>
      </c>
      <c r="O16" s="268">
        <f t="shared" si="4"/>
        <v>0</v>
      </c>
      <c r="P16" s="269">
        <f t="shared" si="5"/>
        <v>4.4552999999999994</v>
      </c>
      <c r="Q16" s="268"/>
      <c r="R16" s="267">
        <f t="shared" si="6"/>
        <v>8566</v>
      </c>
      <c r="S16" s="268"/>
      <c r="T16" s="267">
        <v>0</v>
      </c>
      <c r="U16" s="269">
        <f t="shared" si="7"/>
        <v>4.4752999999999998</v>
      </c>
      <c r="V16" s="199"/>
      <c r="W16" s="210">
        <f t="shared" si="15"/>
        <v>21554</v>
      </c>
      <c r="X16" s="211">
        <v>36304</v>
      </c>
      <c r="Y16" s="212">
        <f t="shared" si="8"/>
        <v>57858</v>
      </c>
      <c r="Z16" s="199"/>
      <c r="AA16" s="267">
        <f t="shared" si="0"/>
        <v>0</v>
      </c>
      <c r="AB16" s="199"/>
      <c r="AC16" s="265">
        <f>+AC17</f>
        <v>4.3499999999999996</v>
      </c>
      <c r="AD16" s="213">
        <f t="shared" si="9"/>
        <v>4.34</v>
      </c>
      <c r="AE16" s="266">
        <f t="shared" si="10"/>
        <v>0</v>
      </c>
      <c r="AF16" s="214"/>
      <c r="AG16" s="270">
        <f t="shared" si="11"/>
        <v>0.19749999999999979</v>
      </c>
      <c r="AH16" s="271">
        <f t="shared" si="12"/>
        <v>0</v>
      </c>
      <c r="AI16" s="203"/>
      <c r="AJ16" s="203"/>
      <c r="AK16" s="203">
        <f t="shared" si="16"/>
        <v>0</v>
      </c>
      <c r="AL16" s="203">
        <v>3</v>
      </c>
      <c r="AM16" s="203">
        <f t="shared" si="18"/>
        <v>2</v>
      </c>
      <c r="AN16" s="203">
        <f t="shared" si="19"/>
        <v>5</v>
      </c>
      <c r="AO16" s="203">
        <v>0</v>
      </c>
      <c r="AP16" s="203"/>
      <c r="AQ16" s="203">
        <f t="shared" si="13"/>
        <v>10</v>
      </c>
      <c r="AR16" s="203"/>
      <c r="AS16" s="203"/>
      <c r="AT16" s="203"/>
      <c r="AU16" s="203"/>
      <c r="AV16" s="203"/>
      <c r="AW16" s="203"/>
      <c r="AX16" s="203"/>
      <c r="AY16" s="203"/>
      <c r="AZ16" s="203"/>
      <c r="BA16" s="203"/>
      <c r="BB16" s="203"/>
      <c r="BC16" s="203"/>
      <c r="BD16" s="203"/>
      <c r="BE16" s="203"/>
      <c r="BF16" s="203"/>
      <c r="BG16" s="203"/>
      <c r="BH16" s="203"/>
      <c r="BI16" s="203"/>
      <c r="BJ16" s="203"/>
      <c r="BK16" s="203"/>
      <c r="BL16" s="203"/>
      <c r="BM16" s="203"/>
      <c r="BN16" s="203"/>
    </row>
    <row r="17" spans="1:66" x14ac:dyDescent="0.2">
      <c r="A17" s="199">
        <v>12</v>
      </c>
      <c r="B17" s="199">
        <v>5035</v>
      </c>
      <c r="C17" s="199">
        <v>0</v>
      </c>
      <c r="D17" s="199">
        <v>24185</v>
      </c>
      <c r="E17" s="199"/>
      <c r="F17" s="199">
        <f t="shared" si="1"/>
        <v>29220</v>
      </c>
      <c r="G17" s="199"/>
      <c r="H17" s="199">
        <v>0</v>
      </c>
      <c r="I17" s="199">
        <v>36304</v>
      </c>
      <c r="J17" s="199">
        <f t="shared" si="17"/>
        <v>450</v>
      </c>
      <c r="K17" s="199">
        <f t="shared" si="2"/>
        <v>66424</v>
      </c>
      <c r="L17" s="199"/>
      <c r="M17" s="199">
        <f t="shared" si="14"/>
        <v>94949</v>
      </c>
      <c r="N17" s="268">
        <f t="shared" si="3"/>
        <v>0</v>
      </c>
      <c r="O17" s="268">
        <f t="shared" si="4"/>
        <v>0</v>
      </c>
      <c r="P17" s="269">
        <f t="shared" si="5"/>
        <v>4.4552999999999994</v>
      </c>
      <c r="Q17" s="268"/>
      <c r="R17" s="267">
        <f t="shared" si="6"/>
        <v>8566</v>
      </c>
      <c r="S17" s="268"/>
      <c r="T17" s="267">
        <v>0</v>
      </c>
      <c r="U17" s="269">
        <f t="shared" si="7"/>
        <v>4.4752999999999998</v>
      </c>
      <c r="V17" s="199"/>
      <c r="W17" s="210">
        <f t="shared" si="15"/>
        <v>21554</v>
      </c>
      <c r="X17" s="211">
        <v>36304</v>
      </c>
      <c r="Y17" s="212">
        <f t="shared" si="8"/>
        <v>57858</v>
      </c>
      <c r="Z17" s="199"/>
      <c r="AA17" s="267">
        <f t="shared" si="0"/>
        <v>0</v>
      </c>
      <c r="AB17" s="199"/>
      <c r="AC17" s="265">
        <v>4.3499999999999996</v>
      </c>
      <c r="AD17" s="213">
        <f t="shared" si="9"/>
        <v>4.34</v>
      </c>
      <c r="AE17" s="266">
        <f t="shared" si="10"/>
        <v>0</v>
      </c>
      <c r="AF17" s="214"/>
      <c r="AG17" s="270">
        <f t="shared" si="11"/>
        <v>0.19749999999999979</v>
      </c>
      <c r="AH17" s="271">
        <f t="shared" si="12"/>
        <v>0</v>
      </c>
      <c r="AI17" s="203"/>
      <c r="AJ17" s="203"/>
      <c r="AK17" s="203">
        <f t="shared" si="16"/>
        <v>0</v>
      </c>
      <c r="AL17" s="203">
        <v>3</v>
      </c>
      <c r="AM17" s="203">
        <f t="shared" si="18"/>
        <v>2</v>
      </c>
      <c r="AN17" s="203">
        <f t="shared" si="19"/>
        <v>5</v>
      </c>
      <c r="AO17" s="203">
        <v>0</v>
      </c>
      <c r="AP17" s="203"/>
      <c r="AQ17" s="203">
        <f t="shared" si="13"/>
        <v>10</v>
      </c>
      <c r="AR17" s="198"/>
      <c r="AS17" s="198"/>
      <c r="AT17" s="198"/>
      <c r="AU17" s="198"/>
      <c r="AV17" s="198"/>
      <c r="AW17" s="198"/>
      <c r="AX17" s="198"/>
      <c r="AY17" s="198"/>
      <c r="AZ17" s="198"/>
      <c r="BA17" s="198"/>
      <c r="BB17" s="198"/>
      <c r="BC17" s="198"/>
      <c r="BD17" s="198"/>
      <c r="BE17" s="198"/>
      <c r="BF17" s="198"/>
      <c r="BG17" s="198"/>
      <c r="BH17" s="198"/>
      <c r="BI17" s="198"/>
      <c r="BJ17" s="198"/>
      <c r="BK17" s="198"/>
      <c r="BL17" s="198"/>
      <c r="BM17" s="198"/>
      <c r="BN17" s="198"/>
    </row>
    <row r="18" spans="1:66" x14ac:dyDescent="0.2">
      <c r="A18" s="199">
        <v>13</v>
      </c>
      <c r="B18" s="199">
        <v>5035</v>
      </c>
      <c r="C18" s="199">
        <v>0</v>
      </c>
      <c r="D18" s="199">
        <v>24185</v>
      </c>
      <c r="E18" s="199"/>
      <c r="F18" s="199">
        <f t="shared" si="1"/>
        <v>29220</v>
      </c>
      <c r="G18" s="199"/>
      <c r="H18" s="199">
        <v>0</v>
      </c>
      <c r="I18" s="199">
        <v>36304</v>
      </c>
      <c r="J18" s="199">
        <f t="shared" si="17"/>
        <v>450</v>
      </c>
      <c r="K18" s="199">
        <f t="shared" si="2"/>
        <v>66424</v>
      </c>
      <c r="L18" s="199"/>
      <c r="M18" s="199">
        <f t="shared" si="14"/>
        <v>94949</v>
      </c>
      <c r="N18" s="268">
        <f t="shared" si="3"/>
        <v>0</v>
      </c>
      <c r="O18" s="268">
        <f t="shared" si="4"/>
        <v>0</v>
      </c>
      <c r="P18" s="269">
        <f t="shared" si="5"/>
        <v>4.5202999999999998</v>
      </c>
      <c r="Q18" s="268"/>
      <c r="R18" s="267">
        <f t="shared" si="6"/>
        <v>8566</v>
      </c>
      <c r="S18" s="268"/>
      <c r="T18" s="267">
        <v>0</v>
      </c>
      <c r="U18" s="269">
        <f t="shared" si="7"/>
        <v>4.5403000000000002</v>
      </c>
      <c r="V18" s="199"/>
      <c r="W18" s="210">
        <f t="shared" si="15"/>
        <v>21554</v>
      </c>
      <c r="X18" s="211">
        <v>36304</v>
      </c>
      <c r="Y18" s="212">
        <f t="shared" si="8"/>
        <v>57858</v>
      </c>
      <c r="Z18" s="199"/>
      <c r="AA18" s="267">
        <f t="shared" si="0"/>
        <v>0</v>
      </c>
      <c r="AB18" s="199"/>
      <c r="AC18" s="265">
        <v>4.415</v>
      </c>
      <c r="AD18" s="213">
        <f t="shared" si="9"/>
        <v>4.4050000000000002</v>
      </c>
      <c r="AE18" s="266">
        <f t="shared" si="10"/>
        <v>0</v>
      </c>
      <c r="AF18" s="214"/>
      <c r="AG18" s="270">
        <f t="shared" si="11"/>
        <v>0.1324999999999994</v>
      </c>
      <c r="AH18" s="271">
        <f t="shared" si="12"/>
        <v>0</v>
      </c>
      <c r="AI18" s="203"/>
      <c r="AJ18" s="203"/>
      <c r="AK18" s="203">
        <f t="shared" si="16"/>
        <v>0</v>
      </c>
      <c r="AL18" s="203">
        <v>3</v>
      </c>
      <c r="AM18" s="203">
        <f t="shared" si="18"/>
        <v>2</v>
      </c>
      <c r="AN18" s="203">
        <f t="shared" si="19"/>
        <v>5</v>
      </c>
      <c r="AO18" s="203">
        <v>0</v>
      </c>
      <c r="AP18" s="203"/>
      <c r="AQ18" s="203">
        <f t="shared" si="13"/>
        <v>10</v>
      </c>
      <c r="AR18" s="198"/>
      <c r="AS18" s="198"/>
      <c r="AT18" s="198"/>
      <c r="AU18" s="198"/>
      <c r="AV18" s="198"/>
      <c r="AW18" s="198"/>
      <c r="AX18" s="198"/>
      <c r="AY18" s="198"/>
      <c r="AZ18" s="198"/>
      <c r="BA18" s="198"/>
      <c r="BB18" s="198"/>
      <c r="BC18" s="198"/>
      <c r="BD18" s="198"/>
      <c r="BE18" s="198"/>
      <c r="BF18" s="198"/>
      <c r="BG18" s="198"/>
      <c r="BH18" s="198"/>
      <c r="BI18" s="198"/>
      <c r="BJ18" s="198"/>
      <c r="BK18" s="198"/>
      <c r="BL18" s="198"/>
      <c r="BM18" s="198"/>
      <c r="BN18" s="198"/>
    </row>
    <row r="19" spans="1:66" x14ac:dyDescent="0.2">
      <c r="A19" s="199">
        <v>14</v>
      </c>
      <c r="B19" s="199">
        <v>5035</v>
      </c>
      <c r="C19" s="199">
        <v>0</v>
      </c>
      <c r="D19" s="199">
        <v>24185</v>
      </c>
      <c r="E19" s="199"/>
      <c r="F19" s="199">
        <f t="shared" si="1"/>
        <v>29220</v>
      </c>
      <c r="G19" s="199"/>
      <c r="H19" s="199">
        <v>0</v>
      </c>
      <c r="I19" s="199">
        <v>36304</v>
      </c>
      <c r="J19" s="199">
        <f t="shared" si="17"/>
        <v>450</v>
      </c>
      <c r="K19" s="199">
        <f t="shared" si="2"/>
        <v>66424</v>
      </c>
      <c r="L19" s="199"/>
      <c r="M19" s="199">
        <f t="shared" si="14"/>
        <v>94949</v>
      </c>
      <c r="N19" s="268">
        <f t="shared" si="3"/>
        <v>0</v>
      </c>
      <c r="O19" s="268">
        <f t="shared" si="4"/>
        <v>0</v>
      </c>
      <c r="P19" s="269">
        <f t="shared" si="5"/>
        <v>4.5903</v>
      </c>
      <c r="Q19" s="268"/>
      <c r="R19" s="267">
        <f t="shared" si="6"/>
        <v>8566</v>
      </c>
      <c r="S19" s="268"/>
      <c r="T19" s="267">
        <v>0</v>
      </c>
      <c r="U19" s="269">
        <f t="shared" si="7"/>
        <v>4.6103000000000005</v>
      </c>
      <c r="V19" s="199"/>
      <c r="W19" s="210">
        <f t="shared" si="15"/>
        <v>21554</v>
      </c>
      <c r="X19" s="211">
        <v>36304</v>
      </c>
      <c r="Y19" s="212">
        <f t="shared" si="8"/>
        <v>57858</v>
      </c>
      <c r="Z19" s="199"/>
      <c r="AA19" s="267">
        <f t="shared" si="0"/>
        <v>0</v>
      </c>
      <c r="AB19" s="199"/>
      <c r="AC19" s="265">
        <v>4.4850000000000003</v>
      </c>
      <c r="AD19" s="213">
        <f t="shared" si="9"/>
        <v>4.4750000000000005</v>
      </c>
      <c r="AE19" s="266">
        <f t="shared" si="10"/>
        <v>0</v>
      </c>
      <c r="AF19" s="214"/>
      <c r="AG19" s="270">
        <f t="shared" si="11"/>
        <v>6.2499999999999112E-2</v>
      </c>
      <c r="AH19" s="271">
        <f t="shared" si="12"/>
        <v>0</v>
      </c>
      <c r="AI19" s="203"/>
      <c r="AJ19" s="203"/>
      <c r="AK19" s="203">
        <f t="shared" si="16"/>
        <v>0</v>
      </c>
      <c r="AL19" s="203">
        <v>3</v>
      </c>
      <c r="AM19" s="203">
        <f t="shared" si="18"/>
        <v>2</v>
      </c>
      <c r="AN19" s="203">
        <f t="shared" si="19"/>
        <v>5</v>
      </c>
      <c r="AO19" s="203">
        <v>0</v>
      </c>
      <c r="AP19" s="203"/>
      <c r="AQ19" s="203">
        <f t="shared" si="13"/>
        <v>10</v>
      </c>
      <c r="AR19" s="198"/>
      <c r="AS19" s="198"/>
      <c r="AT19" s="198"/>
      <c r="AU19" s="198"/>
      <c r="AV19" s="198"/>
      <c r="AW19" s="198"/>
      <c r="AX19" s="198"/>
      <c r="AY19" s="198"/>
      <c r="AZ19" s="198"/>
      <c r="BA19" s="198"/>
      <c r="BB19" s="198"/>
      <c r="BC19" s="198"/>
      <c r="BD19" s="198"/>
      <c r="BE19" s="198"/>
      <c r="BF19" s="198"/>
      <c r="BG19" s="198"/>
      <c r="BH19" s="198"/>
      <c r="BI19" s="198"/>
      <c r="BJ19" s="198"/>
      <c r="BK19" s="198"/>
      <c r="BL19" s="198"/>
      <c r="BM19" s="198"/>
      <c r="BN19" s="198"/>
    </row>
    <row r="20" spans="1:66" x14ac:dyDescent="0.2">
      <c r="A20" s="199">
        <v>15</v>
      </c>
      <c r="B20" s="199">
        <v>5035</v>
      </c>
      <c r="C20" s="199">
        <v>0</v>
      </c>
      <c r="D20" s="199">
        <v>24185</v>
      </c>
      <c r="E20" s="199"/>
      <c r="F20" s="199">
        <f t="shared" si="1"/>
        <v>29220</v>
      </c>
      <c r="G20" s="199"/>
      <c r="H20" s="199">
        <v>0</v>
      </c>
      <c r="I20" s="199">
        <v>36304</v>
      </c>
      <c r="J20" s="199">
        <f t="shared" si="17"/>
        <v>450</v>
      </c>
      <c r="K20" s="199">
        <f t="shared" si="2"/>
        <v>66424</v>
      </c>
      <c r="L20" s="199"/>
      <c r="M20" s="199">
        <f t="shared" si="14"/>
        <v>94949</v>
      </c>
      <c r="N20" s="268">
        <f t="shared" si="3"/>
        <v>0</v>
      </c>
      <c r="O20" s="268">
        <f t="shared" si="4"/>
        <v>0</v>
      </c>
      <c r="P20" s="269">
        <f t="shared" si="5"/>
        <v>4.4603000000000002</v>
      </c>
      <c r="Q20" s="268"/>
      <c r="R20" s="267">
        <f t="shared" si="6"/>
        <v>8566</v>
      </c>
      <c r="S20" s="268"/>
      <c r="T20" s="267">
        <v>0</v>
      </c>
      <c r="U20" s="269">
        <f t="shared" si="7"/>
        <v>4.4803000000000006</v>
      </c>
      <c r="V20" s="199"/>
      <c r="W20" s="210">
        <f t="shared" si="15"/>
        <v>21554</v>
      </c>
      <c r="X20" s="211">
        <v>36304</v>
      </c>
      <c r="Y20" s="212">
        <f t="shared" si="8"/>
        <v>57858</v>
      </c>
      <c r="Z20" s="199"/>
      <c r="AA20" s="267">
        <f t="shared" si="0"/>
        <v>0</v>
      </c>
      <c r="AB20" s="199"/>
      <c r="AC20" s="265">
        <v>4.3550000000000004</v>
      </c>
      <c r="AD20" s="213">
        <f t="shared" si="9"/>
        <v>4.3450000000000006</v>
      </c>
      <c r="AE20" s="266">
        <f t="shared" si="10"/>
        <v>0</v>
      </c>
      <c r="AF20" s="214"/>
      <c r="AG20" s="270">
        <f t="shared" si="11"/>
        <v>0.19249999999999901</v>
      </c>
      <c r="AH20" s="271">
        <f t="shared" si="12"/>
        <v>0</v>
      </c>
      <c r="AI20" s="203"/>
      <c r="AJ20" s="203"/>
      <c r="AK20" s="203">
        <f t="shared" si="16"/>
        <v>0</v>
      </c>
      <c r="AL20" s="203">
        <v>3</v>
      </c>
      <c r="AM20" s="203">
        <f t="shared" si="18"/>
        <v>2</v>
      </c>
      <c r="AN20" s="203">
        <f t="shared" si="19"/>
        <v>5</v>
      </c>
      <c r="AO20" s="203">
        <v>0</v>
      </c>
      <c r="AP20" s="203"/>
      <c r="AQ20" s="203">
        <f t="shared" si="13"/>
        <v>10</v>
      </c>
      <c r="AR20" s="198"/>
      <c r="AS20" s="198"/>
      <c r="AT20" s="198"/>
      <c r="AU20" s="198"/>
      <c r="AV20" s="198"/>
      <c r="AW20" s="198"/>
      <c r="AX20" s="198"/>
      <c r="AY20" s="198"/>
      <c r="AZ20" s="198"/>
      <c r="BA20" s="198"/>
      <c r="BB20" s="198"/>
      <c r="BC20" s="198"/>
      <c r="BD20" s="198"/>
      <c r="BE20" s="198"/>
      <c r="BF20" s="198"/>
      <c r="BG20" s="198"/>
      <c r="BH20" s="198"/>
      <c r="BI20" s="198"/>
      <c r="BJ20" s="198"/>
      <c r="BK20" s="198"/>
      <c r="BL20" s="198"/>
      <c r="BM20" s="198"/>
      <c r="BN20" s="198"/>
    </row>
    <row r="21" spans="1:66" x14ac:dyDescent="0.2">
      <c r="A21" s="199">
        <v>16</v>
      </c>
      <c r="B21" s="199">
        <v>4935</v>
      </c>
      <c r="C21" s="199">
        <v>0</v>
      </c>
      <c r="D21" s="199">
        <v>24185</v>
      </c>
      <c r="E21" s="199"/>
      <c r="F21" s="199">
        <f t="shared" si="1"/>
        <v>29120</v>
      </c>
      <c r="G21" s="199"/>
      <c r="H21" s="199">
        <v>0</v>
      </c>
      <c r="I21" s="199">
        <v>36304</v>
      </c>
      <c r="J21" s="199">
        <f t="shared" si="17"/>
        <v>450</v>
      </c>
      <c r="K21" s="199">
        <f t="shared" si="2"/>
        <v>66324</v>
      </c>
      <c r="L21" s="199"/>
      <c r="M21" s="199">
        <f t="shared" si="14"/>
        <v>94949</v>
      </c>
      <c r="N21" s="268">
        <f t="shared" si="3"/>
        <v>0</v>
      </c>
      <c r="O21" s="268">
        <f t="shared" si="4"/>
        <v>0</v>
      </c>
      <c r="P21" s="269">
        <f t="shared" si="5"/>
        <v>4.6852999999999998</v>
      </c>
      <c r="Q21" s="268"/>
      <c r="R21" s="267">
        <f t="shared" si="6"/>
        <v>8466</v>
      </c>
      <c r="S21" s="268"/>
      <c r="T21" s="267">
        <v>0</v>
      </c>
      <c r="U21" s="269">
        <f t="shared" si="7"/>
        <v>4.7053000000000003</v>
      </c>
      <c r="V21" s="199"/>
      <c r="W21" s="210">
        <f t="shared" si="15"/>
        <v>21554</v>
      </c>
      <c r="X21" s="211">
        <v>36304</v>
      </c>
      <c r="Y21" s="212">
        <f t="shared" si="8"/>
        <v>57858</v>
      </c>
      <c r="Z21" s="199"/>
      <c r="AA21" s="267">
        <f t="shared" si="0"/>
        <v>0</v>
      </c>
      <c r="AB21" s="199"/>
      <c r="AC21" s="265">
        <v>4.58</v>
      </c>
      <c r="AD21" s="213">
        <f t="shared" si="9"/>
        <v>4.57</v>
      </c>
      <c r="AE21" s="266">
        <f t="shared" si="10"/>
        <v>0</v>
      </c>
      <c r="AF21" s="214"/>
      <c r="AG21" s="270">
        <f t="shared" si="11"/>
        <v>-3.2500000000000639E-2</v>
      </c>
      <c r="AH21" s="271">
        <f t="shared" si="12"/>
        <v>0</v>
      </c>
      <c r="AI21" s="203"/>
      <c r="AJ21" s="203"/>
      <c r="AK21" s="203">
        <f t="shared" si="16"/>
        <v>0</v>
      </c>
      <c r="AL21" s="203">
        <v>3</v>
      </c>
      <c r="AM21" s="203">
        <f t="shared" si="18"/>
        <v>2</v>
      </c>
      <c r="AN21" s="203">
        <f t="shared" si="19"/>
        <v>5</v>
      </c>
      <c r="AO21" s="203">
        <v>0</v>
      </c>
      <c r="AP21" s="203"/>
      <c r="AQ21" s="203">
        <f t="shared" si="13"/>
        <v>10</v>
      </c>
      <c r="AR21" s="198"/>
      <c r="AS21" s="198"/>
      <c r="AT21" s="198"/>
      <c r="AU21" s="198"/>
      <c r="AV21" s="198"/>
      <c r="AW21" s="198"/>
      <c r="AX21" s="198"/>
      <c r="AY21" s="198"/>
      <c r="AZ21" s="198"/>
      <c r="BA21" s="198"/>
      <c r="BB21" s="198"/>
      <c r="BC21" s="198"/>
      <c r="BD21" s="198"/>
      <c r="BE21" s="198"/>
      <c r="BF21" s="198"/>
      <c r="BG21" s="198"/>
      <c r="BH21" s="198"/>
      <c r="BI21" s="198"/>
      <c r="BJ21" s="198"/>
      <c r="BK21" s="198"/>
      <c r="BL21" s="198"/>
      <c r="BM21" s="198"/>
      <c r="BN21" s="198"/>
    </row>
    <row r="22" spans="1:66" x14ac:dyDescent="0.2">
      <c r="A22" s="199">
        <v>17</v>
      </c>
      <c r="B22" s="199">
        <v>4935</v>
      </c>
      <c r="C22" s="199">
        <v>0</v>
      </c>
      <c r="D22" s="199">
        <v>24185</v>
      </c>
      <c r="E22" s="199"/>
      <c r="F22" s="199">
        <f t="shared" si="1"/>
        <v>29120</v>
      </c>
      <c r="G22" s="199"/>
      <c r="H22" s="199">
        <v>0</v>
      </c>
      <c r="I22" s="199">
        <v>36304</v>
      </c>
      <c r="J22" s="199">
        <f t="shared" si="17"/>
        <v>450</v>
      </c>
      <c r="K22" s="199">
        <f t="shared" si="2"/>
        <v>66324</v>
      </c>
      <c r="L22" s="199"/>
      <c r="M22" s="199">
        <f t="shared" si="14"/>
        <v>94949</v>
      </c>
      <c r="N22" s="268">
        <f t="shared" si="3"/>
        <v>0</v>
      </c>
      <c r="O22" s="268">
        <f t="shared" si="4"/>
        <v>0</v>
      </c>
      <c r="P22" s="269">
        <f t="shared" si="5"/>
        <v>4.7302999999999997</v>
      </c>
      <c r="Q22" s="268"/>
      <c r="R22" s="267">
        <f t="shared" si="6"/>
        <v>8466</v>
      </c>
      <c r="S22" s="268"/>
      <c r="T22" s="267">
        <v>0</v>
      </c>
      <c r="U22" s="269">
        <f t="shared" si="7"/>
        <v>4.7503000000000002</v>
      </c>
      <c r="V22" s="199"/>
      <c r="W22" s="210">
        <f t="shared" si="15"/>
        <v>21554</v>
      </c>
      <c r="X22" s="211">
        <v>36304</v>
      </c>
      <c r="Y22" s="212">
        <f t="shared" si="8"/>
        <v>57858</v>
      </c>
      <c r="Z22" s="199"/>
      <c r="AA22" s="267">
        <f t="shared" si="0"/>
        <v>0</v>
      </c>
      <c r="AB22" s="199"/>
      <c r="AC22" s="265">
        <v>4.625</v>
      </c>
      <c r="AD22" s="213">
        <f t="shared" si="9"/>
        <v>4.6150000000000002</v>
      </c>
      <c r="AE22" s="266">
        <f t="shared" si="10"/>
        <v>0</v>
      </c>
      <c r="AF22" s="214"/>
      <c r="AG22" s="270">
        <f t="shared" si="11"/>
        <v>-7.7500000000000568E-2</v>
      </c>
      <c r="AH22" s="271">
        <f t="shared" si="12"/>
        <v>0</v>
      </c>
      <c r="AI22" s="203"/>
      <c r="AJ22" s="203"/>
      <c r="AK22" s="203">
        <f t="shared" si="16"/>
        <v>0</v>
      </c>
      <c r="AL22" s="203">
        <v>3</v>
      </c>
      <c r="AM22" s="203">
        <f t="shared" si="18"/>
        <v>2</v>
      </c>
      <c r="AN22" s="203">
        <f t="shared" si="19"/>
        <v>5</v>
      </c>
      <c r="AO22" s="203">
        <v>0</v>
      </c>
      <c r="AP22" s="203"/>
      <c r="AQ22" s="203">
        <f t="shared" si="13"/>
        <v>10</v>
      </c>
      <c r="AR22" s="198"/>
      <c r="AS22" s="198"/>
      <c r="AT22" s="198"/>
      <c r="AU22" s="198"/>
      <c r="AV22" s="198"/>
      <c r="AW22" s="198"/>
      <c r="AX22" s="198"/>
      <c r="AY22" s="198"/>
      <c r="AZ22" s="198"/>
      <c r="BA22" s="198"/>
      <c r="BB22" s="198"/>
      <c r="BC22" s="198"/>
      <c r="BD22" s="198"/>
      <c r="BE22" s="198"/>
      <c r="BF22" s="198"/>
      <c r="BG22" s="198"/>
      <c r="BH22" s="198"/>
      <c r="BI22" s="198"/>
      <c r="BJ22" s="198"/>
      <c r="BK22" s="198"/>
      <c r="BL22" s="198"/>
      <c r="BM22" s="198"/>
      <c r="BN22" s="198"/>
    </row>
    <row r="23" spans="1:66" x14ac:dyDescent="0.2">
      <c r="A23" s="199">
        <v>18</v>
      </c>
      <c r="B23" s="199">
        <v>4935</v>
      </c>
      <c r="C23" s="199">
        <v>0</v>
      </c>
      <c r="D23" s="199">
        <v>24185</v>
      </c>
      <c r="E23" s="199"/>
      <c r="F23" s="199">
        <f t="shared" si="1"/>
        <v>29120</v>
      </c>
      <c r="G23" s="199"/>
      <c r="H23" s="199">
        <v>0</v>
      </c>
      <c r="I23" s="199">
        <v>36304</v>
      </c>
      <c r="J23" s="199">
        <f t="shared" si="17"/>
        <v>450</v>
      </c>
      <c r="K23" s="199">
        <f t="shared" si="2"/>
        <v>66324</v>
      </c>
      <c r="L23" s="199"/>
      <c r="M23" s="199">
        <f t="shared" si="14"/>
        <v>94949</v>
      </c>
      <c r="N23" s="268">
        <f t="shared" si="3"/>
        <v>0</v>
      </c>
      <c r="O23" s="268">
        <f t="shared" si="4"/>
        <v>0</v>
      </c>
      <c r="P23" s="269">
        <f t="shared" si="5"/>
        <v>4.6552999999999995</v>
      </c>
      <c r="Q23" s="268"/>
      <c r="R23" s="267">
        <f t="shared" si="6"/>
        <v>8466</v>
      </c>
      <c r="S23" s="268"/>
      <c r="T23" s="267">
        <v>0</v>
      </c>
      <c r="U23" s="269">
        <f t="shared" si="7"/>
        <v>4.6753</v>
      </c>
      <c r="V23" s="199"/>
      <c r="W23" s="210">
        <f t="shared" si="15"/>
        <v>21554</v>
      </c>
      <c r="X23" s="211">
        <v>36304</v>
      </c>
      <c r="Y23" s="212">
        <f t="shared" si="8"/>
        <v>57858</v>
      </c>
      <c r="Z23" s="199"/>
      <c r="AA23" s="267">
        <f t="shared" si="0"/>
        <v>0</v>
      </c>
      <c r="AB23" s="199"/>
      <c r="AC23" s="265">
        <f>+AC24</f>
        <v>4.55</v>
      </c>
      <c r="AD23" s="213">
        <f t="shared" si="9"/>
        <v>4.54</v>
      </c>
      <c r="AE23" s="266">
        <f t="shared" si="10"/>
        <v>0</v>
      </c>
      <c r="AF23" s="214"/>
      <c r="AG23" s="270">
        <f t="shared" si="11"/>
        <v>-2.5000000000003908E-3</v>
      </c>
      <c r="AH23" s="271">
        <f t="shared" si="12"/>
        <v>0</v>
      </c>
      <c r="AI23" s="203"/>
      <c r="AJ23" s="203"/>
      <c r="AK23" s="203">
        <f t="shared" si="16"/>
        <v>0</v>
      </c>
      <c r="AL23" s="203">
        <v>3</v>
      </c>
      <c r="AM23" s="203">
        <f t="shared" si="18"/>
        <v>2</v>
      </c>
      <c r="AN23" s="203">
        <f t="shared" si="19"/>
        <v>5</v>
      </c>
      <c r="AO23" s="203">
        <v>0</v>
      </c>
      <c r="AP23" s="203"/>
      <c r="AQ23" s="203">
        <f t="shared" si="13"/>
        <v>10</v>
      </c>
      <c r="AR23" s="198"/>
      <c r="AS23" s="198"/>
      <c r="AT23" s="198"/>
      <c r="AU23" s="198"/>
      <c r="AV23" s="198"/>
      <c r="AW23" s="198"/>
      <c r="AX23" s="198"/>
      <c r="AY23" s="198"/>
      <c r="AZ23" s="198"/>
      <c r="BA23" s="198"/>
      <c r="BB23" s="198"/>
      <c r="BC23" s="198"/>
      <c r="BD23" s="198"/>
      <c r="BE23" s="198"/>
      <c r="BF23" s="198"/>
      <c r="BG23" s="198"/>
      <c r="BH23" s="198"/>
      <c r="BI23" s="198"/>
      <c r="BJ23" s="198"/>
      <c r="BK23" s="198"/>
      <c r="BL23" s="198"/>
      <c r="BM23" s="198"/>
      <c r="BN23" s="198"/>
    </row>
    <row r="24" spans="1:66" x14ac:dyDescent="0.2">
      <c r="A24" s="199">
        <v>19</v>
      </c>
      <c r="B24" s="199">
        <v>4935</v>
      </c>
      <c r="C24" s="199">
        <v>0</v>
      </c>
      <c r="D24" s="199">
        <v>24185</v>
      </c>
      <c r="E24" s="199"/>
      <c r="F24" s="199">
        <f t="shared" si="1"/>
        <v>29120</v>
      </c>
      <c r="G24" s="199"/>
      <c r="H24" s="199">
        <v>0</v>
      </c>
      <c r="I24" s="199">
        <v>36304</v>
      </c>
      <c r="J24" s="199">
        <f t="shared" si="17"/>
        <v>450</v>
      </c>
      <c r="K24" s="199">
        <f t="shared" si="2"/>
        <v>66324</v>
      </c>
      <c r="L24" s="199"/>
      <c r="M24" s="199">
        <f t="shared" si="14"/>
        <v>94949</v>
      </c>
      <c r="N24" s="268">
        <f t="shared" si="3"/>
        <v>0</v>
      </c>
      <c r="O24" s="268">
        <f t="shared" si="4"/>
        <v>0</v>
      </c>
      <c r="P24" s="269">
        <f t="shared" si="5"/>
        <v>4.6552999999999995</v>
      </c>
      <c r="Q24" s="268"/>
      <c r="R24" s="267">
        <f t="shared" si="6"/>
        <v>8466</v>
      </c>
      <c r="S24" s="268"/>
      <c r="T24" s="267">
        <v>0</v>
      </c>
      <c r="U24" s="269">
        <f t="shared" si="7"/>
        <v>4.6753</v>
      </c>
      <c r="V24" s="199"/>
      <c r="W24" s="210">
        <f t="shared" si="15"/>
        <v>21554</v>
      </c>
      <c r="X24" s="211">
        <v>36304</v>
      </c>
      <c r="Y24" s="212">
        <f t="shared" si="8"/>
        <v>57858</v>
      </c>
      <c r="Z24" s="199"/>
      <c r="AA24" s="267">
        <f t="shared" si="0"/>
        <v>0</v>
      </c>
      <c r="AB24" s="199"/>
      <c r="AC24" s="265">
        <f>+AC25</f>
        <v>4.55</v>
      </c>
      <c r="AD24" s="213">
        <f t="shared" si="9"/>
        <v>4.54</v>
      </c>
      <c r="AE24" s="266">
        <f t="shared" si="10"/>
        <v>0</v>
      </c>
      <c r="AF24" s="214"/>
      <c r="AG24" s="270">
        <f t="shared" si="11"/>
        <v>-2.5000000000003908E-3</v>
      </c>
      <c r="AH24" s="271">
        <f t="shared" si="12"/>
        <v>0</v>
      </c>
      <c r="AI24" s="203"/>
      <c r="AJ24" s="203"/>
      <c r="AK24" s="203">
        <f t="shared" si="16"/>
        <v>0</v>
      </c>
      <c r="AL24" s="203">
        <v>3</v>
      </c>
      <c r="AM24" s="203">
        <f t="shared" si="18"/>
        <v>2</v>
      </c>
      <c r="AN24" s="203">
        <f t="shared" si="19"/>
        <v>5</v>
      </c>
      <c r="AO24" s="203">
        <v>0</v>
      </c>
      <c r="AP24" s="203"/>
      <c r="AQ24" s="203">
        <f t="shared" si="13"/>
        <v>10</v>
      </c>
      <c r="AR24" s="198"/>
      <c r="AS24" s="198"/>
      <c r="AT24" s="198"/>
      <c r="AU24" s="198"/>
      <c r="AV24" s="198"/>
      <c r="AW24" s="198"/>
      <c r="AX24" s="198"/>
      <c r="AY24" s="198"/>
      <c r="AZ24" s="198"/>
      <c r="BA24" s="198"/>
      <c r="BB24" s="198"/>
      <c r="BC24" s="198"/>
      <c r="BD24" s="198"/>
      <c r="BE24" s="198"/>
      <c r="BF24" s="198"/>
      <c r="BG24" s="198"/>
      <c r="BH24" s="198"/>
      <c r="BI24" s="198"/>
      <c r="BJ24" s="198"/>
      <c r="BK24" s="198"/>
      <c r="BL24" s="198"/>
      <c r="BM24" s="198"/>
      <c r="BN24" s="198"/>
    </row>
    <row r="25" spans="1:66" x14ac:dyDescent="0.2">
      <c r="A25" s="199">
        <v>20</v>
      </c>
      <c r="B25" s="199">
        <v>4935</v>
      </c>
      <c r="C25" s="199">
        <v>0</v>
      </c>
      <c r="D25" s="199">
        <v>24185</v>
      </c>
      <c r="E25" s="199"/>
      <c r="F25" s="199">
        <f t="shared" si="1"/>
        <v>29120</v>
      </c>
      <c r="G25" s="199"/>
      <c r="H25" s="199">
        <v>0</v>
      </c>
      <c r="I25" s="199">
        <v>36304</v>
      </c>
      <c r="J25" s="199">
        <f t="shared" si="17"/>
        <v>450</v>
      </c>
      <c r="K25" s="199">
        <f t="shared" si="2"/>
        <v>66324</v>
      </c>
      <c r="L25" s="199"/>
      <c r="M25" s="199">
        <f t="shared" si="14"/>
        <v>94949</v>
      </c>
      <c r="N25" s="268">
        <f t="shared" si="3"/>
        <v>0</v>
      </c>
      <c r="O25" s="268">
        <f t="shared" si="4"/>
        <v>0</v>
      </c>
      <c r="P25" s="269">
        <f t="shared" si="5"/>
        <v>4.6552999999999995</v>
      </c>
      <c r="Q25" s="268"/>
      <c r="R25" s="267">
        <f t="shared" si="6"/>
        <v>8466</v>
      </c>
      <c r="S25" s="268"/>
      <c r="T25" s="267">
        <v>0</v>
      </c>
      <c r="U25" s="269">
        <f t="shared" si="7"/>
        <v>4.6753</v>
      </c>
      <c r="V25" s="199"/>
      <c r="W25" s="210">
        <f t="shared" si="15"/>
        <v>21554</v>
      </c>
      <c r="X25" s="211">
        <v>36304</v>
      </c>
      <c r="Y25" s="212">
        <f t="shared" si="8"/>
        <v>57858</v>
      </c>
      <c r="Z25" s="199"/>
      <c r="AA25" s="267">
        <f t="shared" si="0"/>
        <v>0</v>
      </c>
      <c r="AB25" s="199"/>
      <c r="AC25" s="265">
        <v>4.55</v>
      </c>
      <c r="AD25" s="213">
        <f t="shared" si="9"/>
        <v>4.54</v>
      </c>
      <c r="AE25" s="266">
        <f t="shared" si="10"/>
        <v>0</v>
      </c>
      <c r="AF25" s="214"/>
      <c r="AG25" s="270">
        <f t="shared" si="11"/>
        <v>-2.5000000000003908E-3</v>
      </c>
      <c r="AH25" s="271">
        <f t="shared" si="12"/>
        <v>0</v>
      </c>
      <c r="AI25" s="203"/>
      <c r="AJ25" s="203"/>
      <c r="AK25" s="203">
        <f t="shared" si="16"/>
        <v>0</v>
      </c>
      <c r="AL25" s="203">
        <v>3</v>
      </c>
      <c r="AM25" s="203">
        <f t="shared" si="18"/>
        <v>2</v>
      </c>
      <c r="AN25" s="203">
        <f t="shared" si="19"/>
        <v>5</v>
      </c>
      <c r="AO25" s="203">
        <v>0</v>
      </c>
      <c r="AP25" s="203"/>
      <c r="AQ25" s="203">
        <f t="shared" si="13"/>
        <v>10</v>
      </c>
      <c r="AR25" s="198"/>
      <c r="AS25" s="198"/>
      <c r="AT25" s="198"/>
      <c r="AU25" s="198"/>
      <c r="AV25" s="198"/>
      <c r="AW25" s="198"/>
      <c r="AX25" s="198"/>
      <c r="AY25" s="198"/>
      <c r="AZ25" s="198"/>
      <c r="BA25" s="198"/>
      <c r="BB25" s="198"/>
      <c r="BC25" s="198"/>
      <c r="BD25" s="198"/>
      <c r="BE25" s="198"/>
      <c r="BF25" s="198"/>
      <c r="BG25" s="198"/>
      <c r="BH25" s="198"/>
      <c r="BI25" s="198"/>
      <c r="BJ25" s="198"/>
      <c r="BK25" s="198"/>
      <c r="BL25" s="198"/>
      <c r="BM25" s="198"/>
      <c r="BN25" s="198"/>
    </row>
    <row r="26" spans="1:66" x14ac:dyDescent="0.2">
      <c r="A26" s="199">
        <v>21</v>
      </c>
      <c r="B26" s="199">
        <v>4935</v>
      </c>
      <c r="C26" s="199">
        <v>0</v>
      </c>
      <c r="D26" s="199">
        <v>24185</v>
      </c>
      <c r="E26" s="199"/>
      <c r="F26" s="199">
        <f t="shared" si="1"/>
        <v>29120</v>
      </c>
      <c r="G26" s="199"/>
      <c r="H26" s="199">
        <v>0</v>
      </c>
      <c r="I26" s="199">
        <v>36304</v>
      </c>
      <c r="J26" s="199">
        <f t="shared" si="17"/>
        <v>450</v>
      </c>
      <c r="K26" s="199">
        <f t="shared" si="2"/>
        <v>66324</v>
      </c>
      <c r="L26" s="199"/>
      <c r="M26" s="199">
        <f t="shared" si="14"/>
        <v>94949</v>
      </c>
      <c r="N26" s="268">
        <f t="shared" si="3"/>
        <v>0</v>
      </c>
      <c r="O26" s="268">
        <f t="shared" si="4"/>
        <v>0</v>
      </c>
      <c r="P26" s="269">
        <f t="shared" si="5"/>
        <v>4.3202999999999996</v>
      </c>
      <c r="Q26" s="268"/>
      <c r="R26" s="267">
        <f t="shared" si="6"/>
        <v>8466</v>
      </c>
      <c r="S26" s="268"/>
      <c r="T26" s="267">
        <v>0</v>
      </c>
      <c r="U26" s="269">
        <f t="shared" si="7"/>
        <v>4.3403</v>
      </c>
      <c r="V26" s="199"/>
      <c r="W26" s="210">
        <f t="shared" si="15"/>
        <v>21554</v>
      </c>
      <c r="X26" s="211">
        <v>36304</v>
      </c>
      <c r="Y26" s="212">
        <f t="shared" si="8"/>
        <v>57858</v>
      </c>
      <c r="Z26" s="199"/>
      <c r="AA26" s="267">
        <f t="shared" si="0"/>
        <v>0</v>
      </c>
      <c r="AB26" s="199"/>
      <c r="AC26" s="265">
        <v>4.2149999999999999</v>
      </c>
      <c r="AD26" s="213">
        <f t="shared" si="9"/>
        <v>4.2050000000000001</v>
      </c>
      <c r="AE26" s="266">
        <f t="shared" si="10"/>
        <v>0</v>
      </c>
      <c r="AF26" s="214"/>
      <c r="AG26" s="270">
        <f t="shared" si="11"/>
        <v>0.33249999999999957</v>
      </c>
      <c r="AH26" s="271">
        <f t="shared" si="12"/>
        <v>0</v>
      </c>
      <c r="AI26" s="203"/>
      <c r="AJ26" s="203"/>
      <c r="AK26" s="203">
        <f t="shared" si="16"/>
        <v>0</v>
      </c>
      <c r="AL26" s="203">
        <v>3</v>
      </c>
      <c r="AM26" s="203">
        <f t="shared" si="18"/>
        <v>2</v>
      </c>
      <c r="AN26" s="203">
        <f t="shared" si="19"/>
        <v>5</v>
      </c>
      <c r="AO26" s="203">
        <v>0</v>
      </c>
      <c r="AP26" s="203"/>
      <c r="AQ26" s="203">
        <f t="shared" si="13"/>
        <v>10</v>
      </c>
      <c r="AR26" s="198"/>
      <c r="AS26" s="198"/>
      <c r="AT26" s="198"/>
      <c r="AU26" s="198"/>
      <c r="AV26" s="198"/>
      <c r="AW26" s="198"/>
      <c r="AX26" s="198"/>
      <c r="AY26" s="198"/>
      <c r="AZ26" s="198"/>
      <c r="BA26" s="198"/>
      <c r="BB26" s="198"/>
      <c r="BC26" s="198"/>
      <c r="BD26" s="198"/>
      <c r="BE26" s="198"/>
      <c r="BF26" s="198"/>
      <c r="BG26" s="198"/>
      <c r="BH26" s="198"/>
      <c r="BI26" s="198"/>
      <c r="BJ26" s="198"/>
      <c r="BK26" s="198"/>
      <c r="BL26" s="198"/>
      <c r="BM26" s="198"/>
      <c r="BN26" s="198"/>
    </row>
    <row r="27" spans="1:66" x14ac:dyDescent="0.2">
      <c r="A27" s="199">
        <v>22</v>
      </c>
      <c r="B27" s="199">
        <v>4935</v>
      </c>
      <c r="C27" s="199">
        <v>0</v>
      </c>
      <c r="D27" s="199">
        <v>24183</v>
      </c>
      <c r="E27" s="199"/>
      <c r="F27" s="199">
        <f t="shared" si="1"/>
        <v>29118</v>
      </c>
      <c r="G27" s="199"/>
      <c r="H27" s="199">
        <v>0</v>
      </c>
      <c r="I27" s="199">
        <v>36304</v>
      </c>
      <c r="J27" s="199">
        <f t="shared" si="17"/>
        <v>450</v>
      </c>
      <c r="K27" s="199">
        <f t="shared" si="2"/>
        <v>66322</v>
      </c>
      <c r="L27" s="199"/>
      <c r="M27" s="199">
        <f t="shared" si="14"/>
        <v>94949</v>
      </c>
      <c r="N27" s="268">
        <f t="shared" si="3"/>
        <v>0</v>
      </c>
      <c r="O27" s="268">
        <f t="shared" si="4"/>
        <v>0</v>
      </c>
      <c r="P27" s="269">
        <f t="shared" si="5"/>
        <v>4.4452999999999996</v>
      </c>
      <c r="Q27" s="268"/>
      <c r="R27" s="267">
        <f t="shared" si="6"/>
        <v>8464</v>
      </c>
      <c r="S27" s="268"/>
      <c r="T27" s="267">
        <v>0</v>
      </c>
      <c r="U27" s="269">
        <f t="shared" si="7"/>
        <v>4.4653</v>
      </c>
      <c r="V27" s="199"/>
      <c r="W27" s="210">
        <f t="shared" si="15"/>
        <v>21554</v>
      </c>
      <c r="X27" s="211">
        <v>36304</v>
      </c>
      <c r="Y27" s="212">
        <f t="shared" si="8"/>
        <v>57858</v>
      </c>
      <c r="Z27" s="199"/>
      <c r="AA27" s="267">
        <f t="shared" si="0"/>
        <v>0</v>
      </c>
      <c r="AB27" s="199"/>
      <c r="AC27" s="265">
        <v>4.34</v>
      </c>
      <c r="AD27" s="213">
        <f t="shared" si="9"/>
        <v>4.33</v>
      </c>
      <c r="AE27" s="266">
        <f t="shared" si="10"/>
        <v>0</v>
      </c>
      <c r="AF27" s="214"/>
      <c r="AG27" s="270">
        <f t="shared" si="11"/>
        <v>0.20749999999999957</v>
      </c>
      <c r="AH27" s="271">
        <f t="shared" si="12"/>
        <v>0</v>
      </c>
      <c r="AI27" s="203"/>
      <c r="AJ27" s="203"/>
      <c r="AK27" s="203">
        <f t="shared" si="16"/>
        <v>0</v>
      </c>
      <c r="AL27" s="203">
        <v>3</v>
      </c>
      <c r="AM27" s="203">
        <f t="shared" si="18"/>
        <v>2</v>
      </c>
      <c r="AN27" s="203">
        <f t="shared" si="19"/>
        <v>5</v>
      </c>
      <c r="AO27" s="203">
        <v>0</v>
      </c>
      <c r="AP27" s="203"/>
      <c r="AQ27" s="203">
        <f t="shared" si="13"/>
        <v>10</v>
      </c>
      <c r="AR27" s="198"/>
      <c r="AS27" s="198"/>
      <c r="AT27" s="198"/>
      <c r="AU27" s="198"/>
      <c r="AV27" s="198"/>
      <c r="AW27" s="198"/>
      <c r="AX27" s="198"/>
      <c r="AY27" s="198"/>
      <c r="AZ27" s="198"/>
      <c r="BA27" s="198"/>
      <c r="BB27" s="198"/>
      <c r="BC27" s="198"/>
      <c r="BD27" s="198"/>
      <c r="BE27" s="198"/>
      <c r="BF27" s="198"/>
      <c r="BG27" s="198"/>
      <c r="BH27" s="198"/>
      <c r="BI27" s="198"/>
      <c r="BJ27" s="198"/>
      <c r="BK27" s="198"/>
      <c r="BL27" s="198"/>
      <c r="BM27" s="198"/>
      <c r="BN27" s="198"/>
    </row>
    <row r="28" spans="1:66" x14ac:dyDescent="0.2">
      <c r="A28" s="199">
        <v>23</v>
      </c>
      <c r="B28" s="199">
        <v>4935</v>
      </c>
      <c r="C28" s="199">
        <v>0</v>
      </c>
      <c r="D28" s="199">
        <v>24183</v>
      </c>
      <c r="E28" s="199"/>
      <c r="F28" s="199">
        <f t="shared" si="1"/>
        <v>29118</v>
      </c>
      <c r="G28" s="199"/>
      <c r="H28" s="199">
        <v>0</v>
      </c>
      <c r="I28" s="199">
        <v>36304</v>
      </c>
      <c r="J28" s="199">
        <f t="shared" si="17"/>
        <v>450</v>
      </c>
      <c r="K28" s="199">
        <f t="shared" si="2"/>
        <v>66322</v>
      </c>
      <c r="L28" s="199"/>
      <c r="M28" s="199">
        <f t="shared" si="14"/>
        <v>94949</v>
      </c>
      <c r="N28" s="268">
        <f t="shared" si="3"/>
        <v>0</v>
      </c>
      <c r="O28" s="268">
        <f t="shared" si="4"/>
        <v>0</v>
      </c>
      <c r="P28" s="269">
        <f t="shared" si="5"/>
        <v>4.7202999999999999</v>
      </c>
      <c r="Q28" s="268"/>
      <c r="R28" s="267">
        <f t="shared" si="6"/>
        <v>8464</v>
      </c>
      <c r="S28" s="268"/>
      <c r="T28" s="267">
        <v>0</v>
      </c>
      <c r="U28" s="269">
        <f t="shared" si="7"/>
        <v>4.7403000000000004</v>
      </c>
      <c r="V28" s="199"/>
      <c r="W28" s="210">
        <f t="shared" si="15"/>
        <v>21554</v>
      </c>
      <c r="X28" s="211">
        <v>36304</v>
      </c>
      <c r="Y28" s="212">
        <f t="shared" si="8"/>
        <v>57858</v>
      </c>
      <c r="Z28" s="199"/>
      <c r="AA28" s="267">
        <f t="shared" si="0"/>
        <v>0</v>
      </c>
      <c r="AB28" s="199"/>
      <c r="AC28" s="265">
        <f>+AC29</f>
        <v>4.6150000000000002</v>
      </c>
      <c r="AD28" s="213">
        <f t="shared" si="9"/>
        <v>4.6050000000000004</v>
      </c>
      <c r="AE28" s="266">
        <f t="shared" si="10"/>
        <v>0</v>
      </c>
      <c r="AF28" s="214"/>
      <c r="AG28" s="270">
        <f t="shared" si="11"/>
        <v>-6.7500000000000782E-2</v>
      </c>
      <c r="AH28" s="271">
        <f t="shared" si="12"/>
        <v>0</v>
      </c>
      <c r="AI28" s="203"/>
      <c r="AJ28" s="203"/>
      <c r="AK28" s="203">
        <f t="shared" si="16"/>
        <v>0</v>
      </c>
      <c r="AL28" s="203">
        <v>3</v>
      </c>
      <c r="AM28" s="203">
        <f t="shared" si="18"/>
        <v>2</v>
      </c>
      <c r="AN28" s="203">
        <f t="shared" si="19"/>
        <v>5</v>
      </c>
      <c r="AO28" s="203">
        <v>0</v>
      </c>
      <c r="AP28" s="203"/>
      <c r="AQ28" s="203">
        <f t="shared" si="13"/>
        <v>10</v>
      </c>
      <c r="AR28" s="198"/>
      <c r="AS28" s="198"/>
      <c r="AT28" s="198"/>
      <c r="AU28" s="198"/>
      <c r="AV28" s="198"/>
      <c r="AW28" s="198"/>
      <c r="AX28" s="198"/>
      <c r="AY28" s="198"/>
      <c r="AZ28" s="198"/>
      <c r="BA28" s="198"/>
      <c r="BB28" s="198"/>
      <c r="BC28" s="198"/>
      <c r="BD28" s="198"/>
      <c r="BE28" s="198"/>
      <c r="BF28" s="198"/>
      <c r="BG28" s="198"/>
      <c r="BH28" s="198"/>
      <c r="BI28" s="198"/>
      <c r="BJ28" s="198"/>
      <c r="BK28" s="198"/>
      <c r="BL28" s="198"/>
      <c r="BM28" s="198"/>
      <c r="BN28" s="198"/>
    </row>
    <row r="29" spans="1:66" x14ac:dyDescent="0.2">
      <c r="A29" s="199">
        <v>24</v>
      </c>
      <c r="B29" s="199">
        <v>4935</v>
      </c>
      <c r="C29" s="199">
        <v>0</v>
      </c>
      <c r="D29" s="199">
        <v>24183</v>
      </c>
      <c r="E29" s="199"/>
      <c r="F29" s="199">
        <f t="shared" si="1"/>
        <v>29118</v>
      </c>
      <c r="G29" s="199"/>
      <c r="H29" s="199">
        <v>0</v>
      </c>
      <c r="I29" s="199">
        <v>36304</v>
      </c>
      <c r="J29" s="199">
        <f t="shared" si="17"/>
        <v>450</v>
      </c>
      <c r="K29" s="199">
        <f t="shared" si="2"/>
        <v>66322</v>
      </c>
      <c r="L29" s="199"/>
      <c r="M29" s="199">
        <f t="shared" si="14"/>
        <v>94949</v>
      </c>
      <c r="N29" s="268">
        <f t="shared" si="3"/>
        <v>0</v>
      </c>
      <c r="O29" s="268">
        <f t="shared" si="4"/>
        <v>0</v>
      </c>
      <c r="P29" s="269">
        <f t="shared" si="5"/>
        <v>4.7202999999999999</v>
      </c>
      <c r="Q29" s="268"/>
      <c r="R29" s="267">
        <f t="shared" si="6"/>
        <v>8464</v>
      </c>
      <c r="S29" s="268"/>
      <c r="T29" s="267">
        <v>0</v>
      </c>
      <c r="U29" s="269">
        <f t="shared" si="7"/>
        <v>4.7403000000000004</v>
      </c>
      <c r="V29" s="199"/>
      <c r="W29" s="210">
        <f t="shared" si="15"/>
        <v>21554</v>
      </c>
      <c r="X29" s="211">
        <v>36304</v>
      </c>
      <c r="Y29" s="212">
        <f t="shared" si="8"/>
        <v>57858</v>
      </c>
      <c r="Z29" s="199"/>
      <c r="AA29" s="267">
        <f t="shared" si="0"/>
        <v>0</v>
      </c>
      <c r="AB29" s="199"/>
      <c r="AC29" s="265">
        <f>+AC30</f>
        <v>4.6150000000000002</v>
      </c>
      <c r="AD29" s="213">
        <f t="shared" si="9"/>
        <v>4.6050000000000004</v>
      </c>
      <c r="AE29" s="266">
        <f t="shared" si="10"/>
        <v>0</v>
      </c>
      <c r="AF29" s="214"/>
      <c r="AG29" s="270">
        <f t="shared" si="11"/>
        <v>-6.7500000000000782E-2</v>
      </c>
      <c r="AH29" s="271">
        <f t="shared" si="12"/>
        <v>0</v>
      </c>
      <c r="AI29" s="203"/>
      <c r="AJ29" s="203"/>
      <c r="AK29" s="203">
        <f t="shared" si="16"/>
        <v>0</v>
      </c>
      <c r="AL29" s="203">
        <v>3</v>
      </c>
      <c r="AM29" s="203">
        <f t="shared" si="18"/>
        <v>2</v>
      </c>
      <c r="AN29" s="203">
        <f t="shared" si="19"/>
        <v>5</v>
      </c>
      <c r="AO29" s="203">
        <v>0</v>
      </c>
      <c r="AP29" s="203"/>
      <c r="AQ29" s="203">
        <f t="shared" si="13"/>
        <v>10</v>
      </c>
      <c r="AR29" s="198"/>
      <c r="AS29" s="198"/>
      <c r="AT29" s="198"/>
      <c r="AU29" s="198"/>
      <c r="AV29" s="198"/>
      <c r="AW29" s="198"/>
      <c r="AX29" s="198"/>
      <c r="AY29" s="198"/>
      <c r="AZ29" s="198"/>
      <c r="BA29" s="198"/>
      <c r="BB29" s="198"/>
      <c r="BC29" s="198"/>
      <c r="BD29" s="198"/>
      <c r="BE29" s="198"/>
      <c r="BF29" s="198"/>
      <c r="BG29" s="198"/>
      <c r="BH29" s="198"/>
      <c r="BI29" s="198"/>
      <c r="BJ29" s="198"/>
      <c r="BK29" s="198"/>
      <c r="BL29" s="198"/>
      <c r="BM29" s="198"/>
      <c r="BN29" s="198"/>
    </row>
    <row r="30" spans="1:66" x14ac:dyDescent="0.2">
      <c r="A30" s="199">
        <v>25</v>
      </c>
      <c r="B30" s="199">
        <v>4935</v>
      </c>
      <c r="C30" s="199">
        <v>0</v>
      </c>
      <c r="D30" s="199">
        <v>24183</v>
      </c>
      <c r="E30" s="199"/>
      <c r="F30" s="199">
        <f t="shared" si="1"/>
        <v>29118</v>
      </c>
      <c r="G30" s="199"/>
      <c r="H30" s="199">
        <v>0</v>
      </c>
      <c r="I30" s="199">
        <v>36304</v>
      </c>
      <c r="J30" s="199">
        <f t="shared" si="17"/>
        <v>450</v>
      </c>
      <c r="K30" s="199">
        <f t="shared" si="2"/>
        <v>66322</v>
      </c>
      <c r="L30" s="199"/>
      <c r="M30" s="199">
        <f t="shared" si="14"/>
        <v>94949</v>
      </c>
      <c r="N30" s="268">
        <f t="shared" si="3"/>
        <v>0</v>
      </c>
      <c r="O30" s="268">
        <f t="shared" si="4"/>
        <v>0</v>
      </c>
      <c r="P30" s="269">
        <f t="shared" si="5"/>
        <v>4.7202999999999999</v>
      </c>
      <c r="Q30" s="268"/>
      <c r="R30" s="267">
        <f t="shared" si="6"/>
        <v>8464</v>
      </c>
      <c r="S30" s="268"/>
      <c r="T30" s="267">
        <v>0</v>
      </c>
      <c r="U30" s="269">
        <f t="shared" si="7"/>
        <v>4.7403000000000004</v>
      </c>
      <c r="V30" s="199"/>
      <c r="W30" s="210">
        <f t="shared" si="15"/>
        <v>21554</v>
      </c>
      <c r="X30" s="211">
        <v>36304</v>
      </c>
      <c r="Y30" s="212">
        <f t="shared" si="8"/>
        <v>57858</v>
      </c>
      <c r="Z30" s="199"/>
      <c r="AA30" s="267">
        <f t="shared" si="0"/>
        <v>0</v>
      </c>
      <c r="AB30" s="199"/>
      <c r="AC30" s="265">
        <f>+AC31</f>
        <v>4.6150000000000002</v>
      </c>
      <c r="AD30" s="213">
        <f t="shared" si="9"/>
        <v>4.6050000000000004</v>
      </c>
      <c r="AE30" s="266">
        <f t="shared" si="10"/>
        <v>0</v>
      </c>
      <c r="AF30" s="214"/>
      <c r="AG30" s="270">
        <f t="shared" si="11"/>
        <v>-6.7500000000000782E-2</v>
      </c>
      <c r="AH30" s="271">
        <f t="shared" si="12"/>
        <v>0</v>
      </c>
      <c r="AI30" s="203"/>
      <c r="AJ30" s="203"/>
      <c r="AK30" s="203">
        <f t="shared" si="16"/>
        <v>0</v>
      </c>
      <c r="AL30" s="203">
        <v>3</v>
      </c>
      <c r="AM30" s="203">
        <f t="shared" si="18"/>
        <v>2</v>
      </c>
      <c r="AN30" s="203">
        <f t="shared" si="19"/>
        <v>5</v>
      </c>
      <c r="AO30" s="203">
        <v>0</v>
      </c>
      <c r="AP30" s="203"/>
      <c r="AQ30" s="203">
        <f t="shared" si="13"/>
        <v>10</v>
      </c>
      <c r="AR30" s="198"/>
      <c r="AS30" s="198"/>
      <c r="AT30" s="198"/>
      <c r="AU30" s="198"/>
      <c r="AV30" s="198"/>
      <c r="AW30" s="198"/>
      <c r="AX30" s="198"/>
      <c r="AY30" s="198"/>
      <c r="AZ30" s="198"/>
      <c r="BA30" s="198"/>
      <c r="BB30" s="198"/>
      <c r="BC30" s="198"/>
      <c r="BD30" s="198"/>
      <c r="BE30" s="198"/>
      <c r="BF30" s="198"/>
      <c r="BG30" s="198"/>
      <c r="BH30" s="198"/>
      <c r="BI30" s="198"/>
      <c r="BJ30" s="198"/>
      <c r="BK30" s="198"/>
      <c r="BL30" s="198"/>
      <c r="BM30" s="198"/>
      <c r="BN30" s="198"/>
    </row>
    <row r="31" spans="1:66" x14ac:dyDescent="0.2">
      <c r="A31" s="199">
        <v>26</v>
      </c>
      <c r="B31" s="199">
        <v>4935</v>
      </c>
      <c r="C31" s="199">
        <v>0</v>
      </c>
      <c r="D31" s="199">
        <v>24183</v>
      </c>
      <c r="E31" s="199"/>
      <c r="F31" s="199">
        <f t="shared" si="1"/>
        <v>29118</v>
      </c>
      <c r="G31" s="199"/>
      <c r="H31" s="199">
        <v>0</v>
      </c>
      <c r="I31" s="199">
        <v>36304</v>
      </c>
      <c r="J31" s="199">
        <f t="shared" si="17"/>
        <v>450</v>
      </c>
      <c r="K31" s="199">
        <f t="shared" si="2"/>
        <v>66322</v>
      </c>
      <c r="L31" s="199"/>
      <c r="M31" s="199">
        <f t="shared" si="14"/>
        <v>94949</v>
      </c>
      <c r="N31" s="268">
        <f t="shared" si="3"/>
        <v>0</v>
      </c>
      <c r="O31" s="268">
        <f t="shared" si="4"/>
        <v>0</v>
      </c>
      <c r="P31" s="269">
        <f t="shared" si="5"/>
        <v>4.7202999999999999</v>
      </c>
      <c r="Q31" s="268"/>
      <c r="R31" s="267">
        <f t="shared" si="6"/>
        <v>8464</v>
      </c>
      <c r="S31" s="268"/>
      <c r="T31" s="267">
        <v>0</v>
      </c>
      <c r="U31" s="269">
        <f t="shared" si="7"/>
        <v>4.7403000000000004</v>
      </c>
      <c r="V31" s="199"/>
      <c r="W31" s="210">
        <f t="shared" si="15"/>
        <v>21554</v>
      </c>
      <c r="X31" s="211">
        <v>36304</v>
      </c>
      <c r="Y31" s="212">
        <f t="shared" si="8"/>
        <v>57858</v>
      </c>
      <c r="Z31" s="199"/>
      <c r="AA31" s="267">
        <f t="shared" si="0"/>
        <v>0</v>
      </c>
      <c r="AB31" s="199"/>
      <c r="AC31" s="265">
        <f>+AC32</f>
        <v>4.6150000000000002</v>
      </c>
      <c r="AD31" s="213">
        <f t="shared" si="9"/>
        <v>4.6050000000000004</v>
      </c>
      <c r="AE31" s="266">
        <f t="shared" si="10"/>
        <v>0</v>
      </c>
      <c r="AF31" s="214"/>
      <c r="AG31" s="270">
        <f t="shared" si="11"/>
        <v>-6.7500000000000782E-2</v>
      </c>
      <c r="AH31" s="271">
        <f t="shared" si="12"/>
        <v>0</v>
      </c>
      <c r="AI31" s="203"/>
      <c r="AJ31" s="203"/>
      <c r="AK31" s="203">
        <f t="shared" si="16"/>
        <v>0</v>
      </c>
      <c r="AL31" s="203">
        <v>3</v>
      </c>
      <c r="AM31" s="203">
        <f t="shared" si="18"/>
        <v>2</v>
      </c>
      <c r="AN31" s="203">
        <f t="shared" si="19"/>
        <v>5</v>
      </c>
      <c r="AO31" s="203">
        <v>0</v>
      </c>
      <c r="AP31" s="203"/>
      <c r="AQ31" s="203">
        <f t="shared" si="13"/>
        <v>10</v>
      </c>
      <c r="AR31" s="198"/>
      <c r="AS31" s="198"/>
      <c r="AT31" s="198"/>
      <c r="AU31" s="198"/>
      <c r="AV31" s="198"/>
      <c r="AW31" s="198"/>
      <c r="AX31" s="198"/>
      <c r="AY31" s="198"/>
      <c r="AZ31" s="198"/>
      <c r="BA31" s="198"/>
      <c r="BB31" s="198"/>
      <c r="BC31" s="198"/>
      <c r="BD31" s="198"/>
      <c r="BE31" s="198"/>
      <c r="BF31" s="198"/>
      <c r="BG31" s="198"/>
      <c r="BH31" s="198"/>
      <c r="BI31" s="198"/>
      <c r="BJ31" s="198"/>
      <c r="BK31" s="198"/>
      <c r="BL31" s="198"/>
      <c r="BM31" s="198"/>
      <c r="BN31" s="198"/>
    </row>
    <row r="32" spans="1:66" x14ac:dyDescent="0.2">
      <c r="A32" s="199">
        <v>27</v>
      </c>
      <c r="B32" s="199">
        <v>4935</v>
      </c>
      <c r="C32" s="199">
        <v>0</v>
      </c>
      <c r="D32" s="199">
        <v>24183</v>
      </c>
      <c r="E32" s="199"/>
      <c r="F32" s="199">
        <f t="shared" si="1"/>
        <v>29118</v>
      </c>
      <c r="G32" s="199"/>
      <c r="H32" s="199">
        <v>0</v>
      </c>
      <c r="I32" s="199">
        <v>36304</v>
      </c>
      <c r="J32" s="199">
        <f t="shared" si="17"/>
        <v>450</v>
      </c>
      <c r="K32" s="199">
        <f t="shared" si="2"/>
        <v>66322</v>
      </c>
      <c r="L32" s="199"/>
      <c r="M32" s="199">
        <f t="shared" si="14"/>
        <v>94949</v>
      </c>
      <c r="N32" s="268">
        <f t="shared" si="3"/>
        <v>0</v>
      </c>
      <c r="O32" s="268">
        <f t="shared" si="4"/>
        <v>0</v>
      </c>
      <c r="P32" s="269">
        <f t="shared" si="5"/>
        <v>4.7202999999999999</v>
      </c>
      <c r="Q32" s="268"/>
      <c r="R32" s="267">
        <f t="shared" si="6"/>
        <v>8464</v>
      </c>
      <c r="S32" s="268"/>
      <c r="T32" s="267">
        <v>0</v>
      </c>
      <c r="U32" s="269">
        <f t="shared" si="7"/>
        <v>4.7403000000000004</v>
      </c>
      <c r="V32" s="199"/>
      <c r="W32" s="210">
        <f t="shared" si="15"/>
        <v>21554</v>
      </c>
      <c r="X32" s="211">
        <v>36304</v>
      </c>
      <c r="Y32" s="212">
        <f t="shared" si="8"/>
        <v>57858</v>
      </c>
      <c r="Z32" s="199"/>
      <c r="AA32" s="267">
        <f t="shared" si="0"/>
        <v>0</v>
      </c>
      <c r="AB32" s="199"/>
      <c r="AC32" s="265">
        <v>4.6150000000000002</v>
      </c>
      <c r="AD32" s="213">
        <f t="shared" si="9"/>
        <v>4.6050000000000004</v>
      </c>
      <c r="AE32" s="266">
        <f t="shared" si="10"/>
        <v>0</v>
      </c>
      <c r="AF32" s="214"/>
      <c r="AG32" s="270">
        <f t="shared" si="11"/>
        <v>-6.7500000000000782E-2</v>
      </c>
      <c r="AH32" s="271">
        <f t="shared" si="12"/>
        <v>0</v>
      </c>
      <c r="AI32" s="203"/>
      <c r="AJ32" s="203"/>
      <c r="AK32" s="203">
        <f t="shared" si="16"/>
        <v>0</v>
      </c>
      <c r="AL32" s="203">
        <v>3</v>
      </c>
      <c r="AM32" s="203">
        <f t="shared" si="18"/>
        <v>2</v>
      </c>
      <c r="AN32" s="203">
        <f t="shared" si="19"/>
        <v>5</v>
      </c>
      <c r="AO32" s="203">
        <v>0</v>
      </c>
      <c r="AP32" s="203"/>
      <c r="AQ32" s="203">
        <f t="shared" si="13"/>
        <v>10</v>
      </c>
      <c r="AR32" s="198"/>
      <c r="AS32" s="198"/>
      <c r="AT32" s="198"/>
      <c r="AU32" s="198"/>
      <c r="AV32" s="198"/>
      <c r="AW32" s="198"/>
      <c r="AX32" s="198"/>
      <c r="AY32" s="198"/>
      <c r="AZ32" s="198"/>
      <c r="BA32" s="198"/>
      <c r="BB32" s="198"/>
      <c r="BC32" s="198"/>
      <c r="BD32" s="198"/>
      <c r="BE32" s="198"/>
      <c r="BF32" s="198"/>
      <c r="BG32" s="198"/>
      <c r="BH32" s="198"/>
      <c r="BI32" s="198"/>
      <c r="BJ32" s="198"/>
      <c r="BK32" s="198"/>
      <c r="BL32" s="198"/>
      <c r="BM32" s="198"/>
      <c r="BN32" s="198"/>
    </row>
    <row r="33" spans="1:66" x14ac:dyDescent="0.2">
      <c r="A33" s="199">
        <v>28</v>
      </c>
      <c r="B33" s="199">
        <v>4935</v>
      </c>
      <c r="C33" s="199">
        <v>0</v>
      </c>
      <c r="D33" s="199">
        <v>24183</v>
      </c>
      <c r="E33" s="199"/>
      <c r="F33" s="199">
        <f t="shared" si="1"/>
        <v>29118</v>
      </c>
      <c r="G33" s="199"/>
      <c r="H33" s="199">
        <v>0</v>
      </c>
      <c r="I33" s="199">
        <v>36304</v>
      </c>
      <c r="J33" s="199">
        <f t="shared" si="17"/>
        <v>450</v>
      </c>
      <c r="K33" s="199">
        <f t="shared" si="2"/>
        <v>66322</v>
      </c>
      <c r="L33" s="199"/>
      <c r="M33" s="199">
        <f t="shared" si="14"/>
        <v>94949</v>
      </c>
      <c r="N33" s="268">
        <f t="shared" si="3"/>
        <v>0</v>
      </c>
      <c r="O33" s="268">
        <f t="shared" si="4"/>
        <v>0</v>
      </c>
      <c r="P33" s="269">
        <f t="shared" si="5"/>
        <v>4.7202999999999999</v>
      </c>
      <c r="Q33" s="268"/>
      <c r="R33" s="267">
        <f t="shared" si="6"/>
        <v>8464</v>
      </c>
      <c r="S33" s="268"/>
      <c r="T33" s="267">
        <v>0</v>
      </c>
      <c r="U33" s="269">
        <f t="shared" si="7"/>
        <v>4.7403000000000004</v>
      </c>
      <c r="V33" s="199"/>
      <c r="W33" s="210">
        <f t="shared" si="15"/>
        <v>21554</v>
      </c>
      <c r="X33" s="211">
        <v>36304</v>
      </c>
      <c r="Y33" s="212">
        <f t="shared" si="8"/>
        <v>57858</v>
      </c>
      <c r="Z33" s="199"/>
      <c r="AA33" s="267">
        <f t="shared" si="0"/>
        <v>0</v>
      </c>
      <c r="AB33" s="199"/>
      <c r="AC33" s="265">
        <v>4.6150000000000002</v>
      </c>
      <c r="AD33" s="213">
        <f t="shared" si="9"/>
        <v>4.6050000000000004</v>
      </c>
      <c r="AE33" s="266">
        <f t="shared" si="10"/>
        <v>0</v>
      </c>
      <c r="AF33" s="214"/>
      <c r="AG33" s="270">
        <f t="shared" si="11"/>
        <v>-6.7500000000000782E-2</v>
      </c>
      <c r="AH33" s="271">
        <f t="shared" si="12"/>
        <v>0</v>
      </c>
      <c r="AI33" s="203"/>
      <c r="AJ33" s="203"/>
      <c r="AK33" s="203">
        <f t="shared" si="16"/>
        <v>0</v>
      </c>
      <c r="AL33" s="203">
        <v>3</v>
      </c>
      <c r="AM33" s="203">
        <f t="shared" si="18"/>
        <v>2</v>
      </c>
      <c r="AN33" s="203">
        <f t="shared" si="19"/>
        <v>5</v>
      </c>
      <c r="AO33" s="203">
        <v>0</v>
      </c>
      <c r="AP33" s="203"/>
      <c r="AQ33" s="203">
        <f t="shared" si="13"/>
        <v>10</v>
      </c>
      <c r="AR33" s="203"/>
      <c r="AS33" s="203"/>
      <c r="AT33" s="203"/>
      <c r="AU33" s="203"/>
      <c r="AV33" s="203"/>
      <c r="AW33" s="203"/>
      <c r="AX33" s="203"/>
      <c r="AY33" s="203"/>
      <c r="AZ33" s="203"/>
      <c r="BA33" s="203"/>
      <c r="BB33" s="203"/>
      <c r="BC33" s="203"/>
      <c r="BD33" s="203"/>
      <c r="BE33" s="203"/>
      <c r="BF33" s="203"/>
      <c r="BG33" s="203"/>
      <c r="BH33" s="203"/>
      <c r="BI33" s="203"/>
      <c r="BJ33" s="203"/>
      <c r="BK33" s="203"/>
      <c r="BL33" s="203"/>
      <c r="BM33" s="198"/>
      <c r="BN33" s="198"/>
    </row>
    <row r="34" spans="1:66" x14ac:dyDescent="0.2">
      <c r="A34" s="199">
        <v>29</v>
      </c>
      <c r="B34" s="199">
        <v>4935</v>
      </c>
      <c r="C34" s="199">
        <v>0</v>
      </c>
      <c r="D34" s="199">
        <v>24183</v>
      </c>
      <c r="E34" s="199"/>
      <c r="F34" s="199">
        <f t="shared" si="1"/>
        <v>29118</v>
      </c>
      <c r="G34" s="199"/>
      <c r="H34" s="199">
        <v>0</v>
      </c>
      <c r="I34" s="199">
        <v>36304</v>
      </c>
      <c r="J34" s="199">
        <f t="shared" si="17"/>
        <v>450</v>
      </c>
      <c r="K34" s="199">
        <f t="shared" si="2"/>
        <v>66322</v>
      </c>
      <c r="L34" s="199"/>
      <c r="M34" s="199">
        <f t="shared" si="14"/>
        <v>94949</v>
      </c>
      <c r="N34" s="268">
        <f t="shared" si="3"/>
        <v>0</v>
      </c>
      <c r="O34" s="268">
        <f t="shared" si="4"/>
        <v>0</v>
      </c>
      <c r="P34" s="269">
        <f t="shared" si="5"/>
        <v>4.7202999999999999</v>
      </c>
      <c r="Q34" s="268"/>
      <c r="R34" s="267">
        <f t="shared" si="6"/>
        <v>8464</v>
      </c>
      <c r="S34" s="268"/>
      <c r="T34" s="267">
        <v>0</v>
      </c>
      <c r="U34" s="269">
        <f t="shared" si="7"/>
        <v>4.7403000000000004</v>
      </c>
      <c r="V34" s="199"/>
      <c r="W34" s="210">
        <f t="shared" si="15"/>
        <v>21554</v>
      </c>
      <c r="X34" s="211">
        <v>36304</v>
      </c>
      <c r="Y34" s="212">
        <f t="shared" si="8"/>
        <v>57858</v>
      </c>
      <c r="Z34" s="199"/>
      <c r="AA34" s="267">
        <f t="shared" si="0"/>
        <v>0</v>
      </c>
      <c r="AB34" s="199"/>
      <c r="AC34" s="265">
        <v>4.6150000000000002</v>
      </c>
      <c r="AD34" s="213">
        <f t="shared" si="9"/>
        <v>4.6050000000000004</v>
      </c>
      <c r="AE34" s="266">
        <f t="shared" si="10"/>
        <v>0</v>
      </c>
      <c r="AF34" s="214"/>
      <c r="AG34" s="270">
        <f t="shared" si="11"/>
        <v>-6.7500000000000782E-2</v>
      </c>
      <c r="AH34" s="271">
        <f t="shared" si="12"/>
        <v>0</v>
      </c>
      <c r="AI34" s="203"/>
      <c r="AJ34" s="203"/>
      <c r="AK34" s="203">
        <f t="shared" si="16"/>
        <v>0</v>
      </c>
      <c r="AL34" s="203">
        <v>3</v>
      </c>
      <c r="AM34" s="203">
        <f t="shared" si="18"/>
        <v>2</v>
      </c>
      <c r="AN34" s="203">
        <f t="shared" si="19"/>
        <v>5</v>
      </c>
      <c r="AO34" s="203">
        <v>0</v>
      </c>
      <c r="AP34" s="203"/>
      <c r="AQ34" s="203">
        <f t="shared" si="13"/>
        <v>10</v>
      </c>
      <c r="AR34" s="203"/>
      <c r="AS34" s="203"/>
      <c r="AT34" s="203"/>
      <c r="AU34" s="203"/>
      <c r="AV34" s="203"/>
      <c r="AW34" s="203"/>
      <c r="AX34" s="203"/>
      <c r="AY34" s="203"/>
      <c r="AZ34" s="203"/>
      <c r="BA34" s="203"/>
      <c r="BB34" s="203"/>
      <c r="BC34" s="203"/>
      <c r="BD34" s="203"/>
      <c r="BE34" s="203"/>
      <c r="BF34" s="203"/>
      <c r="BG34" s="203"/>
      <c r="BH34" s="203"/>
      <c r="BI34" s="203"/>
      <c r="BJ34" s="203"/>
      <c r="BK34" s="203"/>
      <c r="BL34" s="203"/>
      <c r="BM34" s="198"/>
      <c r="BN34" s="198"/>
    </row>
    <row r="35" spans="1:66" x14ac:dyDescent="0.2">
      <c r="A35" s="199">
        <v>30</v>
      </c>
      <c r="B35" s="211">
        <v>4935</v>
      </c>
      <c r="C35" s="211">
        <v>0</v>
      </c>
      <c r="D35" s="211">
        <v>24183</v>
      </c>
      <c r="E35" s="211"/>
      <c r="F35" s="199">
        <f t="shared" si="1"/>
        <v>29118</v>
      </c>
      <c r="G35" s="199"/>
      <c r="H35" s="211">
        <v>0</v>
      </c>
      <c r="I35" s="199">
        <v>36304</v>
      </c>
      <c r="J35" s="199">
        <f t="shared" si="17"/>
        <v>450</v>
      </c>
      <c r="K35" s="199">
        <f t="shared" si="2"/>
        <v>66322</v>
      </c>
      <c r="L35" s="199"/>
      <c r="M35" s="199">
        <f t="shared" si="14"/>
        <v>94949</v>
      </c>
      <c r="N35" s="268">
        <f t="shared" si="3"/>
        <v>0</v>
      </c>
      <c r="O35" s="268">
        <f t="shared" si="4"/>
        <v>0</v>
      </c>
      <c r="P35" s="269">
        <f t="shared" si="5"/>
        <v>4.7202999999999999</v>
      </c>
      <c r="Q35" s="268"/>
      <c r="R35" s="267">
        <f t="shared" si="6"/>
        <v>8464</v>
      </c>
      <c r="S35" s="268"/>
      <c r="T35" s="267">
        <v>0</v>
      </c>
      <c r="U35" s="269">
        <f t="shared" si="7"/>
        <v>4.7403000000000004</v>
      </c>
      <c r="V35" s="199"/>
      <c r="W35" s="210">
        <f t="shared" si="15"/>
        <v>21554</v>
      </c>
      <c r="X35" s="211">
        <v>36304</v>
      </c>
      <c r="Y35" s="212">
        <f t="shared" si="8"/>
        <v>57858</v>
      </c>
      <c r="Z35" s="199"/>
      <c r="AA35" s="267">
        <f t="shared" si="0"/>
        <v>0</v>
      </c>
      <c r="AB35" s="199"/>
      <c r="AC35" s="265">
        <v>4.6150000000000002</v>
      </c>
      <c r="AD35" s="213">
        <f t="shared" si="9"/>
        <v>4.6050000000000004</v>
      </c>
      <c r="AE35" s="266">
        <f t="shared" si="10"/>
        <v>0</v>
      </c>
      <c r="AF35" s="214"/>
      <c r="AG35" s="270">
        <f t="shared" si="11"/>
        <v>-6.7500000000000782E-2</v>
      </c>
      <c r="AH35" s="271">
        <f t="shared" si="12"/>
        <v>0</v>
      </c>
      <c r="AI35" s="203"/>
      <c r="AJ35" s="203"/>
      <c r="AK35" s="203">
        <f t="shared" si="16"/>
        <v>0</v>
      </c>
      <c r="AL35" s="203">
        <v>3</v>
      </c>
      <c r="AM35" s="203">
        <f t="shared" si="18"/>
        <v>2</v>
      </c>
      <c r="AN35" s="203">
        <f t="shared" si="19"/>
        <v>5</v>
      </c>
      <c r="AO35" s="203">
        <v>0</v>
      </c>
      <c r="AP35" s="203"/>
      <c r="AQ35" s="203">
        <f t="shared" si="13"/>
        <v>10</v>
      </c>
      <c r="AR35" s="203"/>
      <c r="AS35" s="203"/>
      <c r="AT35" s="203"/>
      <c r="AU35" s="203"/>
      <c r="AV35" s="203"/>
      <c r="AW35" s="203"/>
      <c r="AX35" s="203"/>
      <c r="AY35" s="203"/>
      <c r="AZ35" s="203"/>
      <c r="BA35" s="203"/>
      <c r="BB35" s="203"/>
      <c r="BC35" s="203"/>
      <c r="BD35" s="203"/>
      <c r="BE35" s="203"/>
      <c r="BF35" s="203"/>
      <c r="BG35" s="203"/>
      <c r="BH35" s="203"/>
      <c r="BI35" s="203"/>
      <c r="BJ35" s="203"/>
      <c r="BK35" s="203"/>
      <c r="BL35" s="203"/>
      <c r="BM35" s="198"/>
      <c r="BN35" s="198"/>
    </row>
    <row r="36" spans="1:66" x14ac:dyDescent="0.2">
      <c r="A36" s="199"/>
      <c r="B36" s="216"/>
      <c r="C36" s="216"/>
      <c r="D36" s="216"/>
      <c r="E36" s="216"/>
      <c r="F36" s="199">
        <f t="shared" si="1"/>
        <v>0</v>
      </c>
      <c r="G36" s="199"/>
      <c r="H36" s="216"/>
      <c r="I36" s="216"/>
      <c r="J36" s="216"/>
      <c r="K36" s="216"/>
      <c r="L36" s="199"/>
      <c r="M36" s="216"/>
      <c r="N36" s="216"/>
      <c r="O36" s="216"/>
      <c r="P36" s="211"/>
      <c r="Q36" s="199"/>
      <c r="R36" s="216"/>
      <c r="S36" s="199"/>
      <c r="T36" s="277" t="s">
        <v>31</v>
      </c>
      <c r="U36" s="211"/>
      <c r="V36" s="199"/>
      <c r="W36" s="216"/>
      <c r="X36" s="216"/>
      <c r="Y36" s="216"/>
      <c r="Z36" s="199"/>
      <c r="AA36" s="216"/>
      <c r="AB36" s="199"/>
      <c r="AC36" s="202"/>
      <c r="AD36" s="213"/>
      <c r="AE36" s="216"/>
      <c r="AF36" s="199"/>
      <c r="AG36" s="217"/>
      <c r="AH36" s="218"/>
      <c r="AI36" s="203"/>
      <c r="AJ36" s="203"/>
      <c r="AK36" s="203"/>
      <c r="AL36" s="203"/>
      <c r="AM36" s="203"/>
      <c r="AN36" s="203"/>
      <c r="AO36" s="203"/>
      <c r="AP36" s="203"/>
      <c r="AQ36" s="203"/>
      <c r="AR36" s="203"/>
      <c r="AS36" s="217"/>
      <c r="AT36" s="217"/>
      <c r="AU36" s="217"/>
      <c r="AV36" s="217"/>
      <c r="AW36" s="217"/>
      <c r="AX36" s="217"/>
      <c r="AY36" s="217"/>
      <c r="AZ36" s="203"/>
      <c r="BA36" s="217"/>
      <c r="BB36" s="217"/>
      <c r="BC36" s="217"/>
      <c r="BD36" s="217"/>
      <c r="BE36" s="217"/>
      <c r="BF36" s="217"/>
      <c r="BG36" s="217"/>
      <c r="BH36" s="217"/>
      <c r="BI36" s="217"/>
      <c r="BJ36" s="217"/>
      <c r="BK36" s="217"/>
      <c r="BL36" s="217"/>
      <c r="BM36" s="198"/>
      <c r="BN36" s="198"/>
    </row>
    <row r="37" spans="1:66" x14ac:dyDescent="0.2">
      <c r="A37" s="199"/>
      <c r="B37" s="199">
        <f>SUM(B6:B35)</f>
        <v>149650</v>
      </c>
      <c r="C37" s="199">
        <f t="shared" ref="C37:AA37" si="20">SUM(C6:C35)</f>
        <v>0</v>
      </c>
      <c r="D37" s="199">
        <f t="shared" si="20"/>
        <v>725432</v>
      </c>
      <c r="E37" s="200" t="s">
        <v>31</v>
      </c>
      <c r="F37" s="199">
        <f t="shared" si="20"/>
        <v>875082</v>
      </c>
      <c r="G37" s="200" t="s">
        <v>31</v>
      </c>
      <c r="H37" s="199">
        <f t="shared" si="20"/>
        <v>0</v>
      </c>
      <c r="I37" s="199">
        <f t="shared" si="20"/>
        <v>1089120</v>
      </c>
      <c r="J37" s="199">
        <f>SUM(J6:J35)</f>
        <v>13500</v>
      </c>
      <c r="K37" s="199">
        <f t="shared" si="20"/>
        <v>1991202</v>
      </c>
      <c r="L37" s="199"/>
      <c r="M37" s="199">
        <f t="shared" si="20"/>
        <v>2848470</v>
      </c>
      <c r="N37" s="199">
        <f t="shared" si="20"/>
        <v>0</v>
      </c>
      <c r="O37" s="199">
        <f t="shared" si="20"/>
        <v>0</v>
      </c>
      <c r="P37" s="276">
        <f>SUM(P6:P35)/30</f>
        <v>4.5954666666666659</v>
      </c>
      <c r="Q37" s="199"/>
      <c r="R37" s="199">
        <f t="shared" si="20"/>
        <v>255462</v>
      </c>
      <c r="S37" s="199"/>
      <c r="T37" s="199">
        <v>0</v>
      </c>
      <c r="U37" s="276">
        <f>SUM(U6:U35)/30</f>
        <v>4.6154666666666664</v>
      </c>
      <c r="V37" s="199"/>
      <c r="W37" s="199">
        <f t="shared" si="20"/>
        <v>646620</v>
      </c>
      <c r="X37" s="199">
        <f t="shared" si="20"/>
        <v>1089120</v>
      </c>
      <c r="Y37" s="199">
        <f t="shared" si="20"/>
        <v>1735740</v>
      </c>
      <c r="Z37" s="199"/>
      <c r="AA37" s="199">
        <f t="shared" si="20"/>
        <v>0</v>
      </c>
      <c r="AB37" s="199"/>
      <c r="AC37" s="202"/>
      <c r="AD37" s="199"/>
      <c r="AE37" s="272">
        <f>SUM(AE5:AE36)</f>
        <v>0</v>
      </c>
      <c r="AF37" s="199"/>
      <c r="AG37" s="219" t="s">
        <v>31</v>
      </c>
      <c r="AH37" s="275">
        <f>SUM(AH5:AH36)</f>
        <v>0</v>
      </c>
      <c r="AI37" s="203"/>
      <c r="AJ37" s="203"/>
      <c r="AK37" s="220">
        <f>SUM(AK6:AK35)</f>
        <v>0</v>
      </c>
      <c r="AL37" s="220">
        <f t="shared" ref="AL37:AQ37" si="21">SUM(AL6:AL35)</f>
        <v>90</v>
      </c>
      <c r="AM37" s="220">
        <f t="shared" si="21"/>
        <v>60</v>
      </c>
      <c r="AN37" s="220">
        <f t="shared" si="21"/>
        <v>150</v>
      </c>
      <c r="AO37" s="220">
        <f t="shared" si="21"/>
        <v>0</v>
      </c>
      <c r="AP37" s="203"/>
      <c r="AQ37" s="220">
        <f t="shared" si="21"/>
        <v>300</v>
      </c>
      <c r="AR37" s="203"/>
      <c r="AS37" s="217"/>
      <c r="AT37" s="217"/>
      <c r="AU37" s="217"/>
      <c r="AV37" s="217"/>
      <c r="AW37" s="217"/>
      <c r="AX37" s="217"/>
      <c r="AY37" s="217"/>
      <c r="AZ37" s="203"/>
      <c r="BA37" s="217"/>
      <c r="BB37" s="203"/>
      <c r="BC37" s="217"/>
      <c r="BD37" s="217"/>
      <c r="BE37" s="217"/>
      <c r="BF37" s="203"/>
      <c r="BG37" s="217"/>
      <c r="BH37" s="217"/>
      <c r="BI37" s="217"/>
      <c r="BJ37" s="217"/>
      <c r="BK37" s="217"/>
      <c r="BL37" s="217"/>
      <c r="BM37" s="198"/>
      <c r="BN37" s="198"/>
    </row>
    <row r="38" spans="1:66" x14ac:dyDescent="0.2">
      <c r="A38" s="203"/>
      <c r="B38" s="203"/>
      <c r="C38" s="203"/>
      <c r="D38" s="203"/>
      <c r="E38" s="203"/>
      <c r="F38" s="203"/>
      <c r="G38" s="203"/>
      <c r="H38" s="203"/>
      <c r="I38" s="203"/>
      <c r="J38" s="203"/>
      <c r="K38" s="203"/>
      <c r="L38" s="203"/>
      <c r="M38" s="203"/>
      <c r="N38" s="203"/>
      <c r="O38" s="203"/>
      <c r="P38" s="203"/>
      <c r="Q38" s="203"/>
      <c r="R38" s="203"/>
      <c r="S38" s="203"/>
      <c r="T38" s="203"/>
      <c r="U38" s="203"/>
      <c r="V38" s="203"/>
      <c r="W38" s="203"/>
      <c r="X38" s="203"/>
      <c r="Y38" s="203"/>
      <c r="Z38" s="203"/>
      <c r="AA38" s="203"/>
      <c r="AB38" s="203"/>
      <c r="AC38" s="221"/>
      <c r="AD38" s="200" t="s">
        <v>504</v>
      </c>
      <c r="AE38" s="270" t="e">
        <f>+AE37/AA37</f>
        <v>#DIV/0!</v>
      </c>
      <c r="AF38" s="203"/>
      <c r="AG38" s="203"/>
      <c r="AH38" s="203"/>
      <c r="AI38" s="203"/>
      <c r="AJ38" s="203"/>
      <c r="AK38" s="222"/>
      <c r="AL38" s="217"/>
      <c r="AM38" s="217"/>
      <c r="AN38" s="217"/>
      <c r="AO38" s="217"/>
      <c r="AP38" s="203"/>
      <c r="AQ38" s="217"/>
      <c r="AR38" s="203"/>
      <c r="AS38" s="217"/>
      <c r="AT38" s="217"/>
      <c r="AU38" s="217"/>
      <c r="AV38" s="217"/>
      <c r="AW38" s="217"/>
      <c r="AX38" s="217"/>
      <c r="AY38" s="217"/>
      <c r="AZ38" s="217"/>
      <c r="BA38" s="217"/>
      <c r="BB38" s="217"/>
      <c r="BC38" s="217"/>
      <c r="BD38" s="217"/>
      <c r="BE38" s="217"/>
      <c r="BF38" s="217"/>
      <c r="BG38" s="217"/>
      <c r="BH38" s="217"/>
      <c r="BI38" s="217"/>
      <c r="BJ38" s="217"/>
      <c r="BK38" s="217"/>
      <c r="BL38" s="217"/>
      <c r="BM38" s="198"/>
      <c r="BN38" s="198"/>
    </row>
    <row r="39" spans="1:66" x14ac:dyDescent="0.2">
      <c r="A39" s="203"/>
      <c r="B39" s="203"/>
      <c r="C39" s="203"/>
      <c r="D39" s="203"/>
      <c r="E39" s="203"/>
      <c r="F39" s="203"/>
      <c r="G39" s="203"/>
      <c r="H39" s="203"/>
      <c r="I39" s="203"/>
      <c r="J39" s="203"/>
      <c r="K39" s="203"/>
      <c r="L39" s="203"/>
      <c r="M39" s="203"/>
      <c r="N39" s="203"/>
      <c r="O39" s="203"/>
      <c r="P39" s="203"/>
      <c r="Q39" s="203"/>
      <c r="R39" s="203"/>
      <c r="S39" s="203"/>
      <c r="T39" s="203"/>
      <c r="U39" s="203"/>
      <c r="V39" s="203"/>
      <c r="W39" s="203"/>
      <c r="X39" s="203"/>
      <c r="Y39" s="203"/>
      <c r="Z39" s="203"/>
      <c r="AA39" s="203"/>
      <c r="AB39" s="223" t="s">
        <v>505</v>
      </c>
      <c r="AC39" s="223"/>
      <c r="AD39" s="203"/>
      <c r="AE39" s="270">
        <v>4.5374999999999996</v>
      </c>
      <c r="AF39" s="207" t="s">
        <v>31</v>
      </c>
      <c r="AG39" s="203"/>
      <c r="AH39" s="203"/>
      <c r="AI39" s="203"/>
      <c r="AJ39" s="203"/>
      <c r="AK39" s="207" t="s">
        <v>506</v>
      </c>
      <c r="AL39" s="203"/>
      <c r="AM39" s="203"/>
      <c r="AN39" s="203"/>
      <c r="AO39" s="203"/>
      <c r="AP39" s="203"/>
      <c r="AQ39" s="203"/>
      <c r="AR39" s="203"/>
      <c r="AS39" s="203"/>
      <c r="AT39" s="203"/>
      <c r="AU39" s="203"/>
      <c r="AV39" s="203"/>
      <c r="AW39" s="203"/>
      <c r="AX39" s="203"/>
      <c r="AY39" s="203"/>
      <c r="AZ39" s="203"/>
      <c r="BA39" s="217"/>
      <c r="BB39" s="217"/>
      <c r="BC39" s="217"/>
      <c r="BD39" s="217"/>
      <c r="BE39" s="217"/>
      <c r="BF39" s="217"/>
      <c r="BG39" s="217"/>
      <c r="BH39" s="217"/>
      <c r="BI39" s="217"/>
      <c r="BJ39" s="217"/>
      <c r="BK39" s="217"/>
      <c r="BL39" s="217"/>
      <c r="BM39" s="198"/>
      <c r="BN39" s="198"/>
    </row>
    <row r="40" spans="1:66" x14ac:dyDescent="0.2">
      <c r="A40" s="203"/>
      <c r="B40" s="203"/>
      <c r="C40" s="203"/>
      <c r="D40" s="207" t="s">
        <v>507</v>
      </c>
      <c r="E40" s="207" t="s">
        <v>31</v>
      </c>
      <c r="F40" s="203"/>
      <c r="G40" s="203"/>
      <c r="H40" s="203"/>
      <c r="I40" s="203"/>
      <c r="J40" s="203"/>
      <c r="K40" s="203"/>
      <c r="L40" s="203"/>
      <c r="M40" s="203"/>
      <c r="N40" s="203"/>
      <c r="O40" s="203"/>
      <c r="P40" s="203"/>
      <c r="Q40" s="203"/>
      <c r="R40" s="203"/>
      <c r="S40" s="203"/>
      <c r="T40" s="203"/>
      <c r="U40" s="203"/>
      <c r="V40" s="203"/>
      <c r="W40" s="203"/>
      <c r="X40" s="203"/>
      <c r="Y40" s="203"/>
      <c r="Z40" s="203"/>
      <c r="AA40" s="203"/>
      <c r="AB40" s="203"/>
      <c r="AC40" s="221"/>
      <c r="AD40" s="203"/>
      <c r="AF40" s="203"/>
      <c r="AG40" s="203"/>
      <c r="AH40" s="203"/>
      <c r="AI40" s="203"/>
      <c r="AJ40" s="203"/>
      <c r="AK40" s="207" t="s">
        <v>508</v>
      </c>
      <c r="AL40" s="203"/>
      <c r="AM40" s="203"/>
      <c r="AN40" s="203"/>
      <c r="AO40" s="203"/>
      <c r="AP40" s="203"/>
      <c r="AQ40" s="222"/>
      <c r="AR40" s="203"/>
      <c r="AS40" s="222"/>
      <c r="AT40" s="217"/>
      <c r="AU40" s="222"/>
      <c r="AV40" s="217"/>
      <c r="AW40" s="217"/>
      <c r="AX40" s="217"/>
      <c r="AY40" s="217"/>
      <c r="AZ40" s="217"/>
      <c r="BA40" s="222"/>
      <c r="BB40" s="217"/>
      <c r="BC40" s="222"/>
      <c r="BD40" s="217"/>
      <c r="BE40" s="217"/>
      <c r="BF40" s="217"/>
      <c r="BG40" s="222"/>
      <c r="BH40" s="217"/>
      <c r="BI40" s="217"/>
      <c r="BJ40" s="217"/>
      <c r="BK40" s="217"/>
      <c r="BL40" s="217"/>
      <c r="BM40" s="198"/>
      <c r="BN40" s="198"/>
    </row>
    <row r="41" spans="1:66" x14ac:dyDescent="0.2">
      <c r="A41" s="203"/>
      <c r="B41" s="203"/>
      <c r="C41" s="203"/>
      <c r="D41" s="203"/>
      <c r="E41" s="203"/>
      <c r="F41" s="203"/>
      <c r="G41" s="203"/>
      <c r="H41" s="203"/>
      <c r="I41" s="203"/>
      <c r="J41" s="203"/>
      <c r="K41" s="203"/>
      <c r="L41" s="203"/>
      <c r="M41" s="203"/>
      <c r="N41" s="203"/>
      <c r="O41" s="203"/>
      <c r="P41" s="203"/>
      <c r="Q41" s="203"/>
      <c r="R41" s="203"/>
      <c r="S41" s="203"/>
      <c r="T41" s="203"/>
      <c r="U41" s="203"/>
      <c r="V41" s="203"/>
      <c r="W41" s="224" t="s">
        <v>31</v>
      </c>
      <c r="X41" s="207" t="s">
        <v>31</v>
      </c>
      <c r="Y41" s="203"/>
      <c r="Z41" s="203"/>
      <c r="AA41" s="203"/>
      <c r="AB41" s="203"/>
      <c r="AC41" s="221"/>
      <c r="AD41" s="203"/>
      <c r="AE41" s="270" t="e">
        <f>-AE38+AE39</f>
        <v>#DIV/0!</v>
      </c>
      <c r="AF41" s="203"/>
      <c r="AG41" s="203"/>
      <c r="AH41" s="203"/>
      <c r="AI41" s="203"/>
      <c r="AJ41" s="203"/>
      <c r="AK41" s="222"/>
      <c r="AL41" s="217"/>
      <c r="AM41" s="217"/>
      <c r="AN41" s="217"/>
      <c r="AO41" s="217"/>
      <c r="AP41" s="203"/>
      <c r="AQ41" s="217"/>
      <c r="AR41" s="203"/>
      <c r="AS41" s="217"/>
      <c r="AT41" s="217"/>
      <c r="AU41" s="217"/>
      <c r="AV41" s="217"/>
      <c r="AW41" s="217"/>
      <c r="AX41" s="217"/>
      <c r="AY41" s="217"/>
      <c r="AZ41" s="203"/>
      <c r="BA41" s="217"/>
      <c r="BB41" s="217"/>
      <c r="BC41" s="217"/>
      <c r="BD41" s="217"/>
      <c r="BE41" s="217"/>
      <c r="BF41" s="217"/>
      <c r="BG41" s="217"/>
      <c r="BH41" s="217"/>
      <c r="BI41" s="217"/>
      <c r="BJ41" s="217"/>
      <c r="BK41" s="217"/>
      <c r="BL41" s="217"/>
      <c r="BM41" s="198"/>
      <c r="BN41" s="198"/>
    </row>
    <row r="42" spans="1:66" x14ac:dyDescent="0.2">
      <c r="A42" s="203"/>
      <c r="B42" s="203"/>
      <c r="C42" s="203"/>
      <c r="D42" s="203"/>
      <c r="E42" s="203"/>
      <c r="F42" s="207" t="s">
        <v>31</v>
      </c>
      <c r="G42" s="203"/>
      <c r="H42" s="203"/>
      <c r="I42" s="203"/>
      <c r="J42" s="203"/>
      <c r="K42" s="203"/>
      <c r="L42" s="203"/>
      <c r="M42" s="203"/>
      <c r="N42" s="203"/>
      <c r="O42" s="203"/>
      <c r="P42" s="203"/>
      <c r="Q42" s="203"/>
      <c r="R42" s="203"/>
      <c r="S42" s="203"/>
      <c r="T42" s="203"/>
      <c r="U42" s="203"/>
      <c r="V42" s="203"/>
      <c r="W42" s="203"/>
      <c r="X42" s="203"/>
      <c r="Y42" s="203"/>
      <c r="Z42" s="203"/>
      <c r="AA42" s="203"/>
      <c r="AB42" s="203"/>
      <c r="AC42" s="221"/>
      <c r="AD42" s="203"/>
      <c r="AF42" s="203"/>
      <c r="AG42" s="203"/>
      <c r="AH42" s="203"/>
      <c r="AI42" s="203"/>
      <c r="AJ42" s="203"/>
      <c r="AK42" s="207"/>
      <c r="AL42" s="203"/>
      <c r="AM42" s="203"/>
      <c r="AN42" s="203"/>
      <c r="AO42" s="203"/>
      <c r="AP42" s="203"/>
      <c r="AQ42" s="203"/>
      <c r="AR42" s="203"/>
      <c r="AS42" s="203"/>
      <c r="AT42" s="203"/>
      <c r="AU42" s="203"/>
      <c r="AV42" s="203"/>
      <c r="AW42" s="203"/>
      <c r="AX42" s="203"/>
      <c r="AY42" s="203"/>
      <c r="AZ42" s="203"/>
      <c r="BA42" s="203"/>
      <c r="BB42" s="203"/>
      <c r="BC42" s="203"/>
      <c r="BD42" s="203"/>
      <c r="BE42" s="203"/>
      <c r="BF42" s="203"/>
      <c r="BG42" s="203"/>
      <c r="BH42" s="203"/>
      <c r="BI42" s="203"/>
      <c r="BJ42" s="203"/>
      <c r="BK42" s="203"/>
      <c r="BL42" s="203"/>
      <c r="BM42" s="198"/>
      <c r="BN42" s="198"/>
    </row>
    <row r="43" spans="1:66" x14ac:dyDescent="0.2">
      <c r="A43" s="203"/>
      <c r="B43" s="203"/>
      <c r="C43" s="203"/>
      <c r="D43" s="203"/>
      <c r="E43" s="203"/>
      <c r="F43" s="207" t="s">
        <v>31</v>
      </c>
      <c r="G43" s="203"/>
      <c r="H43" s="203"/>
      <c r="I43" s="203"/>
      <c r="J43" s="203"/>
      <c r="K43" s="203"/>
      <c r="L43" s="203"/>
      <c r="M43" s="203"/>
      <c r="N43" s="203"/>
      <c r="O43" s="203"/>
      <c r="P43" s="203"/>
      <c r="Q43" s="203"/>
      <c r="R43" s="203"/>
      <c r="S43" s="203"/>
      <c r="T43" s="203"/>
      <c r="U43" s="203"/>
      <c r="V43" s="203"/>
      <c r="W43" s="224" t="s">
        <v>31</v>
      </c>
      <c r="X43" s="207" t="s">
        <v>31</v>
      </c>
      <c r="Y43" s="203"/>
      <c r="Z43" s="203"/>
      <c r="AA43" s="203"/>
      <c r="AB43" s="203"/>
      <c r="AC43" s="221"/>
      <c r="AD43" s="203"/>
      <c r="AE43" s="271" t="e">
        <f>+AE41*AA37</f>
        <v>#DIV/0!</v>
      </c>
      <c r="AF43" s="203"/>
      <c r="AG43" s="203"/>
      <c r="AH43" s="203"/>
      <c r="AI43" s="203"/>
      <c r="AJ43" s="203"/>
      <c r="AK43" s="207" t="s">
        <v>31</v>
      </c>
      <c r="AL43" s="203"/>
      <c r="AM43" s="203"/>
      <c r="AN43" s="203"/>
      <c r="AO43" s="203"/>
      <c r="AP43" s="203"/>
      <c r="AQ43" s="207" t="s">
        <v>31</v>
      </c>
      <c r="AR43" s="203"/>
      <c r="AS43" s="207" t="s">
        <v>31</v>
      </c>
      <c r="AT43" s="203"/>
      <c r="AU43" s="207"/>
      <c r="AV43" s="203"/>
      <c r="AW43" s="203"/>
      <c r="AX43" s="203"/>
      <c r="AY43" s="203"/>
      <c r="AZ43" s="203"/>
      <c r="BA43" s="207" t="s">
        <v>31</v>
      </c>
      <c r="BB43" s="203"/>
      <c r="BC43" s="207" t="s">
        <v>31</v>
      </c>
      <c r="BD43" s="203"/>
      <c r="BE43" s="203"/>
      <c r="BF43" s="207" t="s">
        <v>31</v>
      </c>
      <c r="BG43" s="207" t="s">
        <v>31</v>
      </c>
      <c r="BH43" s="203"/>
      <c r="BI43" s="203"/>
      <c r="BJ43" s="203"/>
      <c r="BK43" s="203"/>
      <c r="BL43" s="203"/>
      <c r="BM43" s="198"/>
      <c r="BN43" s="198"/>
    </row>
    <row r="44" spans="1:66" x14ac:dyDescent="0.2">
      <c r="A44" s="203"/>
      <c r="B44" s="203"/>
      <c r="C44" s="203"/>
      <c r="D44" s="203"/>
      <c r="E44" s="203"/>
      <c r="F44" s="203"/>
      <c r="G44" s="203"/>
      <c r="H44" s="203"/>
      <c r="I44" s="203"/>
      <c r="J44" s="203"/>
      <c r="K44" s="203"/>
      <c r="L44" s="203"/>
      <c r="M44" s="203"/>
      <c r="N44" s="203"/>
      <c r="O44" s="203"/>
      <c r="P44" s="203"/>
      <c r="Q44" s="203"/>
      <c r="R44" s="203"/>
      <c r="S44" s="203"/>
      <c r="T44" s="203"/>
      <c r="U44" s="203"/>
      <c r="V44" s="203"/>
      <c r="W44" s="203"/>
      <c r="X44" s="203"/>
      <c r="Y44" s="203"/>
      <c r="Z44" s="203"/>
      <c r="AA44" s="203"/>
      <c r="AB44" s="203"/>
      <c r="AC44" s="221"/>
      <c r="AD44" s="203"/>
      <c r="AE44" s="203"/>
      <c r="AF44" s="203"/>
      <c r="AG44" s="203"/>
      <c r="AH44" s="203"/>
      <c r="AI44" s="203"/>
      <c r="AJ44" s="203"/>
      <c r="AK44" s="207" t="s">
        <v>31</v>
      </c>
      <c r="AL44" s="203"/>
      <c r="AM44" s="203"/>
      <c r="AN44" s="203"/>
      <c r="AO44" s="203"/>
      <c r="AP44" s="203"/>
      <c r="AQ44" s="203"/>
      <c r="AR44" s="203"/>
      <c r="AS44" s="203"/>
      <c r="AT44" s="203"/>
      <c r="AU44" s="203"/>
      <c r="AV44" s="203"/>
      <c r="AW44" s="203"/>
      <c r="AX44" s="203"/>
      <c r="AY44" s="203"/>
      <c r="AZ44" s="203"/>
      <c r="BA44" s="203"/>
      <c r="BB44" s="203"/>
      <c r="BC44" s="203"/>
      <c r="BD44" s="203"/>
      <c r="BE44" s="203"/>
      <c r="BF44" s="203"/>
      <c r="BG44" s="203"/>
      <c r="BH44" s="203"/>
      <c r="BI44" s="203"/>
      <c r="BJ44" s="203"/>
      <c r="BK44" s="203"/>
      <c r="BL44" s="203"/>
      <c r="BM44" s="198"/>
      <c r="BN44" s="198"/>
    </row>
    <row r="45" spans="1:66" x14ac:dyDescent="0.2">
      <c r="A45" s="203"/>
      <c r="B45" s="203"/>
      <c r="C45" s="203"/>
      <c r="D45" s="203"/>
      <c r="E45" s="203"/>
      <c r="F45" s="207" t="s">
        <v>509</v>
      </c>
      <c r="G45" s="203"/>
      <c r="H45" s="207" t="s">
        <v>299</v>
      </c>
      <c r="I45" s="207" t="s">
        <v>510</v>
      </c>
      <c r="J45" s="203"/>
      <c r="K45" s="203"/>
      <c r="L45" s="203"/>
      <c r="M45" s="203"/>
      <c r="N45" s="203"/>
      <c r="O45" s="203"/>
      <c r="P45" s="203"/>
      <c r="Q45" s="203"/>
      <c r="R45" s="203"/>
      <c r="S45" s="203"/>
      <c r="T45" s="203"/>
      <c r="U45" s="203"/>
      <c r="V45" s="203"/>
      <c r="W45" s="207"/>
      <c r="X45" s="203"/>
      <c r="Y45" s="203"/>
      <c r="Z45" s="203"/>
      <c r="AA45" s="203"/>
      <c r="AB45" s="203"/>
      <c r="AC45" s="221"/>
      <c r="AD45" s="203"/>
      <c r="AE45" s="203"/>
      <c r="AF45" s="203"/>
      <c r="AG45" s="203"/>
      <c r="AH45" s="203"/>
      <c r="AI45" s="203"/>
      <c r="AJ45" s="203"/>
      <c r="AK45" s="203"/>
      <c r="AL45" s="203"/>
      <c r="AM45" s="203"/>
      <c r="AN45" s="203"/>
      <c r="AO45" s="203"/>
      <c r="AP45" s="203"/>
      <c r="AQ45" s="203"/>
      <c r="AR45" s="203"/>
      <c r="AS45" s="203"/>
      <c r="AT45" s="203"/>
      <c r="AU45" s="203"/>
      <c r="AV45" s="203"/>
      <c r="AW45" s="203"/>
      <c r="AX45" s="203"/>
      <c r="AY45" s="203"/>
      <c r="AZ45" s="203"/>
      <c r="BA45" s="203"/>
      <c r="BB45" s="203"/>
      <c r="BC45" s="203"/>
      <c r="BD45" s="203"/>
      <c r="BE45" s="203"/>
      <c r="BF45" s="203"/>
      <c r="BG45" s="203"/>
      <c r="BH45" s="203"/>
      <c r="BI45" s="203"/>
      <c r="BJ45" s="203"/>
      <c r="BK45" s="203"/>
      <c r="BL45" s="203"/>
      <c r="BM45" s="198"/>
      <c r="BN45" s="198"/>
    </row>
    <row r="46" spans="1:66" x14ac:dyDescent="0.2">
      <c r="A46" s="203"/>
      <c r="B46" s="203"/>
      <c r="C46" s="203"/>
      <c r="D46" s="207" t="s">
        <v>511</v>
      </c>
      <c r="E46" s="203"/>
      <c r="F46" s="203">
        <v>1089120</v>
      </c>
      <c r="G46" s="203"/>
      <c r="H46" s="213">
        <v>4.6844999999999999</v>
      </c>
      <c r="I46" s="207" t="s">
        <v>512</v>
      </c>
      <c r="J46" s="203"/>
      <c r="K46" s="203"/>
      <c r="L46" s="203"/>
      <c r="M46" s="203"/>
      <c r="N46" s="203"/>
      <c r="O46" s="203"/>
      <c r="P46" s="203"/>
      <c r="Q46" s="203"/>
      <c r="R46" s="203"/>
      <c r="S46" s="203"/>
      <c r="T46" s="203"/>
      <c r="U46" s="203"/>
      <c r="V46" s="203"/>
      <c r="W46" s="203"/>
      <c r="X46" s="203"/>
      <c r="Y46" s="203"/>
      <c r="Z46" s="203"/>
      <c r="AA46" s="203"/>
      <c r="AB46" s="203"/>
      <c r="AC46" s="221"/>
      <c r="AD46" s="203"/>
      <c r="AE46" s="203"/>
      <c r="AF46" s="203"/>
      <c r="AG46" s="203"/>
      <c r="AH46" s="203"/>
      <c r="AI46" s="203"/>
      <c r="AJ46" s="203"/>
      <c r="AK46" s="203"/>
      <c r="AL46" s="203"/>
      <c r="AM46" s="203"/>
      <c r="AN46" s="203"/>
      <c r="AO46" s="203"/>
      <c r="AP46" s="203"/>
      <c r="AQ46" s="203"/>
      <c r="AR46" s="203"/>
      <c r="AS46" s="203"/>
      <c r="AT46" s="203"/>
      <c r="AU46" s="203"/>
      <c r="AV46" s="203"/>
      <c r="AW46" s="203"/>
      <c r="AX46" s="203"/>
      <c r="AY46" s="203"/>
      <c r="AZ46" s="203"/>
      <c r="BA46" s="203"/>
      <c r="BB46" s="203"/>
      <c r="BC46" s="203"/>
      <c r="BD46" s="203"/>
      <c r="BE46" s="203"/>
      <c r="BF46" s="203"/>
      <c r="BG46" s="203"/>
      <c r="BH46" s="203"/>
      <c r="BI46" s="203"/>
      <c r="BJ46" s="203"/>
      <c r="BK46" s="203"/>
      <c r="BL46" s="203"/>
      <c r="BM46" s="198"/>
      <c r="BN46" s="198"/>
    </row>
    <row r="47" spans="1:66" x14ac:dyDescent="0.2">
      <c r="A47" s="203"/>
      <c r="B47" s="203"/>
      <c r="C47" s="203"/>
      <c r="D47" s="207" t="s">
        <v>518</v>
      </c>
      <c r="E47" s="203"/>
      <c r="F47" s="203">
        <v>255462</v>
      </c>
      <c r="G47" s="203"/>
      <c r="H47" s="213">
        <v>4.6154999999999999</v>
      </c>
      <c r="I47" s="207" t="s">
        <v>519</v>
      </c>
      <c r="J47" s="203"/>
      <c r="K47" s="203"/>
      <c r="L47" s="203"/>
      <c r="M47" s="203"/>
      <c r="N47" s="203"/>
      <c r="O47" s="203"/>
      <c r="P47" s="203"/>
      <c r="Q47" s="203"/>
      <c r="R47" s="203"/>
      <c r="S47" s="203"/>
      <c r="T47" s="203"/>
      <c r="U47" s="203"/>
      <c r="V47" s="203"/>
      <c r="W47" s="203"/>
      <c r="X47" s="203"/>
      <c r="Y47" s="203"/>
      <c r="Z47" s="203"/>
      <c r="AA47" s="203"/>
      <c r="AB47" s="203"/>
      <c r="AC47" s="221"/>
      <c r="AD47" s="203"/>
      <c r="AE47" s="203"/>
      <c r="AF47" s="203"/>
      <c r="AG47" s="203"/>
      <c r="AH47" s="203"/>
      <c r="AI47" s="203"/>
      <c r="AJ47" s="203"/>
      <c r="AK47" s="203"/>
      <c r="AL47" s="203"/>
      <c r="AM47" s="203"/>
      <c r="AN47" s="203"/>
      <c r="AO47" s="203"/>
      <c r="AP47" s="203"/>
      <c r="AQ47" s="203"/>
      <c r="AR47" s="203"/>
      <c r="AS47" s="203"/>
      <c r="AT47" s="203"/>
      <c r="AU47" s="203"/>
      <c r="AV47" s="203"/>
      <c r="AW47" s="203"/>
      <c r="AX47" s="203"/>
      <c r="AY47" s="203"/>
      <c r="AZ47" s="203"/>
      <c r="BA47" s="203"/>
      <c r="BB47" s="203"/>
      <c r="BC47" s="203"/>
      <c r="BD47" s="203"/>
      <c r="BE47" s="203"/>
      <c r="BF47" s="203"/>
      <c r="BG47" s="203"/>
      <c r="BH47" s="203"/>
      <c r="BI47" s="203"/>
      <c r="BJ47" s="203"/>
      <c r="BK47" s="203"/>
      <c r="BL47" s="203"/>
      <c r="BM47" s="198"/>
      <c r="BN47" s="198"/>
    </row>
    <row r="48" spans="1:66" x14ac:dyDescent="0.2">
      <c r="A48" s="198"/>
      <c r="B48" s="198"/>
      <c r="C48" s="198"/>
      <c r="D48" s="207" t="s">
        <v>513</v>
      </c>
      <c r="E48" s="203"/>
      <c r="F48" s="203">
        <v>646620</v>
      </c>
      <c r="G48" s="203"/>
      <c r="H48" s="225">
        <v>4.6612999999999998</v>
      </c>
      <c r="I48" s="207" t="s">
        <v>514</v>
      </c>
      <c r="J48" s="198"/>
      <c r="K48" s="198"/>
      <c r="L48" s="198"/>
      <c r="M48" s="198"/>
      <c r="N48" s="198"/>
      <c r="O48" s="198"/>
      <c r="P48" s="198"/>
      <c r="Q48" s="198"/>
      <c r="R48" s="198"/>
      <c r="S48" s="198"/>
      <c r="T48" s="198"/>
      <c r="U48" s="198"/>
      <c r="V48" s="198"/>
      <c r="W48" s="198"/>
      <c r="X48" s="198"/>
      <c r="Y48" s="198"/>
      <c r="Z48" s="198"/>
      <c r="AA48" s="198"/>
      <c r="AB48" s="198"/>
      <c r="AC48" s="198"/>
      <c r="AD48" s="198"/>
      <c r="AE48" s="198"/>
      <c r="AF48" s="198"/>
      <c r="AG48" s="198"/>
      <c r="AH48" s="198"/>
      <c r="AI48" s="198"/>
      <c r="AJ48" s="198"/>
      <c r="AK48" s="198"/>
      <c r="AL48" s="198"/>
      <c r="AM48" s="198"/>
      <c r="AN48" s="198"/>
      <c r="AO48" s="198"/>
      <c r="AP48" s="198"/>
      <c r="AQ48" s="198"/>
      <c r="AR48" s="198"/>
      <c r="AS48" s="198"/>
      <c r="AT48" s="198"/>
      <c r="AU48" s="198"/>
      <c r="AV48" s="198"/>
      <c r="AW48" s="198"/>
      <c r="AX48" s="198"/>
      <c r="AY48" s="198"/>
      <c r="AZ48" s="198"/>
      <c r="BA48" s="198"/>
      <c r="BB48" s="198"/>
      <c r="BC48" s="198"/>
      <c r="BD48" s="198"/>
      <c r="BE48" s="198"/>
      <c r="BF48" s="198"/>
      <c r="BG48" s="198"/>
      <c r="BH48" s="198"/>
      <c r="BI48" s="198"/>
      <c r="BJ48" s="198"/>
      <c r="BK48" s="198"/>
      <c r="BL48" s="198"/>
      <c r="BM48" s="198"/>
      <c r="BN48" s="198"/>
    </row>
    <row r="49" spans="1:66" x14ac:dyDescent="0.2">
      <c r="A49" s="198"/>
      <c r="B49" s="198"/>
      <c r="C49" s="198"/>
      <c r="D49" s="203"/>
      <c r="E49" s="203"/>
      <c r="F49" s="207"/>
      <c r="G49" s="203"/>
      <c r="H49" s="225"/>
      <c r="I49" s="207"/>
      <c r="J49" s="198"/>
      <c r="K49" s="198"/>
      <c r="L49" s="198"/>
      <c r="M49" s="198"/>
      <c r="N49" s="198"/>
      <c r="O49" s="198"/>
      <c r="P49" s="198"/>
      <c r="Q49" s="198"/>
      <c r="R49" s="198"/>
      <c r="S49" s="198"/>
      <c r="T49" s="198"/>
      <c r="U49" s="198"/>
      <c r="V49" s="198"/>
      <c r="W49" s="198"/>
      <c r="X49" s="198"/>
      <c r="Y49" s="198"/>
      <c r="Z49" s="198"/>
      <c r="AA49" s="198"/>
      <c r="AB49" s="198"/>
      <c r="AC49" s="198"/>
      <c r="AD49" s="198"/>
      <c r="AE49" s="198"/>
      <c r="AF49" s="198"/>
      <c r="AG49" s="198"/>
      <c r="AH49" s="198"/>
      <c r="AI49" s="198"/>
      <c r="AJ49" s="198"/>
      <c r="AK49" s="198"/>
      <c r="AL49" s="198"/>
      <c r="AM49" s="198"/>
      <c r="AN49" s="198"/>
      <c r="AO49" s="198"/>
      <c r="AP49" s="198"/>
      <c r="AQ49" s="198"/>
      <c r="AR49" s="198"/>
      <c r="AS49" s="198"/>
      <c r="AT49" s="198"/>
      <c r="AU49" s="198"/>
      <c r="AV49" s="198"/>
      <c r="AW49" s="198"/>
      <c r="AX49" s="198"/>
      <c r="AY49" s="198"/>
      <c r="AZ49" s="198"/>
      <c r="BA49" s="198"/>
      <c r="BB49" s="198"/>
      <c r="BC49" s="198"/>
      <c r="BD49" s="198"/>
      <c r="BE49" s="198"/>
      <c r="BF49" s="198"/>
      <c r="BG49" s="198"/>
      <c r="BH49" s="198"/>
      <c r="BI49" s="198"/>
      <c r="BJ49" s="198"/>
      <c r="BK49" s="198"/>
      <c r="BL49" s="198"/>
      <c r="BM49" s="198"/>
      <c r="BN49" s="198"/>
    </row>
    <row r="50" spans="1:66" x14ac:dyDescent="0.2">
      <c r="A50" s="198"/>
      <c r="B50" s="198"/>
      <c r="C50" s="198"/>
      <c r="D50" s="207"/>
      <c r="E50" s="203"/>
      <c r="F50" s="203"/>
      <c r="G50" s="203"/>
      <c r="H50" s="225"/>
      <c r="I50" s="203"/>
      <c r="J50" s="198"/>
      <c r="K50" s="198"/>
      <c r="L50" s="198"/>
      <c r="M50" s="198"/>
      <c r="N50" s="198"/>
      <c r="O50" s="198"/>
      <c r="P50" s="198"/>
      <c r="Q50" s="198"/>
      <c r="R50" s="198"/>
      <c r="S50" s="198"/>
      <c r="T50" s="198"/>
      <c r="U50" s="198"/>
      <c r="V50" s="198"/>
      <c r="W50" s="198"/>
      <c r="X50" s="198"/>
      <c r="Y50" s="198"/>
      <c r="Z50" s="198"/>
      <c r="AA50" s="198"/>
      <c r="AB50" s="198"/>
      <c r="AC50" s="198"/>
      <c r="AD50" s="198"/>
      <c r="AE50" s="198"/>
      <c r="AF50" s="198"/>
      <c r="AG50" s="198"/>
      <c r="AH50" s="198"/>
      <c r="AI50" s="198"/>
      <c r="AJ50" s="198"/>
      <c r="AK50" s="198"/>
      <c r="AL50" s="198"/>
      <c r="AM50" s="198"/>
      <c r="AN50" s="198"/>
      <c r="AO50" s="198"/>
      <c r="AP50" s="198"/>
      <c r="AQ50" s="198"/>
      <c r="AR50" s="198"/>
      <c r="AS50" s="198"/>
      <c r="AT50" s="198"/>
      <c r="AU50" s="198"/>
      <c r="AV50" s="198"/>
      <c r="AW50" s="198"/>
      <c r="AX50" s="198"/>
      <c r="AY50" s="198"/>
      <c r="AZ50" s="198"/>
      <c r="BA50" s="198"/>
      <c r="BB50" s="198"/>
      <c r="BC50" s="198"/>
      <c r="BD50" s="198"/>
      <c r="BE50" s="198"/>
      <c r="BF50" s="198"/>
      <c r="BG50" s="198"/>
      <c r="BH50" s="198"/>
      <c r="BI50" s="198"/>
      <c r="BJ50" s="198"/>
      <c r="BK50" s="198"/>
      <c r="BL50" s="198"/>
      <c r="BM50" s="198"/>
      <c r="BN50" s="198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7"/>
  <sheetViews>
    <sheetView workbookViewId="0">
      <selection activeCell="A17" sqref="A17:E25"/>
    </sheetView>
  </sheetViews>
  <sheetFormatPr defaultRowHeight="12" x14ac:dyDescent="0.2"/>
  <cols>
    <col min="1" max="1" width="15.5703125" style="63" customWidth="1"/>
    <col min="2" max="2" width="9.140625" style="63"/>
    <col min="3" max="3" width="12.42578125" style="63" customWidth="1"/>
    <col min="4" max="4" width="9.140625" style="63"/>
    <col min="5" max="5" width="11" style="63" customWidth="1"/>
    <col min="6" max="6" width="9.140625" style="63"/>
    <col min="7" max="7" width="15" style="63" customWidth="1"/>
    <col min="8" max="11" width="9.140625" style="63"/>
    <col min="12" max="12" width="14.7109375" style="63" customWidth="1"/>
    <col min="13" max="16384" width="9.140625" style="63"/>
  </cols>
  <sheetData>
    <row r="1" spans="1:14" ht="12.75" x14ac:dyDescent="0.2">
      <c r="A1" s="187" t="s">
        <v>59</v>
      </c>
      <c r="B1" s="184"/>
      <c r="C1" s="184"/>
      <c r="D1" s="184"/>
      <c r="E1" s="184"/>
      <c r="F1" s="184"/>
      <c r="G1" s="184"/>
      <c r="H1" s="184"/>
      <c r="I1" s="184"/>
      <c r="M1" s="90"/>
      <c r="N1" s="90"/>
    </row>
    <row r="2" spans="1:14" ht="12.75" x14ac:dyDescent="0.2">
      <c r="A2" s="185"/>
      <c r="B2" s="185"/>
      <c r="C2" s="185"/>
      <c r="D2" s="185"/>
      <c r="E2" s="185"/>
      <c r="F2" s="185"/>
      <c r="G2" s="185"/>
      <c r="H2" s="185"/>
      <c r="I2" s="185"/>
      <c r="J2" s="90"/>
      <c r="K2" s="90"/>
      <c r="L2" s="90"/>
      <c r="M2" s="90"/>
      <c r="N2" s="90"/>
    </row>
    <row r="3" spans="1:14" ht="12.75" x14ac:dyDescent="0.2">
      <c r="A3" s="184" t="s">
        <v>172</v>
      </c>
      <c r="B3" s="184" t="s">
        <v>52</v>
      </c>
      <c r="C3" s="127">
        <v>4.67</v>
      </c>
      <c r="D3" s="184"/>
      <c r="E3" s="127">
        <v>4.67</v>
      </c>
      <c r="F3" s="184"/>
      <c r="G3" s="184"/>
      <c r="H3" s="184"/>
      <c r="I3" s="184"/>
      <c r="M3" s="90"/>
      <c r="N3" s="90"/>
    </row>
    <row r="4" spans="1:14" ht="12.75" x14ac:dyDescent="0.2">
      <c r="A4" s="184" t="s">
        <v>180</v>
      </c>
      <c r="B4" s="184"/>
      <c r="C4" s="127">
        <v>0.01</v>
      </c>
      <c r="D4" s="184"/>
      <c r="E4" s="127">
        <v>0.1</v>
      </c>
      <c r="F4" s="184"/>
      <c r="G4" s="184"/>
      <c r="H4" s="184"/>
      <c r="I4" s="184"/>
      <c r="M4" s="90"/>
      <c r="N4" s="90"/>
    </row>
    <row r="5" spans="1:14" ht="12.75" x14ac:dyDescent="0.2">
      <c r="A5" s="184" t="s">
        <v>178</v>
      </c>
      <c r="B5" s="184"/>
      <c r="C5" s="127">
        <v>1.12E-2</v>
      </c>
      <c r="D5" s="184"/>
      <c r="E5" s="127">
        <v>1.12E-2</v>
      </c>
      <c r="F5" s="184"/>
      <c r="G5" s="184"/>
      <c r="H5" s="184"/>
      <c r="I5" s="184"/>
      <c r="M5" s="90"/>
      <c r="N5" s="90"/>
    </row>
    <row r="6" spans="1:14" ht="12.75" x14ac:dyDescent="0.2">
      <c r="A6" s="184" t="s">
        <v>174</v>
      </c>
      <c r="B6" s="184"/>
      <c r="C6" s="127">
        <v>9.4000000000000004E-3</v>
      </c>
      <c r="D6" s="184"/>
      <c r="E6" s="127">
        <v>9.4000000000000004E-3</v>
      </c>
      <c r="F6" s="184"/>
      <c r="G6" s="184"/>
      <c r="H6" s="184"/>
      <c r="I6" s="184"/>
      <c r="M6" s="90"/>
      <c r="N6" s="90"/>
    </row>
    <row r="7" spans="1:14" ht="12.75" x14ac:dyDescent="0.2">
      <c r="A7" s="184" t="s">
        <v>175</v>
      </c>
      <c r="B7" s="184"/>
      <c r="C7" s="128">
        <v>5.7999999999999996E-3</v>
      </c>
      <c r="D7" s="184"/>
      <c r="E7" s="128">
        <v>5.7999999999999996E-3</v>
      </c>
      <c r="F7" s="184"/>
      <c r="G7" s="184"/>
      <c r="H7" s="184"/>
      <c r="I7" s="184"/>
      <c r="M7" s="90"/>
      <c r="N7" s="90"/>
    </row>
    <row r="8" spans="1:14" ht="12.75" x14ac:dyDescent="0.2">
      <c r="A8" s="184" t="s">
        <v>179</v>
      </c>
      <c r="B8" s="184"/>
      <c r="C8" s="129">
        <f>ROUND(+C3/(1-C7)+(C5+C6),4)-C3</f>
        <v>4.7800000000000509E-2</v>
      </c>
      <c r="D8" s="184"/>
      <c r="E8" s="129">
        <f>ROUND(+E3/(1-E7)+(E5+E6),4)-E3</f>
        <v>4.7800000000000509E-2</v>
      </c>
      <c r="F8" s="184"/>
      <c r="G8" s="184"/>
      <c r="H8" s="184"/>
      <c r="I8" s="184"/>
      <c r="M8" s="90"/>
      <c r="N8" s="90"/>
    </row>
    <row r="9" spans="1:14" ht="13.5" thickBot="1" x14ac:dyDescent="0.25">
      <c r="A9" s="184"/>
      <c r="B9" s="184"/>
      <c r="C9" s="130">
        <f>SUM(C3,C4,C8)</f>
        <v>4.7278000000000002</v>
      </c>
      <c r="D9" s="184" t="s">
        <v>31</v>
      </c>
      <c r="E9" s="130">
        <f>SUM(E3,E4,E8)</f>
        <v>4.8178000000000001</v>
      </c>
      <c r="F9" s="185"/>
      <c r="G9" s="185"/>
      <c r="H9" s="185"/>
      <c r="I9" s="185"/>
      <c r="J9" s="90"/>
      <c r="K9" s="90"/>
      <c r="L9" s="90"/>
      <c r="M9" s="90"/>
      <c r="N9" s="90"/>
    </row>
    <row r="10" spans="1:14" ht="13.5" thickTop="1" x14ac:dyDescent="0.2">
      <c r="A10" s="184"/>
      <c r="B10" s="184"/>
      <c r="C10" s="184"/>
      <c r="D10" s="184"/>
      <c r="E10" s="184"/>
      <c r="F10" s="185"/>
      <c r="G10" s="185"/>
      <c r="H10" s="185"/>
      <c r="I10" s="185"/>
      <c r="J10" s="90"/>
      <c r="K10" s="90"/>
      <c r="L10" s="90"/>
      <c r="M10" s="90"/>
      <c r="N10" s="90"/>
    </row>
    <row r="11" spans="1:14" ht="12.75" x14ac:dyDescent="0.2">
      <c r="A11" s="184" t="s">
        <v>487</v>
      </c>
      <c r="B11" s="184" t="s">
        <v>489</v>
      </c>
      <c r="C11" s="184"/>
      <c r="D11" s="184"/>
      <c r="E11" s="184"/>
      <c r="F11" s="185"/>
      <c r="G11" s="185"/>
      <c r="H11" s="185"/>
      <c r="I11" s="185"/>
      <c r="J11" s="90"/>
      <c r="K11" s="90"/>
      <c r="L11" s="90"/>
      <c r="M11" s="90"/>
      <c r="N11" s="90"/>
    </row>
    <row r="12" spans="1:14" ht="12.75" x14ac:dyDescent="0.2">
      <c r="A12" s="184"/>
      <c r="B12" s="184" t="s">
        <v>488</v>
      </c>
      <c r="C12" s="184"/>
      <c r="D12" s="184"/>
      <c r="E12" s="184"/>
      <c r="F12" s="185"/>
      <c r="G12" s="185"/>
      <c r="H12" s="185"/>
      <c r="I12" s="185"/>
      <c r="J12" s="90"/>
      <c r="K12" s="90"/>
      <c r="L12" s="90"/>
      <c r="M12" s="90"/>
      <c r="N12" s="90"/>
    </row>
    <row r="13" spans="1:14" ht="12.75" x14ac:dyDescent="0.2">
      <c r="A13" s="184"/>
      <c r="B13" s="184" t="s">
        <v>31</v>
      </c>
      <c r="C13" s="184"/>
      <c r="D13" s="184"/>
      <c r="E13" s="184"/>
      <c r="F13" s="185"/>
      <c r="G13" s="185"/>
      <c r="H13" s="185"/>
      <c r="I13" s="185"/>
      <c r="J13" s="90"/>
      <c r="K13" s="90"/>
      <c r="L13" s="90"/>
      <c r="M13" s="90"/>
      <c r="N13" s="90"/>
    </row>
    <row r="14" spans="1:14" ht="12.75" x14ac:dyDescent="0.2">
      <c r="A14" s="90"/>
      <c r="B14" s="90"/>
      <c r="C14" s="90"/>
      <c r="D14" s="90"/>
      <c r="E14" s="90"/>
      <c r="F14" s="90"/>
      <c r="G14" s="90"/>
      <c r="H14" s="90"/>
      <c r="I14" s="90"/>
      <c r="J14" s="90"/>
      <c r="K14" s="90"/>
      <c r="L14" s="90"/>
      <c r="M14" s="90"/>
      <c r="N14" s="90"/>
    </row>
    <row r="15" spans="1:14" ht="12.75" x14ac:dyDescent="0.2">
      <c r="A15" s="90"/>
      <c r="B15" s="90"/>
      <c r="C15" s="90"/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</row>
    <row r="16" spans="1:14" ht="12.75" x14ac:dyDescent="0.2">
      <c r="A16" s="185"/>
      <c r="B16" s="185"/>
      <c r="C16" s="185"/>
      <c r="D16" s="185"/>
      <c r="E16" s="185"/>
      <c r="F16" s="185"/>
      <c r="G16" s="185"/>
      <c r="H16" s="185"/>
      <c r="I16" s="185"/>
      <c r="J16" s="90"/>
      <c r="K16" s="90"/>
      <c r="L16" s="90"/>
      <c r="M16" s="90"/>
      <c r="N16" s="90"/>
    </row>
    <row r="17" spans="1:14" ht="12.75" x14ac:dyDescent="0.2">
      <c r="A17" s="187" t="s">
        <v>181</v>
      </c>
      <c r="B17" s="184"/>
      <c r="C17" s="184" t="s">
        <v>81</v>
      </c>
      <c r="D17" s="184" t="s">
        <v>390</v>
      </c>
      <c r="E17" s="184" t="s">
        <v>31</v>
      </c>
      <c r="F17" s="185"/>
      <c r="G17" s="185"/>
      <c r="H17" s="185"/>
      <c r="I17" s="185"/>
      <c r="J17" s="90"/>
      <c r="K17" s="90"/>
      <c r="L17" s="90"/>
      <c r="M17" s="90"/>
      <c r="N17" s="90"/>
    </row>
    <row r="18" spans="1:14" ht="12.75" x14ac:dyDescent="0.2">
      <c r="A18" s="184" t="s">
        <v>172</v>
      </c>
      <c r="B18" s="184" t="s">
        <v>181</v>
      </c>
      <c r="C18" s="127">
        <v>4.53</v>
      </c>
      <c r="D18" s="184"/>
      <c r="E18" s="127">
        <v>4.53</v>
      </c>
      <c r="F18" s="185"/>
      <c r="G18" s="185" t="s">
        <v>391</v>
      </c>
      <c r="H18" s="185"/>
      <c r="I18" s="127">
        <f>+C24</f>
        <v>4.6613000000000007</v>
      </c>
      <c r="J18" s="90"/>
      <c r="K18" s="90"/>
      <c r="L18" s="90"/>
      <c r="M18" s="90"/>
      <c r="N18" s="90"/>
    </row>
    <row r="19" spans="1:14" ht="12.75" x14ac:dyDescent="0.2">
      <c r="A19" s="184" t="s">
        <v>180</v>
      </c>
      <c r="B19" s="184"/>
      <c r="C19" s="127">
        <v>7.4999999999999997E-3</v>
      </c>
      <c r="D19" s="184"/>
      <c r="E19" s="127">
        <v>7.4999999999999997E-3</v>
      </c>
      <c r="F19" s="185"/>
      <c r="G19" s="185"/>
      <c r="H19" s="185"/>
      <c r="I19" s="127">
        <v>0</v>
      </c>
      <c r="J19" s="90"/>
      <c r="K19" s="90"/>
      <c r="L19" s="90"/>
      <c r="M19" s="90"/>
      <c r="N19" s="90"/>
    </row>
    <row r="20" spans="1:14" ht="12.75" x14ac:dyDescent="0.2">
      <c r="A20" s="184" t="s">
        <v>173</v>
      </c>
      <c r="B20" s="184"/>
      <c r="C20" s="127">
        <v>1.3299999999999999E-2</v>
      </c>
      <c r="D20" s="184"/>
      <c r="E20" s="127">
        <v>1.3299999999999999E-2</v>
      </c>
      <c r="F20" s="185"/>
      <c r="G20" s="185" t="s">
        <v>392</v>
      </c>
      <c r="H20" s="185"/>
      <c r="I20" s="127">
        <v>1.5299999999999999E-2</v>
      </c>
      <c r="J20" s="90"/>
      <c r="K20" s="90"/>
      <c r="L20" s="90"/>
      <c r="M20" s="90"/>
      <c r="N20" s="90"/>
    </row>
    <row r="21" spans="1:14" ht="12.75" x14ac:dyDescent="0.2">
      <c r="A21" s="184" t="s">
        <v>174</v>
      </c>
      <c r="B21" s="184"/>
      <c r="C21" s="127">
        <v>9.4000000000000004E-3</v>
      </c>
      <c r="D21" s="184"/>
      <c r="E21" s="127">
        <v>9.4000000000000004E-3</v>
      </c>
      <c r="F21" s="185"/>
      <c r="G21" s="185" t="s">
        <v>175</v>
      </c>
      <c r="H21" s="185"/>
      <c r="I21" s="131">
        <v>1.6999999999999999E-3</v>
      </c>
      <c r="J21" s="90"/>
      <c r="K21" s="90"/>
      <c r="L21" s="90"/>
      <c r="M21" s="90"/>
      <c r="N21" s="90"/>
    </row>
    <row r="22" spans="1:14" ht="12.75" x14ac:dyDescent="0.2">
      <c r="A22" s="184" t="s">
        <v>175</v>
      </c>
      <c r="B22" s="184"/>
      <c r="C22" s="131">
        <v>2.1839999999999998E-2</v>
      </c>
      <c r="D22" s="184"/>
      <c r="E22" s="131">
        <v>2.1839999999999998E-2</v>
      </c>
      <c r="F22" s="185"/>
      <c r="G22" s="185"/>
      <c r="H22" s="185"/>
      <c r="I22" s="129">
        <f>ROUND(+I18/(1-I21)+I20,4)-I18</f>
        <v>2.3199999999999221E-2</v>
      </c>
      <c r="J22" s="90"/>
      <c r="K22" s="90"/>
      <c r="L22" s="90"/>
      <c r="M22" s="90"/>
      <c r="N22" s="90"/>
    </row>
    <row r="23" spans="1:14" ht="13.5" thickBot="1" x14ac:dyDescent="0.25">
      <c r="A23" s="184" t="s">
        <v>176</v>
      </c>
      <c r="B23" s="184"/>
      <c r="C23" s="129">
        <f>ROUND(+C18/(1-C22)+(C20+C21),4)-C18</f>
        <v>0.12380000000000013</v>
      </c>
      <c r="D23" s="184"/>
      <c r="E23" s="129">
        <f>ROUND(+E18/(1-E22)+(E20+E21),4)-E18</f>
        <v>0.12380000000000013</v>
      </c>
      <c r="F23" s="185"/>
      <c r="G23" s="185"/>
      <c r="H23" s="185"/>
      <c r="I23" s="130">
        <f>I18+I22</f>
        <v>4.6844999999999999</v>
      </c>
      <c r="J23" s="90"/>
      <c r="K23" s="90"/>
      <c r="L23" s="134"/>
      <c r="M23" s="90"/>
      <c r="N23" s="90"/>
    </row>
    <row r="24" spans="1:14" ht="14.25" thickTop="1" thickBot="1" x14ac:dyDescent="0.25">
      <c r="A24" s="184"/>
      <c r="B24" s="184"/>
      <c r="C24" s="130">
        <f>SUM(C18,C19,C23)</f>
        <v>4.6613000000000007</v>
      </c>
      <c r="D24" s="184"/>
      <c r="E24" s="129">
        <v>0.02</v>
      </c>
      <c r="F24" s="185"/>
      <c r="G24" s="185"/>
      <c r="H24" s="185"/>
      <c r="I24" s="186" t="s">
        <v>31</v>
      </c>
      <c r="J24" s="90"/>
      <c r="K24" s="90"/>
      <c r="L24" s="134"/>
      <c r="M24" s="90"/>
      <c r="N24" s="90"/>
    </row>
    <row r="25" spans="1:14" ht="14.25" thickTop="1" thickBot="1" x14ac:dyDescent="0.25">
      <c r="A25" s="184" t="s">
        <v>528</v>
      </c>
      <c r="B25" s="184"/>
      <c r="C25" s="184"/>
      <c r="D25" s="184"/>
      <c r="E25" s="130">
        <f>+E24+E23+E18</f>
        <v>4.6738</v>
      </c>
      <c r="F25" s="184" t="s">
        <v>527</v>
      </c>
      <c r="G25" s="184"/>
      <c r="H25" s="185"/>
      <c r="I25" s="185"/>
      <c r="J25" s="90"/>
      <c r="K25" s="90"/>
      <c r="L25" s="134"/>
      <c r="M25" s="90"/>
      <c r="N25" s="90"/>
    </row>
    <row r="26" spans="1:14" ht="13.5" thickTop="1" x14ac:dyDescent="0.2">
      <c r="A26" s="184"/>
      <c r="B26" s="184"/>
      <c r="C26" s="273"/>
      <c r="D26" s="184"/>
      <c r="E26" s="273"/>
      <c r="F26" s="184"/>
      <c r="G26" s="184"/>
      <c r="H26" s="185"/>
      <c r="I26" s="185"/>
      <c r="J26" s="90"/>
      <c r="K26" s="90"/>
      <c r="L26" s="134"/>
      <c r="M26" s="90"/>
      <c r="N26" s="90"/>
    </row>
    <row r="27" spans="1:14" ht="12.75" x14ac:dyDescent="0.2">
      <c r="A27" s="184"/>
      <c r="B27" s="184"/>
      <c r="C27" s="274"/>
      <c r="D27" s="184"/>
      <c r="E27" s="274"/>
      <c r="F27" s="184"/>
      <c r="G27" s="184"/>
      <c r="H27" s="185"/>
      <c r="I27" s="185"/>
      <c r="J27" s="90"/>
      <c r="K27" s="90"/>
      <c r="L27" s="134"/>
      <c r="M27" s="90"/>
      <c r="N27" s="90"/>
    </row>
    <row r="28" spans="1:14" ht="12.75" x14ac:dyDescent="0.2">
      <c r="C28" s="65"/>
      <c r="H28" s="90"/>
      <c r="I28" s="90"/>
      <c r="J28" s="90"/>
      <c r="K28" s="90"/>
      <c r="L28" s="134"/>
      <c r="M28" s="90"/>
      <c r="N28" s="90"/>
    </row>
    <row r="29" spans="1:14" ht="12.75" x14ac:dyDescent="0.2">
      <c r="A29" s="90"/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</row>
    <row r="30" spans="1:14" ht="12.75" x14ac:dyDescent="0.2">
      <c r="A30" s="90"/>
      <c r="B30" s="90"/>
      <c r="C30" s="90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90"/>
    </row>
    <row r="31" spans="1:14" ht="12.75" x14ac:dyDescent="0.2">
      <c r="A31" s="90"/>
      <c r="B31" s="90"/>
      <c r="C31" s="90"/>
      <c r="D31" s="90"/>
      <c r="E31" s="90"/>
      <c r="F31" s="90"/>
      <c r="G31" s="90"/>
      <c r="H31" s="90"/>
      <c r="I31" s="90"/>
      <c r="J31" s="90"/>
      <c r="K31" s="90"/>
      <c r="L31" s="90"/>
      <c r="M31" s="90"/>
      <c r="N31" s="90"/>
    </row>
    <row r="32" spans="1:14" ht="12.75" x14ac:dyDescent="0.2">
      <c r="A32" s="90"/>
      <c r="B32" s="90"/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0"/>
    </row>
    <row r="33" spans="1:14" ht="12.75" x14ac:dyDescent="0.2">
      <c r="A33" s="90"/>
      <c r="B33" s="90"/>
      <c r="C33" s="90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90"/>
    </row>
    <row r="34" spans="1:14" ht="12.75" x14ac:dyDescent="0.2">
      <c r="A34" s="185"/>
      <c r="B34" s="185"/>
      <c r="C34" s="185"/>
      <c r="D34" s="185"/>
      <c r="E34" s="185"/>
      <c r="F34" s="185"/>
      <c r="G34" s="185"/>
      <c r="H34" s="185"/>
      <c r="I34" s="185"/>
      <c r="J34" s="90"/>
      <c r="K34" s="90"/>
      <c r="L34" s="90"/>
      <c r="M34" s="90"/>
      <c r="N34" s="90"/>
    </row>
    <row r="35" spans="1:14" ht="12.75" x14ac:dyDescent="0.2">
      <c r="A35" s="187" t="s">
        <v>54</v>
      </c>
      <c r="B35" s="184"/>
      <c r="C35" s="184" t="s">
        <v>236</v>
      </c>
      <c r="D35" s="184"/>
      <c r="E35" s="184" t="s">
        <v>237</v>
      </c>
      <c r="F35" s="184"/>
      <c r="G35" s="184" t="s">
        <v>238</v>
      </c>
      <c r="H35" s="185"/>
      <c r="I35" s="185"/>
      <c r="J35" s="90"/>
      <c r="K35" s="90"/>
      <c r="L35" s="90"/>
      <c r="M35" s="90"/>
      <c r="N35" s="90"/>
    </row>
    <row r="36" spans="1:14" ht="12.75" x14ac:dyDescent="0.2">
      <c r="A36" s="184" t="s">
        <v>172</v>
      </c>
      <c r="B36" s="184" t="s">
        <v>54</v>
      </c>
      <c r="C36" s="127">
        <v>4.59</v>
      </c>
      <c r="D36" s="184"/>
      <c r="E36" s="127">
        <v>4.59</v>
      </c>
      <c r="F36" s="184"/>
      <c r="G36" s="127">
        <v>4.59</v>
      </c>
      <c r="H36" s="185"/>
      <c r="I36" s="185"/>
      <c r="J36" s="90"/>
      <c r="K36" s="90"/>
      <c r="L36" s="90"/>
      <c r="M36" s="90"/>
      <c r="N36" s="90"/>
    </row>
    <row r="37" spans="1:14" ht="12.75" x14ac:dyDescent="0.2">
      <c r="A37" s="184" t="s">
        <v>180</v>
      </c>
      <c r="B37" s="184"/>
      <c r="C37" s="127">
        <v>7.4999999999999997E-3</v>
      </c>
      <c r="D37" s="184"/>
      <c r="E37" s="127">
        <v>7.4999999999999997E-3</v>
      </c>
      <c r="F37" s="184"/>
      <c r="G37" s="127">
        <v>7.4999999999999997E-3</v>
      </c>
      <c r="H37" s="185"/>
      <c r="I37" s="185"/>
      <c r="J37" s="90"/>
      <c r="K37" s="90"/>
      <c r="L37" s="90"/>
      <c r="M37" s="90"/>
      <c r="N37" s="90"/>
    </row>
    <row r="38" spans="1:14" ht="12.75" x14ac:dyDescent="0.2">
      <c r="A38" s="184" t="s">
        <v>173</v>
      </c>
      <c r="B38" s="184"/>
      <c r="C38" s="127">
        <v>3.95E-2</v>
      </c>
      <c r="D38" s="184"/>
      <c r="E38" s="127">
        <v>3.95E-2</v>
      </c>
      <c r="F38" s="184"/>
      <c r="G38" s="127">
        <v>3.95E-2</v>
      </c>
      <c r="H38" s="185"/>
      <c r="I38" s="185"/>
      <c r="J38" s="90"/>
      <c r="K38" s="90"/>
      <c r="L38" s="90"/>
      <c r="M38" s="90"/>
      <c r="N38" s="90"/>
    </row>
    <row r="39" spans="1:14" ht="12.75" x14ac:dyDescent="0.2">
      <c r="A39" s="184" t="s">
        <v>174</v>
      </c>
      <c r="B39" s="184"/>
      <c r="C39" s="127">
        <v>2.2000000000000001E-3</v>
      </c>
      <c r="D39" s="184"/>
      <c r="E39" s="127">
        <v>2.2000000000000001E-3</v>
      </c>
      <c r="F39" s="184"/>
      <c r="G39" s="127">
        <v>2.2000000000000001E-3</v>
      </c>
      <c r="H39" s="185"/>
      <c r="I39" s="185"/>
      <c r="J39" s="90"/>
      <c r="K39" s="90"/>
      <c r="L39" s="90"/>
      <c r="M39" s="90"/>
      <c r="N39" s="90"/>
    </row>
    <row r="40" spans="1:14" ht="12.75" x14ac:dyDescent="0.2">
      <c r="A40" s="184" t="s">
        <v>175</v>
      </c>
      <c r="B40" s="184"/>
      <c r="C40" s="128">
        <v>2.2800000000000001E-2</v>
      </c>
      <c r="D40" s="184"/>
      <c r="E40" s="128">
        <v>2.2800000000000001E-2</v>
      </c>
      <c r="F40" s="184"/>
      <c r="G40" s="128">
        <v>2.2800000000000001E-2</v>
      </c>
      <c r="H40" s="185"/>
      <c r="I40" s="185"/>
      <c r="J40" s="90"/>
      <c r="K40" s="90"/>
      <c r="L40" s="90"/>
      <c r="M40" s="90"/>
      <c r="N40" s="90"/>
    </row>
    <row r="41" spans="1:14" ht="12.75" x14ac:dyDescent="0.2">
      <c r="A41" s="184" t="s">
        <v>176</v>
      </c>
      <c r="B41" s="184"/>
      <c r="C41" s="129">
        <f>ROUND(+C36/(1-C40)+(C38+C39),4)-C36</f>
        <v>0.14880000000000049</v>
      </c>
      <c r="D41" s="184"/>
      <c r="E41" s="129">
        <f>ROUND(+E36/(1-E40)+(E38+E39),4)-E36</f>
        <v>0.14880000000000049</v>
      </c>
      <c r="F41" s="188"/>
      <c r="G41" s="129">
        <f>ROUND(+G36/(1-G40)+(G38+G39),4)-G36</f>
        <v>0.14880000000000049</v>
      </c>
      <c r="H41" s="185"/>
      <c r="I41" s="185"/>
      <c r="J41" s="90"/>
      <c r="K41" s="90"/>
      <c r="L41" s="90"/>
      <c r="M41" s="90"/>
      <c r="N41" s="90"/>
    </row>
    <row r="42" spans="1:14" ht="12.75" x14ac:dyDescent="0.2">
      <c r="A42" s="184" t="s">
        <v>28</v>
      </c>
      <c r="B42" s="184"/>
      <c r="C42" s="129">
        <v>0</v>
      </c>
      <c r="D42" s="184"/>
      <c r="E42" s="129">
        <v>0.02</v>
      </c>
      <c r="F42" s="188"/>
      <c r="G42" s="129">
        <v>0.02</v>
      </c>
      <c r="H42" s="185"/>
      <c r="I42" s="185"/>
      <c r="J42" s="90"/>
      <c r="K42" s="90"/>
      <c r="L42" s="90"/>
      <c r="M42" s="90"/>
      <c r="N42" s="90"/>
    </row>
    <row r="43" spans="1:14" ht="13.5" thickBot="1" x14ac:dyDescent="0.25">
      <c r="A43" s="184" t="s">
        <v>177</v>
      </c>
      <c r="B43" s="184"/>
      <c r="C43" s="132">
        <f>SUM(C41,C36:C37,C42)</f>
        <v>4.7463000000000006</v>
      </c>
      <c r="D43" s="184"/>
      <c r="E43" s="132">
        <f>SUM(E41,E36:E37,E42)</f>
        <v>4.7663000000000002</v>
      </c>
      <c r="F43" s="188"/>
      <c r="G43" s="132">
        <f>SUM(G41,G36:G37,G42)</f>
        <v>4.7663000000000002</v>
      </c>
      <c r="H43" s="185"/>
      <c r="I43" s="185"/>
      <c r="J43" s="90"/>
      <c r="K43" s="90"/>
      <c r="L43" s="90"/>
      <c r="M43" s="90"/>
      <c r="N43" s="90"/>
    </row>
    <row r="44" spans="1:14" ht="13.5" thickTop="1" x14ac:dyDescent="0.2">
      <c r="A44" s="184" t="s">
        <v>31</v>
      </c>
      <c r="B44" s="184" t="s">
        <v>31</v>
      </c>
      <c r="C44" s="197">
        <v>6600</v>
      </c>
      <c r="D44" s="184"/>
      <c r="E44" s="197">
        <v>0</v>
      </c>
      <c r="F44" s="188"/>
      <c r="G44" s="197">
        <v>5190</v>
      </c>
      <c r="H44" s="185"/>
      <c r="I44" s="185"/>
      <c r="J44" s="90"/>
      <c r="K44" s="90"/>
      <c r="L44" s="90"/>
      <c r="M44" s="90"/>
      <c r="N44" s="90"/>
    </row>
    <row r="45" spans="1:14" ht="12.75" x14ac:dyDescent="0.2">
      <c r="A45" s="184" t="s">
        <v>483</v>
      </c>
      <c r="B45" s="184"/>
      <c r="C45" s="186"/>
      <c r="D45" s="184"/>
      <c r="E45" s="188"/>
      <c r="F45" s="188"/>
      <c r="G45" s="188"/>
      <c r="H45" s="185"/>
      <c r="I45" s="185"/>
      <c r="J45" s="90"/>
      <c r="K45" s="90"/>
      <c r="L45" s="90"/>
      <c r="M45" s="90"/>
      <c r="N45" s="90"/>
    </row>
    <row r="46" spans="1:14" ht="12.75" x14ac:dyDescent="0.2">
      <c r="A46" s="184" t="s">
        <v>343</v>
      </c>
      <c r="B46" s="184"/>
      <c r="C46" s="186"/>
      <c r="D46" s="184"/>
      <c r="E46" s="184"/>
      <c r="F46" s="184"/>
      <c r="G46" s="184"/>
      <c r="H46" s="185"/>
      <c r="I46" s="185"/>
      <c r="J46" s="90"/>
      <c r="K46" s="90"/>
      <c r="L46" s="90"/>
      <c r="M46" s="90"/>
      <c r="N46" s="90"/>
    </row>
    <row r="47" spans="1:14" ht="12.75" x14ac:dyDescent="0.2">
      <c r="A47" s="184" t="s">
        <v>31</v>
      </c>
      <c r="B47" s="184"/>
      <c r="C47" s="186"/>
      <c r="D47" s="184"/>
      <c r="E47" s="184"/>
      <c r="F47" s="184"/>
      <c r="G47" s="184"/>
      <c r="H47" s="185"/>
      <c r="I47" s="185"/>
      <c r="J47" s="90"/>
      <c r="K47" s="90"/>
      <c r="L47" s="90"/>
      <c r="M47" s="90"/>
      <c r="N47" s="90"/>
    </row>
    <row r="48" spans="1:14" ht="12.75" x14ac:dyDescent="0.2">
      <c r="A48" s="63" t="s">
        <v>31</v>
      </c>
      <c r="C48" s="69"/>
      <c r="H48" s="90"/>
      <c r="I48" s="90"/>
      <c r="J48" s="90"/>
      <c r="K48" s="90"/>
      <c r="L48" s="90"/>
      <c r="M48" s="90"/>
      <c r="N48" s="90"/>
    </row>
    <row r="49" spans="1:14" ht="12.75" x14ac:dyDescent="0.2">
      <c r="C49" s="69"/>
      <c r="H49" s="90"/>
      <c r="I49" s="90" t="s">
        <v>31</v>
      </c>
      <c r="J49" s="90"/>
      <c r="K49" s="90"/>
      <c r="L49" s="90"/>
      <c r="M49" s="90"/>
      <c r="N49" s="90"/>
    </row>
    <row r="50" spans="1:14" ht="12.75" x14ac:dyDescent="0.2">
      <c r="A50" s="63" t="s">
        <v>31</v>
      </c>
      <c r="C50" s="69"/>
      <c r="H50" s="90"/>
      <c r="I50" s="90"/>
      <c r="J50" s="90"/>
      <c r="K50" s="90"/>
      <c r="L50" s="90"/>
      <c r="M50" s="90"/>
      <c r="N50" s="90"/>
    </row>
    <row r="51" spans="1:14" ht="12.75" x14ac:dyDescent="0.2">
      <c r="A51" s="63" t="s">
        <v>31</v>
      </c>
      <c r="B51" s="63" t="s">
        <v>31</v>
      </c>
      <c r="C51" s="69"/>
      <c r="H51" s="90"/>
      <c r="I51" s="90"/>
      <c r="J51" s="90"/>
      <c r="K51" s="90"/>
      <c r="L51" s="90"/>
      <c r="M51" s="90"/>
      <c r="N51" s="90"/>
    </row>
    <row r="52" spans="1:14" ht="12.75" x14ac:dyDescent="0.2">
      <c r="A52" s="63" t="s">
        <v>31</v>
      </c>
      <c r="B52" s="63" t="s">
        <v>31</v>
      </c>
      <c r="C52" s="69"/>
      <c r="H52" s="90"/>
      <c r="I52" s="90"/>
      <c r="J52" s="90"/>
      <c r="K52" s="90"/>
      <c r="L52" s="90"/>
      <c r="M52" s="90"/>
      <c r="N52" s="90"/>
    </row>
    <row r="53" spans="1:14" ht="12.75" x14ac:dyDescent="0.2">
      <c r="C53" s="69"/>
      <c r="H53" s="90"/>
      <c r="I53" s="90"/>
      <c r="J53" s="90"/>
      <c r="K53" s="90"/>
      <c r="L53" s="90"/>
      <c r="M53" s="90"/>
      <c r="N53" s="90"/>
    </row>
    <row r="54" spans="1:14" ht="12.75" x14ac:dyDescent="0.2">
      <c r="C54" s="69"/>
      <c r="H54" s="90"/>
      <c r="I54" s="90"/>
      <c r="J54" s="90"/>
      <c r="K54" s="90"/>
      <c r="L54" s="90"/>
      <c r="M54" s="90"/>
      <c r="N54" s="90"/>
    </row>
    <row r="55" spans="1:14" ht="12.75" x14ac:dyDescent="0.2">
      <c r="C55" s="69"/>
      <c r="H55" s="90"/>
      <c r="I55" s="90"/>
      <c r="J55" s="90"/>
      <c r="K55" s="90"/>
      <c r="L55" s="90"/>
      <c r="M55" s="90"/>
      <c r="N55" s="90"/>
    </row>
    <row r="56" spans="1:14" ht="12.75" x14ac:dyDescent="0.2">
      <c r="A56" s="184"/>
      <c r="B56" s="184"/>
      <c r="C56" s="186"/>
      <c r="D56" s="184"/>
      <c r="E56" s="184"/>
      <c r="F56" s="184"/>
      <c r="G56" s="184"/>
      <c r="H56" s="185"/>
      <c r="I56" s="185"/>
      <c r="J56" s="90"/>
      <c r="K56" s="90"/>
      <c r="L56" s="90"/>
      <c r="M56" s="90"/>
      <c r="N56" s="90"/>
    </row>
    <row r="57" spans="1:14" ht="12.75" x14ac:dyDescent="0.2">
      <c r="A57" s="187" t="s">
        <v>239</v>
      </c>
      <c r="B57" s="184"/>
      <c r="C57" s="162" t="s">
        <v>240</v>
      </c>
      <c r="D57" s="184"/>
      <c r="E57" s="162" t="s">
        <v>241</v>
      </c>
      <c r="F57" s="184"/>
      <c r="G57" s="185"/>
      <c r="H57" s="185"/>
      <c r="I57" s="185"/>
      <c r="J57" s="90"/>
      <c r="K57" s="90"/>
      <c r="L57" s="90"/>
      <c r="M57" s="90"/>
      <c r="N57" s="90"/>
    </row>
    <row r="58" spans="1:14" ht="12.75" x14ac:dyDescent="0.2">
      <c r="A58" s="184" t="s">
        <v>172</v>
      </c>
      <c r="B58" s="184" t="s">
        <v>242</v>
      </c>
      <c r="C58" s="127">
        <v>4.32</v>
      </c>
      <c r="D58" s="184"/>
      <c r="E58" s="127">
        <f>+C64</f>
        <v>4.4939999999999998</v>
      </c>
      <c r="F58" s="184"/>
      <c r="G58" s="185"/>
      <c r="H58" s="185"/>
      <c r="I58" s="185"/>
      <c r="J58" s="90"/>
      <c r="K58" s="90"/>
      <c r="L58" s="90"/>
      <c r="M58" s="90"/>
      <c r="N58" s="90"/>
    </row>
    <row r="59" spans="1:14" ht="12.75" x14ac:dyDescent="0.2">
      <c r="A59" s="184" t="s">
        <v>180</v>
      </c>
      <c r="B59" s="184"/>
      <c r="C59" s="127">
        <v>0.01</v>
      </c>
      <c r="D59" s="184"/>
      <c r="E59" s="127">
        <v>0</v>
      </c>
      <c r="F59" s="184"/>
      <c r="G59" s="185"/>
      <c r="H59" s="185"/>
      <c r="I59" s="185"/>
      <c r="J59" s="90"/>
      <c r="K59" s="90"/>
      <c r="L59" s="90"/>
      <c r="M59" s="90"/>
      <c r="N59" s="90"/>
    </row>
    <row r="60" spans="1:14" ht="12.75" x14ac:dyDescent="0.2">
      <c r="A60" s="184" t="s">
        <v>173</v>
      </c>
      <c r="B60" s="184"/>
      <c r="C60" s="127">
        <v>5.7200000000000001E-2</v>
      </c>
      <c r="D60" s="184"/>
      <c r="E60" s="127">
        <v>1.1000000000000001E-3</v>
      </c>
      <c r="F60" s="184"/>
      <c r="G60" s="185"/>
      <c r="H60" s="185"/>
      <c r="I60" s="185"/>
      <c r="J60" s="90"/>
      <c r="K60" s="90"/>
      <c r="L60" s="90"/>
      <c r="M60" s="90"/>
      <c r="N60" s="90"/>
    </row>
    <row r="61" spans="1:14" ht="12.75" x14ac:dyDescent="0.2">
      <c r="A61" s="184" t="s">
        <v>174</v>
      </c>
      <c r="B61" s="184"/>
      <c r="C61" s="127">
        <v>3.1899999999999998E-2</v>
      </c>
      <c r="D61" s="184"/>
      <c r="E61" s="127">
        <v>9.4000000000000004E-3</v>
      </c>
      <c r="F61" s="184" t="s">
        <v>243</v>
      </c>
      <c r="G61" s="185"/>
      <c r="H61" s="185"/>
      <c r="I61" s="185"/>
      <c r="J61" s="90"/>
      <c r="K61" s="90"/>
      <c r="L61" s="90"/>
      <c r="M61" s="90"/>
      <c r="N61" s="90"/>
    </row>
    <row r="62" spans="1:14" ht="12.75" x14ac:dyDescent="0.2">
      <c r="A62" s="184" t="s">
        <v>175</v>
      </c>
      <c r="B62" s="184"/>
      <c r="C62" s="128">
        <v>1.7000000000000001E-2</v>
      </c>
      <c r="D62" s="184"/>
      <c r="E62" s="128">
        <v>2.1999999999999999E-2</v>
      </c>
      <c r="F62" s="184"/>
      <c r="G62" s="185"/>
      <c r="H62" s="185"/>
      <c r="I62" s="185"/>
      <c r="J62" s="90"/>
      <c r="K62" s="90"/>
      <c r="L62" s="90"/>
      <c r="M62" s="90"/>
      <c r="N62" s="90"/>
    </row>
    <row r="63" spans="1:14" ht="12.75" x14ac:dyDescent="0.2">
      <c r="A63" s="184" t="s">
        <v>176</v>
      </c>
      <c r="B63" s="184"/>
      <c r="C63" s="129">
        <f>ROUND((+C58+C59)/(1-C62)-(C58+C59)+C60+C61,4)</f>
        <v>0.16400000000000001</v>
      </c>
      <c r="D63" s="184"/>
      <c r="E63" s="129">
        <f>ROUND((+E58+E59)/(1-E62)-(E58+E59)+E60+E61,4)</f>
        <v>0.1116</v>
      </c>
      <c r="F63" s="184"/>
      <c r="G63" s="185"/>
      <c r="H63" s="185"/>
      <c r="I63" s="185"/>
      <c r="J63" s="90"/>
      <c r="K63" s="90"/>
      <c r="L63" s="90"/>
      <c r="M63" s="90"/>
      <c r="N63" s="90"/>
    </row>
    <row r="64" spans="1:14" ht="13.5" thickBot="1" x14ac:dyDescent="0.25">
      <c r="A64" s="184" t="s">
        <v>177</v>
      </c>
      <c r="B64" s="184"/>
      <c r="C64" s="130">
        <f>SUM(C63,C58:C59)</f>
        <v>4.4939999999999998</v>
      </c>
      <c r="D64" s="184"/>
      <c r="E64" s="130">
        <f>SUM(E63,E58:E59)</f>
        <v>4.6055999999999999</v>
      </c>
      <c r="F64" s="184" t="s">
        <v>482</v>
      </c>
      <c r="G64" s="185"/>
      <c r="H64" s="185"/>
      <c r="I64" s="185"/>
      <c r="J64" s="90"/>
      <c r="K64" s="90"/>
      <c r="L64" s="90"/>
      <c r="M64" s="90"/>
      <c r="N64" s="90"/>
    </row>
    <row r="65" spans="1:14" ht="13.5" thickTop="1" x14ac:dyDescent="0.2">
      <c r="A65" s="184"/>
      <c r="B65" s="184"/>
      <c r="C65" s="184"/>
      <c r="D65" s="184"/>
      <c r="E65" s="184"/>
      <c r="F65" s="184"/>
      <c r="G65" s="185"/>
      <c r="H65" s="185"/>
      <c r="I65" s="185"/>
      <c r="J65" s="90"/>
      <c r="K65" s="90"/>
      <c r="L65" s="90"/>
      <c r="M65" s="90"/>
      <c r="N65" s="90"/>
    </row>
    <row r="66" spans="1:14" ht="12.75" x14ac:dyDescent="0.2">
      <c r="A66" s="185"/>
      <c r="B66" s="185"/>
      <c r="C66" s="185"/>
      <c r="D66" s="185"/>
      <c r="E66" s="185"/>
      <c r="F66" s="185"/>
      <c r="G66" s="185"/>
      <c r="H66" s="185"/>
      <c r="I66" s="185"/>
      <c r="J66" s="90"/>
      <c r="K66" s="90"/>
      <c r="L66" s="90"/>
      <c r="M66" s="90"/>
      <c r="N66" s="90"/>
    </row>
    <row r="67" spans="1:14" ht="12.75" x14ac:dyDescent="0.2">
      <c r="A67" s="90"/>
      <c r="B67" s="90"/>
      <c r="C67" s="90"/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90"/>
    </row>
    <row r="68" spans="1:14" ht="12.75" x14ac:dyDescent="0.2">
      <c r="A68" s="185"/>
      <c r="B68" s="185"/>
      <c r="C68" s="185"/>
      <c r="D68" s="185"/>
      <c r="E68" s="185"/>
      <c r="F68" s="185"/>
      <c r="G68" s="185"/>
      <c r="H68" s="185"/>
      <c r="I68" s="185"/>
      <c r="J68" s="90"/>
      <c r="K68" s="90"/>
      <c r="L68" s="90"/>
      <c r="M68" s="90"/>
      <c r="N68" s="90"/>
    </row>
    <row r="69" spans="1:14" ht="12.75" x14ac:dyDescent="0.2">
      <c r="A69" s="187" t="s">
        <v>244</v>
      </c>
      <c r="B69" s="184"/>
      <c r="C69" s="162" t="s">
        <v>81</v>
      </c>
      <c r="D69" s="184"/>
      <c r="E69" s="162" t="s">
        <v>245</v>
      </c>
      <c r="F69" s="184"/>
      <c r="G69" s="185"/>
      <c r="H69" s="185"/>
      <c r="I69" s="185"/>
      <c r="J69" s="90"/>
      <c r="K69" s="90"/>
      <c r="L69" s="90"/>
      <c r="M69" s="90"/>
      <c r="N69" s="90"/>
    </row>
    <row r="70" spans="1:14" ht="12.75" x14ac:dyDescent="0.2">
      <c r="A70" s="184" t="s">
        <v>172</v>
      </c>
      <c r="B70" s="184" t="s">
        <v>54</v>
      </c>
      <c r="C70" s="127">
        <v>4.59</v>
      </c>
      <c r="D70" s="184"/>
      <c r="E70" s="127">
        <v>4.59</v>
      </c>
      <c r="F70" s="184"/>
      <c r="G70" s="185"/>
      <c r="H70" s="185"/>
      <c r="I70" s="185"/>
      <c r="J70" s="90"/>
      <c r="K70" s="90"/>
      <c r="L70" s="90"/>
      <c r="M70" s="90"/>
      <c r="N70" s="90"/>
    </row>
    <row r="71" spans="1:14" ht="12.75" x14ac:dyDescent="0.2">
      <c r="A71" s="184" t="s">
        <v>180</v>
      </c>
      <c r="B71" s="184"/>
      <c r="C71" s="127">
        <v>2.75E-2</v>
      </c>
      <c r="D71" s="184"/>
      <c r="E71" s="127">
        <v>2.75E-2</v>
      </c>
      <c r="F71" s="184"/>
      <c r="G71" s="185"/>
      <c r="H71" s="185"/>
      <c r="I71" s="185"/>
      <c r="J71" s="90"/>
      <c r="K71" s="90"/>
      <c r="L71" s="90"/>
      <c r="M71" s="90"/>
      <c r="N71" s="90"/>
    </row>
    <row r="72" spans="1:14" ht="12.75" x14ac:dyDescent="0.2">
      <c r="A72" s="184" t="s">
        <v>173</v>
      </c>
      <c r="B72" s="184"/>
      <c r="C72" s="127">
        <v>9.1999999999999998E-3</v>
      </c>
      <c r="D72" s="184"/>
      <c r="E72" s="127">
        <v>0.2127</v>
      </c>
      <c r="F72" s="184"/>
      <c r="G72" s="185"/>
      <c r="H72" s="185"/>
      <c r="I72" s="185"/>
      <c r="J72" s="90"/>
      <c r="K72" s="90"/>
      <c r="L72" s="90"/>
      <c r="M72" s="90"/>
      <c r="N72" s="90"/>
    </row>
    <row r="73" spans="1:14" ht="12.75" x14ac:dyDescent="0.2">
      <c r="A73" s="184" t="s">
        <v>174</v>
      </c>
      <c r="B73" s="184"/>
      <c r="C73" s="127">
        <v>9.4000000000000004E-3</v>
      </c>
      <c r="D73" s="184"/>
      <c r="E73" s="127">
        <v>9.4000000000000004E-3</v>
      </c>
      <c r="F73" s="185"/>
      <c r="G73" s="185"/>
      <c r="H73" s="185"/>
      <c r="I73" s="185"/>
      <c r="J73" s="90"/>
      <c r="K73" s="90"/>
      <c r="L73" s="90"/>
      <c r="M73" s="90"/>
      <c r="N73" s="90"/>
    </row>
    <row r="74" spans="1:14" ht="12.75" x14ac:dyDescent="0.2">
      <c r="A74" s="184" t="s">
        <v>175</v>
      </c>
      <c r="B74" s="184"/>
      <c r="C74" s="128">
        <v>0.03</v>
      </c>
      <c r="D74" s="184"/>
      <c r="E74" s="128">
        <v>0.03</v>
      </c>
      <c r="F74" s="185"/>
      <c r="G74" s="185"/>
      <c r="H74" s="185"/>
      <c r="I74" s="185"/>
      <c r="J74" s="90"/>
      <c r="K74" s="90"/>
      <c r="L74" s="90"/>
      <c r="M74" s="90"/>
      <c r="N74" s="90"/>
    </row>
    <row r="75" spans="1:14" ht="12.75" x14ac:dyDescent="0.2">
      <c r="A75" s="184" t="s">
        <v>176</v>
      </c>
      <c r="B75" s="184"/>
      <c r="C75" s="129">
        <f>ROUND((+C70+C71)/(1-C74)-(C70+C71)+C72+C73,4)</f>
        <v>0.16139999999999999</v>
      </c>
      <c r="D75" s="184"/>
      <c r="E75" s="129">
        <f>ROUND((+E70+E71)/(1-E74)-(E70+E71)+E72+E73,4)</f>
        <v>0.3649</v>
      </c>
      <c r="F75" s="185"/>
      <c r="G75" s="185"/>
      <c r="H75" s="185"/>
      <c r="I75" s="185"/>
      <c r="J75" s="90"/>
      <c r="K75" s="90"/>
      <c r="L75" s="90"/>
      <c r="M75" s="90"/>
      <c r="N75" s="90"/>
    </row>
    <row r="76" spans="1:14" ht="13.5" thickBot="1" x14ac:dyDescent="0.25">
      <c r="A76" s="184" t="s">
        <v>177</v>
      </c>
      <c r="B76" s="184"/>
      <c r="C76" s="130">
        <f>SUM(C75,C70:C71)</f>
        <v>4.7789000000000001</v>
      </c>
      <c r="D76" s="184"/>
      <c r="E76" s="130">
        <f>SUM(E75,E70:E71)</f>
        <v>4.9824000000000002</v>
      </c>
      <c r="F76" s="185"/>
      <c r="G76" s="185"/>
      <c r="H76" s="185"/>
      <c r="I76" s="185"/>
      <c r="J76" s="90"/>
      <c r="K76" s="90"/>
      <c r="L76" s="90"/>
      <c r="M76" s="90"/>
      <c r="N76" s="90"/>
    </row>
    <row r="77" spans="1:14" ht="13.5" thickTop="1" x14ac:dyDescent="0.2">
      <c r="A77" s="184"/>
      <c r="B77" s="184"/>
      <c r="C77" s="184"/>
      <c r="D77" s="184"/>
      <c r="E77" s="184"/>
      <c r="F77" s="185"/>
      <c r="G77" s="185"/>
      <c r="H77" s="185"/>
      <c r="I77" s="185"/>
      <c r="J77" s="90"/>
      <c r="K77" s="90"/>
      <c r="L77" s="90"/>
      <c r="M77" s="90"/>
      <c r="N77" s="90"/>
    </row>
    <row r="78" spans="1:14" ht="12.75" x14ac:dyDescent="0.2">
      <c r="A78" s="184" t="s">
        <v>484</v>
      </c>
      <c r="B78" s="184"/>
      <c r="C78" s="184"/>
      <c r="D78" s="184"/>
      <c r="E78" s="184"/>
      <c r="F78" s="185"/>
      <c r="G78" s="185"/>
      <c r="H78" s="185"/>
      <c r="I78" s="185"/>
      <c r="J78" s="90"/>
      <c r="K78" s="90"/>
      <c r="L78" s="90"/>
      <c r="M78" s="90"/>
      <c r="N78" s="90"/>
    </row>
    <row r="79" spans="1:14" ht="12.75" x14ac:dyDescent="0.2">
      <c r="A79" s="185"/>
      <c r="B79" s="185"/>
      <c r="C79" s="185"/>
      <c r="D79" s="185"/>
      <c r="E79" s="185"/>
      <c r="F79" s="185"/>
      <c r="G79" s="185"/>
      <c r="H79" s="185"/>
      <c r="I79" s="185"/>
      <c r="J79" s="90"/>
      <c r="K79" s="90"/>
      <c r="L79" s="90"/>
      <c r="M79" s="90"/>
      <c r="N79" s="90"/>
    </row>
    <row r="80" spans="1:14" ht="12.75" x14ac:dyDescent="0.2">
      <c r="A80" s="185"/>
      <c r="B80" s="185"/>
      <c r="C80" s="185"/>
      <c r="D80" s="185"/>
      <c r="E80" s="185"/>
      <c r="F80" s="185"/>
      <c r="G80" s="185"/>
      <c r="H80" s="185"/>
      <c r="I80" s="185"/>
      <c r="J80" s="90"/>
      <c r="K80" s="90"/>
      <c r="L80" s="90"/>
      <c r="M80" s="90"/>
      <c r="N80" s="90"/>
    </row>
    <row r="81" spans="1:14" ht="12.75" x14ac:dyDescent="0.2">
      <c r="A81" s="187" t="s">
        <v>246</v>
      </c>
      <c r="B81" s="184"/>
      <c r="C81" s="184"/>
      <c r="D81" s="187" t="s">
        <v>529</v>
      </c>
      <c r="E81" s="184" t="s">
        <v>31</v>
      </c>
      <c r="F81" s="185"/>
      <c r="G81" s="185"/>
      <c r="H81" s="185"/>
      <c r="I81" s="185"/>
      <c r="J81" s="90"/>
      <c r="K81" s="90"/>
      <c r="L81" s="90"/>
      <c r="M81" s="90"/>
      <c r="N81" s="90"/>
    </row>
    <row r="82" spans="1:14" ht="12.75" x14ac:dyDescent="0.2">
      <c r="A82" s="184" t="s">
        <v>172</v>
      </c>
      <c r="B82" s="184" t="s">
        <v>165</v>
      </c>
      <c r="C82" s="127">
        <v>4.32</v>
      </c>
      <c r="D82" s="184"/>
      <c r="E82" s="184" t="s">
        <v>165</v>
      </c>
      <c r="F82" s="127">
        <v>4.32</v>
      </c>
      <c r="G82" s="185"/>
      <c r="H82" s="185"/>
      <c r="I82" s="185"/>
      <c r="J82" s="90"/>
      <c r="K82" s="90"/>
      <c r="L82" s="90"/>
      <c r="M82" s="90"/>
      <c r="N82" s="90"/>
    </row>
    <row r="83" spans="1:14" ht="12.75" x14ac:dyDescent="0.2">
      <c r="A83" s="184" t="s">
        <v>180</v>
      </c>
      <c r="B83" s="184"/>
      <c r="C83" s="127">
        <v>0.01</v>
      </c>
      <c r="D83" s="184"/>
      <c r="E83" s="184"/>
      <c r="F83" s="127">
        <v>0.01</v>
      </c>
      <c r="G83" s="185"/>
      <c r="H83" s="185"/>
      <c r="I83" s="185"/>
      <c r="J83" s="90"/>
      <c r="K83" s="90"/>
      <c r="L83" s="90"/>
      <c r="M83" s="90"/>
      <c r="N83" s="90"/>
    </row>
    <row r="84" spans="1:14" ht="12.75" x14ac:dyDescent="0.2">
      <c r="A84" s="184" t="s">
        <v>173</v>
      </c>
      <c r="B84" s="184"/>
      <c r="C84" s="127">
        <v>0.11260000000000001</v>
      </c>
      <c r="D84" s="184"/>
      <c r="E84" s="184"/>
      <c r="F84" s="127">
        <v>0.15029999999999999</v>
      </c>
      <c r="G84" s="185"/>
      <c r="H84" s="185"/>
      <c r="I84" s="185"/>
      <c r="J84" s="90"/>
      <c r="K84" s="90"/>
      <c r="L84" s="90"/>
      <c r="M84" s="90"/>
      <c r="N84" s="90"/>
    </row>
    <row r="85" spans="1:14" ht="12.75" x14ac:dyDescent="0.2">
      <c r="A85" s="184" t="s">
        <v>174</v>
      </c>
      <c r="B85" s="184"/>
      <c r="C85" s="127">
        <v>9.4000000000000004E-3</v>
      </c>
      <c r="D85" s="184"/>
      <c r="E85" s="184"/>
      <c r="F85" s="127">
        <v>9.4000000000000004E-3</v>
      </c>
      <c r="G85" s="185"/>
      <c r="H85" s="185"/>
      <c r="I85" s="185"/>
      <c r="J85" s="90"/>
      <c r="K85" s="90"/>
      <c r="L85" s="90"/>
      <c r="M85" s="90"/>
      <c r="N85" s="90"/>
    </row>
    <row r="86" spans="1:14" ht="12.75" x14ac:dyDescent="0.2">
      <c r="A86" s="184" t="s">
        <v>175</v>
      </c>
      <c r="B86" s="184"/>
      <c r="C86" s="128">
        <v>5.9700000000000003E-2</v>
      </c>
      <c r="D86" s="184"/>
      <c r="E86" s="184"/>
      <c r="F86" s="128">
        <v>6.6369999999999998E-2</v>
      </c>
      <c r="G86" s="185"/>
      <c r="H86" s="185"/>
      <c r="I86" s="185"/>
      <c r="J86" s="90"/>
      <c r="K86" s="90"/>
      <c r="L86" s="90"/>
      <c r="M86" s="90"/>
      <c r="N86" s="90"/>
    </row>
    <row r="87" spans="1:14" ht="12.75" x14ac:dyDescent="0.2">
      <c r="A87" s="184" t="s">
        <v>176</v>
      </c>
      <c r="B87" s="184"/>
      <c r="C87" s="129">
        <f>ROUND((+C82+C83)/(1-C86)-(C82+C83)+C84+C85,4)</f>
        <v>0.39689999999999998</v>
      </c>
      <c r="D87" s="184"/>
      <c r="E87" s="184"/>
      <c r="F87" s="129">
        <f>ROUND((+F82+F83)/(1-F86)-(F82+F83)+F84+F85,4)</f>
        <v>0.46750000000000003</v>
      </c>
      <c r="G87" s="185"/>
      <c r="H87" s="185"/>
      <c r="I87" s="185"/>
      <c r="J87" s="90"/>
      <c r="K87" s="90"/>
      <c r="L87" s="90"/>
      <c r="M87" s="90"/>
      <c r="N87" s="90"/>
    </row>
    <row r="88" spans="1:14" ht="13.5" thickBot="1" x14ac:dyDescent="0.25">
      <c r="A88" s="184"/>
      <c r="B88" s="184"/>
      <c r="C88" s="130">
        <f>SUM(C87,C82:C83)</f>
        <v>4.7268999999999997</v>
      </c>
      <c r="D88" s="184" t="s">
        <v>31</v>
      </c>
      <c r="E88" s="184"/>
      <c r="F88" s="130">
        <f>SUM(F87,F82:F83)</f>
        <v>4.7975000000000003</v>
      </c>
      <c r="G88" s="184" t="s">
        <v>490</v>
      </c>
      <c r="H88" s="185"/>
      <c r="I88" s="185"/>
      <c r="J88" s="90"/>
      <c r="K88" s="90"/>
      <c r="L88" s="90"/>
      <c r="M88" s="90"/>
      <c r="N88" s="90"/>
    </row>
    <row r="89" spans="1:14" ht="13.5" thickTop="1" x14ac:dyDescent="0.2">
      <c r="A89" s="184"/>
      <c r="B89" s="184"/>
      <c r="C89" s="184"/>
      <c r="D89" s="184"/>
      <c r="E89" s="185"/>
      <c r="F89" s="185"/>
      <c r="G89" s="185"/>
      <c r="H89" s="185"/>
      <c r="I89" s="185"/>
      <c r="J89" s="90"/>
      <c r="K89" s="90"/>
      <c r="L89" s="90"/>
      <c r="M89" s="90"/>
      <c r="N89" s="90"/>
    </row>
    <row r="90" spans="1:14" ht="12.75" x14ac:dyDescent="0.2">
      <c r="A90" s="185"/>
      <c r="B90" s="185"/>
      <c r="C90" s="185"/>
      <c r="D90" s="185"/>
      <c r="E90" s="185"/>
      <c r="F90" s="185"/>
      <c r="G90" s="185"/>
      <c r="H90" s="185"/>
      <c r="I90" s="185"/>
      <c r="J90" s="90"/>
      <c r="K90" s="90"/>
      <c r="L90" s="90"/>
      <c r="M90" s="90"/>
      <c r="N90" s="90"/>
    </row>
    <row r="91" spans="1:14" ht="12.75" x14ac:dyDescent="0.2">
      <c r="A91" s="187" t="s">
        <v>247</v>
      </c>
      <c r="B91" s="184"/>
      <c r="C91" s="184"/>
      <c r="D91" s="184"/>
      <c r="E91" s="185"/>
      <c r="F91" s="185"/>
      <c r="G91" s="185"/>
      <c r="H91" s="185"/>
      <c r="I91" s="185"/>
      <c r="J91" s="90"/>
      <c r="K91" s="90"/>
      <c r="L91" s="90"/>
      <c r="M91" s="90"/>
      <c r="N91" s="90"/>
    </row>
    <row r="92" spans="1:14" ht="12.75" x14ac:dyDescent="0.2">
      <c r="A92" s="184" t="s">
        <v>172</v>
      </c>
      <c r="B92" s="184" t="s">
        <v>248</v>
      </c>
      <c r="C92" s="127">
        <v>4.32</v>
      </c>
      <c r="D92" s="184"/>
      <c r="E92" s="185"/>
      <c r="F92" s="185"/>
      <c r="G92" s="185"/>
      <c r="H92" s="185"/>
      <c r="I92" s="185"/>
      <c r="J92" s="90"/>
      <c r="K92" s="90"/>
      <c r="L92" s="90"/>
      <c r="M92" s="90"/>
      <c r="N92" s="90"/>
    </row>
    <row r="93" spans="1:14" ht="12.75" x14ac:dyDescent="0.2">
      <c r="A93" s="184" t="s">
        <v>180</v>
      </c>
      <c r="B93" s="184"/>
      <c r="C93" s="127">
        <v>0.01</v>
      </c>
      <c r="D93" s="184"/>
      <c r="E93" s="185"/>
      <c r="F93" s="185"/>
      <c r="G93" s="185"/>
      <c r="H93" s="185"/>
      <c r="I93" s="185"/>
      <c r="J93" s="90"/>
      <c r="K93" s="90"/>
      <c r="L93" s="90"/>
      <c r="M93" s="90"/>
      <c r="N93" s="90"/>
    </row>
    <row r="94" spans="1:14" ht="12.75" x14ac:dyDescent="0.2">
      <c r="A94" s="184" t="s">
        <v>173</v>
      </c>
      <c r="B94" s="184"/>
      <c r="C94" s="127">
        <v>0.1012</v>
      </c>
      <c r="D94" s="184"/>
      <c r="E94" s="185"/>
      <c r="F94" s="185"/>
      <c r="G94" s="185"/>
      <c r="H94" s="185"/>
      <c r="I94" s="185"/>
      <c r="J94" s="90"/>
      <c r="K94" s="90"/>
      <c r="L94" s="90"/>
      <c r="M94" s="90"/>
      <c r="N94" s="90"/>
    </row>
    <row r="95" spans="1:14" ht="12.75" x14ac:dyDescent="0.2">
      <c r="A95" s="184" t="s">
        <v>174</v>
      </c>
      <c r="B95" s="184"/>
      <c r="C95" s="127">
        <v>9.4000000000000004E-3</v>
      </c>
      <c r="D95" s="184"/>
      <c r="E95" s="185"/>
      <c r="F95" s="185"/>
      <c r="G95" s="185"/>
      <c r="H95" s="185"/>
      <c r="I95" s="185"/>
      <c r="J95" s="90"/>
      <c r="K95" s="90"/>
      <c r="L95" s="90"/>
      <c r="M95" s="90"/>
      <c r="N95" s="90"/>
    </row>
    <row r="96" spans="1:14" ht="12.75" x14ac:dyDescent="0.2">
      <c r="A96" s="184" t="s">
        <v>175</v>
      </c>
      <c r="B96" s="184"/>
      <c r="C96" s="128">
        <v>7.0499999999999993E-2</v>
      </c>
      <c r="D96" s="184"/>
      <c r="E96" s="185"/>
      <c r="F96" s="185"/>
      <c r="G96" s="185"/>
      <c r="H96" s="185"/>
      <c r="I96" s="185"/>
      <c r="J96" s="90"/>
      <c r="K96" s="90"/>
      <c r="L96" s="90"/>
      <c r="M96" s="90"/>
      <c r="N96" s="90"/>
    </row>
    <row r="97" spans="1:14" ht="12.75" x14ac:dyDescent="0.2">
      <c r="A97" s="184" t="s">
        <v>176</v>
      </c>
      <c r="B97" s="184"/>
      <c r="C97" s="129">
        <f>ROUND((+C92+C93)/(1-C96)-(C92+C93)+C94+C95,4)</f>
        <v>0.439</v>
      </c>
      <c r="D97" s="184" t="s">
        <v>485</v>
      </c>
      <c r="E97" s="185"/>
      <c r="F97" s="185"/>
      <c r="G97" s="185"/>
      <c r="H97" s="185"/>
      <c r="I97" s="185"/>
      <c r="J97" s="90"/>
      <c r="K97" s="90"/>
      <c r="L97" s="90"/>
      <c r="M97" s="90"/>
      <c r="N97" s="90"/>
    </row>
    <row r="98" spans="1:14" ht="13.5" thickBot="1" x14ac:dyDescent="0.25">
      <c r="A98" s="184"/>
      <c r="B98" s="184"/>
      <c r="C98" s="130">
        <f>SUM(C97,C92:C93)</f>
        <v>4.7690000000000001</v>
      </c>
      <c r="D98" s="184" t="s">
        <v>342</v>
      </c>
      <c r="E98" s="185"/>
      <c r="F98" s="185"/>
      <c r="G98" s="185"/>
      <c r="H98" s="185"/>
      <c r="I98" s="185"/>
      <c r="J98" s="90"/>
      <c r="K98" s="90"/>
      <c r="L98" s="90"/>
      <c r="M98" s="90"/>
      <c r="N98" s="90"/>
    </row>
    <row r="99" spans="1:14" ht="13.5" thickTop="1" x14ac:dyDescent="0.2">
      <c r="A99" s="184"/>
      <c r="B99" s="184"/>
      <c r="C99" s="184"/>
      <c r="D99" s="184"/>
      <c r="E99" s="185"/>
      <c r="F99" s="185"/>
      <c r="G99" s="185"/>
      <c r="H99" s="185"/>
      <c r="I99" s="185"/>
      <c r="J99" s="90"/>
      <c r="K99" s="90"/>
      <c r="L99" s="90"/>
      <c r="M99" s="90"/>
      <c r="N99" s="90"/>
    </row>
    <row r="100" spans="1:14" ht="12.75" x14ac:dyDescent="0.2">
      <c r="A100" s="184" t="s">
        <v>486</v>
      </c>
      <c r="B100" s="184"/>
      <c r="C100" s="184"/>
      <c r="D100" s="184"/>
      <c r="E100" s="185"/>
      <c r="F100" s="185"/>
      <c r="G100" s="185"/>
      <c r="H100" s="185"/>
      <c r="I100" s="185"/>
      <c r="J100" s="90"/>
      <c r="K100" s="90"/>
      <c r="L100" s="90"/>
      <c r="M100" s="90"/>
      <c r="N100" s="90"/>
    </row>
    <row r="101" spans="1:14" ht="12.75" x14ac:dyDescent="0.2">
      <c r="A101" s="185"/>
      <c r="B101" s="185"/>
      <c r="C101" s="185"/>
      <c r="D101" s="185"/>
      <c r="E101" s="185"/>
      <c r="F101" s="185"/>
      <c r="G101" s="185"/>
      <c r="H101" s="185"/>
      <c r="I101" s="185"/>
      <c r="J101" s="90"/>
      <c r="K101" s="90"/>
      <c r="L101" s="90"/>
      <c r="M101" s="90"/>
      <c r="N101" s="90"/>
    </row>
    <row r="102" spans="1:14" ht="12.75" x14ac:dyDescent="0.2">
      <c r="A102" s="90"/>
      <c r="B102" s="90"/>
      <c r="C102" s="90"/>
      <c r="D102" s="90"/>
      <c r="E102" s="90"/>
      <c r="F102" s="90"/>
      <c r="G102" s="90"/>
      <c r="H102" s="90"/>
      <c r="I102" s="90"/>
      <c r="J102" s="90"/>
      <c r="K102" s="90"/>
      <c r="L102" s="90"/>
      <c r="M102" s="90"/>
      <c r="N102" s="90"/>
    </row>
    <row r="103" spans="1:14" ht="12.75" x14ac:dyDescent="0.2">
      <c r="A103" s="90"/>
      <c r="B103" s="90"/>
      <c r="C103" s="90"/>
      <c r="D103" s="90"/>
      <c r="E103" s="90"/>
      <c r="F103" s="90"/>
      <c r="G103" s="90"/>
      <c r="H103" s="90"/>
      <c r="I103" s="90"/>
      <c r="J103" s="90"/>
      <c r="K103" s="90"/>
      <c r="L103" s="90"/>
      <c r="M103" s="90"/>
      <c r="N103" s="90"/>
    </row>
    <row r="104" spans="1:14" ht="12.75" x14ac:dyDescent="0.2">
      <c r="A104" s="90"/>
      <c r="B104" s="90"/>
      <c r="C104" s="90"/>
      <c r="D104" s="90"/>
      <c r="E104" s="90"/>
      <c r="F104" s="90"/>
      <c r="G104" s="90"/>
      <c r="H104" s="90"/>
      <c r="I104" s="90"/>
      <c r="J104" s="90"/>
      <c r="K104" s="90"/>
      <c r="L104" s="90"/>
      <c r="M104" s="90"/>
      <c r="N104" s="90"/>
    </row>
    <row r="105" spans="1:14" ht="12.75" x14ac:dyDescent="0.2">
      <c r="A105" s="90"/>
      <c r="B105" s="90"/>
      <c r="C105" s="90"/>
      <c r="D105" s="90"/>
      <c r="E105" s="90"/>
      <c r="F105" s="90"/>
      <c r="G105" s="90"/>
      <c r="H105" s="90"/>
      <c r="I105" s="90"/>
      <c r="J105" s="90"/>
      <c r="K105" s="90"/>
      <c r="L105" s="90"/>
      <c r="M105" s="90"/>
      <c r="N105" s="90"/>
    </row>
    <row r="106" spans="1:14" ht="12.75" x14ac:dyDescent="0.2">
      <c r="A106" s="90"/>
      <c r="B106" s="90"/>
      <c r="C106" s="90"/>
      <c r="D106" s="90"/>
      <c r="E106" s="90"/>
      <c r="F106" s="90"/>
      <c r="G106" s="90"/>
      <c r="H106" s="90"/>
      <c r="I106" s="90"/>
      <c r="J106" s="90"/>
      <c r="K106" s="90"/>
      <c r="L106" s="90"/>
      <c r="M106" s="90"/>
      <c r="N106" s="90"/>
    </row>
    <row r="107" spans="1:14" ht="12.75" x14ac:dyDescent="0.2">
      <c r="A107" s="90"/>
      <c r="B107" s="90"/>
      <c r="C107" s="90"/>
      <c r="D107" s="90"/>
      <c r="E107" s="90"/>
      <c r="F107" s="90"/>
      <c r="G107" s="90"/>
      <c r="H107" s="90"/>
      <c r="I107" s="90"/>
      <c r="J107" s="90"/>
      <c r="K107" s="90"/>
      <c r="L107" s="90"/>
      <c r="M107" s="90"/>
      <c r="N107" s="90"/>
    </row>
    <row r="108" spans="1:14" ht="12.75" x14ac:dyDescent="0.2">
      <c r="A108" s="66" t="s">
        <v>29</v>
      </c>
      <c r="G108" s="25"/>
      <c r="H108" s="25"/>
    </row>
    <row r="109" spans="1:14" ht="12.75" x14ac:dyDescent="0.2">
      <c r="D109" s="92"/>
      <c r="F109" s="91"/>
      <c r="G109" s="25"/>
    </row>
    <row r="110" spans="1:14" x14ac:dyDescent="0.2">
      <c r="A110" s="189" t="s">
        <v>171</v>
      </c>
      <c r="B110" s="189"/>
      <c r="C110" s="189"/>
      <c r="D110" s="189"/>
      <c r="E110" s="190"/>
      <c r="F110" s="68"/>
      <c r="G110" s="68"/>
      <c r="H110" s="68"/>
      <c r="I110" s="68"/>
      <c r="J110" s="68"/>
      <c r="K110" s="68"/>
      <c r="L110" s="68"/>
    </row>
    <row r="111" spans="1:14" ht="12.75" x14ac:dyDescent="0.2">
      <c r="A111" s="189" t="s">
        <v>172</v>
      </c>
      <c r="B111" s="189" t="s">
        <v>147</v>
      </c>
      <c r="C111" s="193">
        <v>4.38</v>
      </c>
      <c r="D111" s="189"/>
      <c r="E111" s="190"/>
      <c r="F111" s="68"/>
      <c r="G111" s="69"/>
      <c r="H111" s="68"/>
      <c r="I111" s="68"/>
      <c r="J111" s="68"/>
      <c r="K111" s="69"/>
      <c r="L111" s="34"/>
    </row>
    <row r="112" spans="1:14" ht="12.75" x14ac:dyDescent="0.2">
      <c r="A112" s="189"/>
      <c r="B112" s="189"/>
      <c r="C112" s="193">
        <v>7.4999999999999997E-3</v>
      </c>
      <c r="D112" s="189"/>
      <c r="E112" s="190"/>
      <c r="F112" s="68"/>
      <c r="G112" s="69"/>
      <c r="H112" s="68"/>
      <c r="I112" s="68"/>
      <c r="J112" s="68"/>
      <c r="K112" s="69"/>
      <c r="L112" s="34"/>
    </row>
    <row r="113" spans="1:14" ht="12.75" x14ac:dyDescent="0.2">
      <c r="A113" s="189" t="s">
        <v>173</v>
      </c>
      <c r="B113" s="62"/>
      <c r="C113" s="193">
        <v>2.7400000000000001E-2</v>
      </c>
      <c r="D113" s="189"/>
      <c r="E113" s="190"/>
      <c r="F113" s="34"/>
      <c r="G113" s="69"/>
      <c r="H113" s="68"/>
      <c r="I113" s="68"/>
      <c r="J113" s="34"/>
      <c r="K113" s="69"/>
      <c r="L113" s="34"/>
    </row>
    <row r="114" spans="1:14" ht="12.75" x14ac:dyDescent="0.2">
      <c r="A114" s="189" t="s">
        <v>174</v>
      </c>
      <c r="B114" s="62"/>
      <c r="C114" s="193">
        <v>2.2499999999999999E-2</v>
      </c>
      <c r="D114" s="189"/>
      <c r="E114" s="190"/>
      <c r="F114" s="34"/>
      <c r="G114" s="69"/>
      <c r="H114" s="68"/>
      <c r="I114" s="68"/>
      <c r="J114" s="34"/>
      <c r="K114" s="69"/>
      <c r="L114" s="34"/>
    </row>
    <row r="115" spans="1:14" ht="12.75" x14ac:dyDescent="0.2">
      <c r="A115" s="189" t="s">
        <v>175</v>
      </c>
      <c r="B115" s="192"/>
      <c r="C115" s="194">
        <v>4.7199999999999999E-2</v>
      </c>
      <c r="D115" s="189"/>
      <c r="E115" s="190"/>
      <c r="F115" s="83"/>
      <c r="G115" s="70"/>
      <c r="H115" s="68"/>
      <c r="I115" s="68"/>
      <c r="J115" s="83"/>
      <c r="K115" s="70"/>
      <c r="L115" s="34"/>
    </row>
    <row r="116" spans="1:14" ht="12.75" x14ac:dyDescent="0.2">
      <c r="A116" s="189" t="s">
        <v>176</v>
      </c>
      <c r="B116" s="189"/>
      <c r="C116" s="195">
        <f>ROUND((+C111+C112)/(1-C115)+(C113+C114),4)-C111-C112</f>
        <v>0.26720000000000016</v>
      </c>
      <c r="D116" s="189"/>
      <c r="E116" s="190"/>
      <c r="F116" s="68"/>
      <c r="G116" s="69"/>
      <c r="H116" s="68"/>
      <c r="I116" s="68"/>
      <c r="J116" s="68"/>
      <c r="K116" s="69"/>
      <c r="L116" s="34"/>
    </row>
    <row r="117" spans="1:14" ht="13.5" thickBot="1" x14ac:dyDescent="0.25">
      <c r="A117" s="189"/>
      <c r="B117" s="189"/>
      <c r="C117" s="196">
        <f>SUM(C116,C111:C112)</f>
        <v>4.6547000000000001</v>
      </c>
      <c r="D117" s="189" t="s">
        <v>346</v>
      </c>
      <c r="E117" s="190"/>
      <c r="F117" s="68"/>
      <c r="G117" s="68"/>
      <c r="H117" s="68"/>
      <c r="I117" s="68"/>
      <c r="J117" s="68"/>
      <c r="K117" s="68"/>
      <c r="L117" s="34"/>
      <c r="M117" s="64"/>
      <c r="N117" s="65"/>
    </row>
    <row r="118" spans="1:14" ht="13.5" thickTop="1" x14ac:dyDescent="0.2">
      <c r="A118" s="189"/>
      <c r="B118" s="62"/>
      <c r="C118" s="191"/>
      <c r="D118" s="189"/>
      <c r="E118" s="189"/>
      <c r="G118" s="64"/>
      <c r="H118" s="84"/>
    </row>
    <row r="119" spans="1:14" ht="12.75" x14ac:dyDescent="0.2">
      <c r="K119" s="25"/>
      <c r="L119" s="65"/>
    </row>
    <row r="120" spans="1:14" ht="12.75" x14ac:dyDescent="0.2">
      <c r="A120" s="90"/>
      <c r="B120" s="90"/>
      <c r="C120" s="90"/>
      <c r="D120" s="90"/>
      <c r="E120" s="90"/>
      <c r="F120" s="90"/>
      <c r="G120" s="90"/>
      <c r="H120" s="90"/>
      <c r="I120" s="90"/>
      <c r="J120" s="90"/>
      <c r="K120" s="90"/>
      <c r="L120" s="90"/>
      <c r="M120" s="90"/>
      <c r="N120" s="90"/>
    </row>
    <row r="121" spans="1:14" x14ac:dyDescent="0.2">
      <c r="A121" s="63" t="s">
        <v>249</v>
      </c>
      <c r="E121" s="68"/>
      <c r="F121" s="68"/>
      <c r="G121" s="68"/>
      <c r="H121" s="68"/>
      <c r="I121" s="68"/>
      <c r="J121" s="68"/>
      <c r="K121" s="68"/>
      <c r="L121" s="68"/>
    </row>
    <row r="122" spans="1:14" ht="12.75" x14ac:dyDescent="0.2">
      <c r="A122" s="63" t="s">
        <v>172</v>
      </c>
      <c r="B122" s="63" t="s">
        <v>147</v>
      </c>
      <c r="C122" s="127">
        <v>4.38</v>
      </c>
      <c r="E122" s="68"/>
      <c r="F122" s="68"/>
      <c r="G122" s="69"/>
      <c r="H122" s="68"/>
      <c r="I122" s="68"/>
      <c r="J122" s="68"/>
      <c r="K122" s="69"/>
      <c r="L122" s="34"/>
    </row>
    <row r="123" spans="1:14" ht="12.75" x14ac:dyDescent="0.2">
      <c r="C123" s="127">
        <v>7.4999999999999997E-3</v>
      </c>
      <c r="E123" s="68"/>
      <c r="F123" s="68"/>
      <c r="G123" s="69"/>
      <c r="H123" s="68"/>
      <c r="I123" s="68"/>
      <c r="J123" s="68"/>
      <c r="K123" s="69"/>
      <c r="L123" s="34"/>
    </row>
    <row r="124" spans="1:14" ht="12.75" x14ac:dyDescent="0.2">
      <c r="A124" s="63" t="s">
        <v>173</v>
      </c>
      <c r="B124" s="25"/>
      <c r="C124" s="127">
        <v>1.4E-2</v>
      </c>
      <c r="E124" s="68"/>
      <c r="F124" s="34"/>
      <c r="G124" s="69"/>
      <c r="H124" s="68"/>
      <c r="I124" s="68"/>
      <c r="J124" s="34"/>
      <c r="K124" s="69"/>
      <c r="L124" s="34"/>
    </row>
    <row r="125" spans="1:14" ht="12.75" x14ac:dyDescent="0.2">
      <c r="A125" s="63" t="s">
        <v>174</v>
      </c>
      <c r="B125" s="25"/>
      <c r="C125" s="127">
        <v>2.2499999999999999E-2</v>
      </c>
      <c r="E125" s="68"/>
      <c r="F125" s="34"/>
      <c r="G125" s="69"/>
      <c r="H125" s="68"/>
      <c r="I125" s="68"/>
      <c r="J125" s="34"/>
      <c r="K125" s="69"/>
      <c r="L125" s="34"/>
    </row>
    <row r="126" spans="1:14" ht="12.75" x14ac:dyDescent="0.2">
      <c r="A126" s="63" t="s">
        <v>175</v>
      </c>
      <c r="B126" s="85"/>
      <c r="C126" s="128">
        <v>2.35E-2</v>
      </c>
      <c r="E126" s="68"/>
      <c r="F126" s="83"/>
      <c r="G126" s="70"/>
      <c r="H126" s="68"/>
      <c r="I126" s="68"/>
      <c r="J126" s="83"/>
      <c r="K126" s="70"/>
      <c r="L126" s="34"/>
    </row>
    <row r="127" spans="1:14" ht="12.75" x14ac:dyDescent="0.2">
      <c r="A127" s="63" t="s">
        <v>176</v>
      </c>
      <c r="C127" s="129">
        <f>ROUND((+C122+C123)/(1-C126)+(C124+C125),4)-C122-C123</f>
        <v>0.14210000000000039</v>
      </c>
      <c r="E127" s="68"/>
      <c r="F127" s="68"/>
      <c r="G127" s="69"/>
      <c r="H127" s="68"/>
      <c r="I127" s="68"/>
      <c r="J127" s="68"/>
      <c r="K127" s="69"/>
      <c r="L127" s="34"/>
    </row>
    <row r="128" spans="1:14" ht="13.5" thickBot="1" x14ac:dyDescent="0.25">
      <c r="C128" s="130">
        <f>SUM(C127,C122:C123)</f>
        <v>4.5296000000000003</v>
      </c>
      <c r="D128" s="63" t="s">
        <v>344</v>
      </c>
      <c r="E128" s="68"/>
      <c r="F128" s="68"/>
      <c r="G128" s="68"/>
      <c r="H128" s="68"/>
      <c r="I128" s="68"/>
      <c r="J128" s="68"/>
      <c r="K128" s="68"/>
      <c r="L128" s="34"/>
      <c r="M128" s="64"/>
      <c r="N128" s="65"/>
    </row>
    <row r="129" spans="1:14" ht="13.5" thickTop="1" x14ac:dyDescent="0.2">
      <c r="B129" s="25"/>
      <c r="C129" s="65"/>
      <c r="G129" s="64"/>
      <c r="H129" s="84"/>
    </row>
    <row r="130" spans="1:14" ht="12.75" x14ac:dyDescent="0.2">
      <c r="A130" s="90"/>
      <c r="B130" s="90"/>
      <c r="C130" s="90"/>
      <c r="D130" s="90"/>
      <c r="E130" s="90"/>
      <c r="F130" s="90"/>
      <c r="G130" s="90"/>
      <c r="H130" s="90"/>
      <c r="I130" s="90"/>
      <c r="J130" s="90"/>
      <c r="K130" s="90"/>
      <c r="L130" s="90"/>
      <c r="M130" s="90"/>
      <c r="N130" s="90"/>
    </row>
    <row r="131" spans="1:14" ht="12.75" x14ac:dyDescent="0.2">
      <c r="A131" s="90"/>
      <c r="B131" s="90"/>
      <c r="C131" s="90"/>
      <c r="D131" s="90"/>
      <c r="E131" s="90"/>
      <c r="F131" s="90"/>
      <c r="G131" s="90"/>
      <c r="H131" s="90"/>
      <c r="I131" s="90"/>
      <c r="J131" s="90"/>
      <c r="K131" s="90"/>
      <c r="L131" s="90"/>
      <c r="M131" s="90"/>
      <c r="N131" s="90"/>
    </row>
    <row r="132" spans="1:14" x14ac:dyDescent="0.2">
      <c r="A132" s="63" t="s">
        <v>250</v>
      </c>
      <c r="I132" s="63" t="s">
        <v>251</v>
      </c>
    </row>
    <row r="133" spans="1:14" ht="12.75" x14ac:dyDescent="0.2">
      <c r="A133" s="63" t="s">
        <v>172</v>
      </c>
      <c r="B133" s="63" t="s">
        <v>252</v>
      </c>
      <c r="C133" s="127">
        <v>4.4000000000000004</v>
      </c>
      <c r="I133" s="63" t="s">
        <v>172</v>
      </c>
      <c r="J133" s="63" t="s">
        <v>252</v>
      </c>
      <c r="K133" s="127">
        <v>4.4000000000000004</v>
      </c>
      <c r="L133" s="25"/>
    </row>
    <row r="134" spans="1:14" ht="12.75" x14ac:dyDescent="0.2">
      <c r="A134" s="63" t="s">
        <v>180</v>
      </c>
      <c r="C134" s="127">
        <v>1.7500000000000002E-2</v>
      </c>
      <c r="K134" s="127">
        <v>1.7500000000000002E-2</v>
      </c>
      <c r="L134" s="25"/>
    </row>
    <row r="135" spans="1:14" ht="12.75" x14ac:dyDescent="0.2">
      <c r="A135" s="63" t="s">
        <v>173</v>
      </c>
      <c r="B135" s="25"/>
      <c r="C135" s="127">
        <v>1.15E-2</v>
      </c>
      <c r="I135" s="63" t="s">
        <v>173</v>
      </c>
      <c r="J135" s="25"/>
      <c r="K135" s="127">
        <v>2.3E-3</v>
      </c>
      <c r="L135" s="25"/>
    </row>
    <row r="136" spans="1:14" ht="12.75" x14ac:dyDescent="0.2">
      <c r="A136" s="63" t="s">
        <v>174</v>
      </c>
      <c r="B136" s="25"/>
      <c r="C136" s="127">
        <v>9.4000000000000004E-3</v>
      </c>
      <c r="D136" s="63" t="s">
        <v>253</v>
      </c>
      <c r="I136" s="63" t="s">
        <v>174</v>
      </c>
      <c r="J136" s="25"/>
      <c r="K136" s="127">
        <v>9.4000000000000004E-3</v>
      </c>
      <c r="L136" s="63" t="s">
        <v>253</v>
      </c>
    </row>
    <row r="137" spans="1:14" ht="12.75" x14ac:dyDescent="0.2">
      <c r="A137" s="63" t="s">
        <v>175</v>
      </c>
      <c r="B137" s="85"/>
      <c r="C137" s="128">
        <v>1.9E-2</v>
      </c>
      <c r="I137" s="63" t="s">
        <v>175</v>
      </c>
      <c r="J137" s="85"/>
      <c r="K137" s="128">
        <v>1.9E-2</v>
      </c>
      <c r="L137" s="25"/>
    </row>
    <row r="138" spans="1:14" ht="12.75" x14ac:dyDescent="0.2">
      <c r="A138" s="63" t="s">
        <v>176</v>
      </c>
      <c r="C138" s="129">
        <f>ROUND((+C133+C134)/(1-C137)+(C135+C136),4)-C133-C134</f>
        <v>0.10649999999999966</v>
      </c>
      <c r="I138" s="63" t="s">
        <v>176</v>
      </c>
      <c r="K138" s="129">
        <f>ROUND((+K133+K134)/(1-K137)+(K135+K136),4)-K133-K134</f>
        <v>9.7299999999999789E-2</v>
      </c>
      <c r="L138" s="25"/>
    </row>
    <row r="139" spans="1:14" ht="13.5" thickBot="1" x14ac:dyDescent="0.25">
      <c r="A139" s="63" t="s">
        <v>177</v>
      </c>
      <c r="C139" s="130">
        <f>SUM(C138,C133:C134)</f>
        <v>4.524</v>
      </c>
      <c r="D139" s="63" t="s">
        <v>345</v>
      </c>
      <c r="I139" s="68" t="s">
        <v>177</v>
      </c>
      <c r="J139" s="68"/>
      <c r="K139" s="130">
        <f>SUM(K138,K133:K134)</f>
        <v>4.5148000000000001</v>
      </c>
      <c r="L139" s="25" t="s">
        <v>263</v>
      </c>
      <c r="M139" s="64"/>
      <c r="N139" s="65"/>
    </row>
    <row r="140" spans="1:14" ht="13.5" thickTop="1" x14ac:dyDescent="0.2">
      <c r="B140" s="25"/>
      <c r="C140" s="65"/>
      <c r="G140" s="64"/>
      <c r="H140" s="84"/>
    </row>
    <row r="141" spans="1:14" ht="12.75" x14ac:dyDescent="0.2">
      <c r="A141" s="90"/>
      <c r="B141" s="90"/>
      <c r="C141" s="90"/>
      <c r="D141" s="90"/>
      <c r="E141" s="90"/>
      <c r="F141" s="90"/>
      <c r="G141" s="90"/>
      <c r="H141" s="90"/>
      <c r="I141" s="90"/>
      <c r="J141" s="90"/>
      <c r="K141" s="90"/>
      <c r="L141" s="90"/>
      <c r="M141" s="90"/>
      <c r="N141" s="90"/>
    </row>
    <row r="142" spans="1:14" x14ac:dyDescent="0.2">
      <c r="A142" s="63" t="s">
        <v>254</v>
      </c>
    </row>
    <row r="143" spans="1:14" x14ac:dyDescent="0.2">
      <c r="A143" s="63" t="s">
        <v>172</v>
      </c>
      <c r="B143" s="63" t="s">
        <v>252</v>
      </c>
      <c r="C143" s="127">
        <v>4.4000000000000004</v>
      </c>
      <c r="D143" s="63" t="s">
        <v>255</v>
      </c>
    </row>
    <row r="144" spans="1:14" ht="12.75" x14ac:dyDescent="0.2">
      <c r="A144" s="63" t="s">
        <v>173</v>
      </c>
      <c r="B144" s="25"/>
      <c r="C144" s="127">
        <v>2.0299999999999999E-2</v>
      </c>
    </row>
    <row r="145" spans="1:4" ht="12.75" x14ac:dyDescent="0.2">
      <c r="A145" s="63" t="s">
        <v>174</v>
      </c>
      <c r="B145" s="25"/>
      <c r="C145" s="127">
        <v>2.2499999999999999E-2</v>
      </c>
    </row>
    <row r="146" spans="1:4" x14ac:dyDescent="0.2">
      <c r="A146" s="63" t="s">
        <v>175</v>
      </c>
      <c r="B146" s="85"/>
      <c r="C146" s="128">
        <v>3.4299999999999997E-2</v>
      </c>
    </row>
    <row r="147" spans="1:4" x14ac:dyDescent="0.2">
      <c r="A147" s="63" t="s">
        <v>176</v>
      </c>
      <c r="C147" s="129">
        <v>0.14280000000000026</v>
      </c>
    </row>
    <row r="148" spans="1:4" x14ac:dyDescent="0.2">
      <c r="A148" s="63" t="s">
        <v>256</v>
      </c>
      <c r="C148" s="133">
        <v>0.27</v>
      </c>
    </row>
    <row r="149" spans="1:4" ht="12.75" thickBot="1" x14ac:dyDescent="0.25">
      <c r="A149" s="63" t="s">
        <v>177</v>
      </c>
      <c r="C149" s="130">
        <v>3.0428000000000002</v>
      </c>
      <c r="D149" s="63" t="s">
        <v>257</v>
      </c>
    </row>
    <row r="150" spans="1:4" ht="12.75" thickTop="1" x14ac:dyDescent="0.2">
      <c r="D150" s="63" t="s">
        <v>258</v>
      </c>
    </row>
    <row r="151" spans="1:4" x14ac:dyDescent="0.2">
      <c r="D151" s="63" t="s">
        <v>259</v>
      </c>
    </row>
    <row r="155" spans="1:4" x14ac:dyDescent="0.2">
      <c r="A155" s="63" t="s">
        <v>393</v>
      </c>
    </row>
    <row r="156" spans="1:4" x14ac:dyDescent="0.2">
      <c r="A156" s="63" t="s">
        <v>172</v>
      </c>
      <c r="B156" s="63" t="s">
        <v>147</v>
      </c>
      <c r="C156" s="127">
        <v>4.38</v>
      </c>
    </row>
    <row r="157" spans="1:4" x14ac:dyDescent="0.2">
      <c r="C157" s="127">
        <v>7.4999999999999997E-3</v>
      </c>
    </row>
    <row r="158" spans="1:4" ht="12.75" x14ac:dyDescent="0.2">
      <c r="A158" s="63" t="s">
        <v>173</v>
      </c>
      <c r="B158" s="25"/>
      <c r="C158" s="127">
        <v>2.2800000000000001E-2</v>
      </c>
    </row>
    <row r="159" spans="1:4" ht="12.75" x14ac:dyDescent="0.2">
      <c r="A159" s="63" t="s">
        <v>174</v>
      </c>
      <c r="B159" s="25"/>
      <c r="C159" s="127">
        <v>2.2499999999999999E-2</v>
      </c>
    </row>
    <row r="160" spans="1:4" x14ac:dyDescent="0.2">
      <c r="A160" s="63" t="s">
        <v>175</v>
      </c>
      <c r="B160" s="85"/>
      <c r="C160" s="128">
        <v>3.8800000000000001E-2</v>
      </c>
    </row>
    <row r="161" spans="1:4" x14ac:dyDescent="0.2">
      <c r="A161" s="63" t="s">
        <v>176</v>
      </c>
      <c r="C161" s="129">
        <f>ROUND((+C156+C157)/(1-C160)+(C158+C159),4)-C156-C157</f>
        <v>0.22239999999999976</v>
      </c>
    </row>
    <row r="162" spans="1:4" ht="12.75" thickBot="1" x14ac:dyDescent="0.25">
      <c r="A162" s="63" t="s">
        <v>177</v>
      </c>
      <c r="C162" s="130">
        <f>SUM(C161,C156:C157)</f>
        <v>4.6098999999999997</v>
      </c>
      <c r="D162" s="63" t="s">
        <v>394</v>
      </c>
    </row>
    <row r="163" spans="1:4" ht="12.75" thickTop="1" x14ac:dyDescent="0.2"/>
    <row r="169" spans="1:4" x14ac:dyDescent="0.2">
      <c r="A169" s="67" t="s">
        <v>136</v>
      </c>
    </row>
    <row r="170" spans="1:4" x14ac:dyDescent="0.2">
      <c r="A170" s="63" t="s">
        <v>172</v>
      </c>
      <c r="B170" s="63" t="s">
        <v>395</v>
      </c>
      <c r="C170" s="127">
        <v>4.3499999999999996</v>
      </c>
    </row>
    <row r="171" spans="1:4" x14ac:dyDescent="0.2">
      <c r="A171" s="63" t="s">
        <v>180</v>
      </c>
      <c r="C171" s="127">
        <v>-0.01</v>
      </c>
    </row>
    <row r="172" spans="1:4" x14ac:dyDescent="0.2">
      <c r="A172" s="63" t="s">
        <v>173</v>
      </c>
      <c r="C172" s="127">
        <v>3.2300000000000002E-2</v>
      </c>
    </row>
    <row r="173" spans="1:4" x14ac:dyDescent="0.2">
      <c r="A173" s="63" t="s">
        <v>174</v>
      </c>
      <c r="C173" s="127">
        <v>9.4000000000000004E-3</v>
      </c>
    </row>
    <row r="174" spans="1:4" x14ac:dyDescent="0.2">
      <c r="A174" s="63" t="s">
        <v>175</v>
      </c>
      <c r="C174" s="128">
        <v>2.6800000000000001E-2</v>
      </c>
    </row>
    <row r="175" spans="1:4" x14ac:dyDescent="0.2">
      <c r="A175" s="63" t="s">
        <v>176</v>
      </c>
      <c r="C175" s="129">
        <f>ROUND((+C170+C171)/(1-C174)+(C172+C173),4)-C170-C171</f>
        <v>0.16120000000000023</v>
      </c>
    </row>
    <row r="176" spans="1:4" ht="12.75" thickBot="1" x14ac:dyDescent="0.25">
      <c r="A176" s="63" t="s">
        <v>177</v>
      </c>
      <c r="C176" s="130">
        <f>SUM(C175,C170:C171)</f>
        <v>4.5011999999999999</v>
      </c>
      <c r="D176" s="63" t="s">
        <v>31</v>
      </c>
    </row>
    <row r="177" spans="1:4" ht="12.75" thickTop="1" x14ac:dyDescent="0.2"/>
    <row r="179" spans="1:4" x14ac:dyDescent="0.2">
      <c r="A179" s="67" t="s">
        <v>296</v>
      </c>
    </row>
    <row r="180" spans="1:4" x14ac:dyDescent="0.2">
      <c r="A180" s="63" t="s">
        <v>172</v>
      </c>
      <c r="B180" s="63" t="s">
        <v>396</v>
      </c>
      <c r="C180" s="127">
        <v>4.37</v>
      </c>
    </row>
    <row r="181" spans="1:4" x14ac:dyDescent="0.2">
      <c r="A181" s="63" t="s">
        <v>180</v>
      </c>
      <c r="C181" s="127">
        <v>7.4999999999999997E-3</v>
      </c>
    </row>
    <row r="182" spans="1:4" x14ac:dyDescent="0.2">
      <c r="A182" s="63" t="s">
        <v>173</v>
      </c>
      <c r="C182" s="127">
        <v>2.1000000000000001E-2</v>
      </c>
    </row>
    <row r="183" spans="1:4" x14ac:dyDescent="0.2">
      <c r="A183" s="63" t="s">
        <v>174</v>
      </c>
      <c r="C183" s="127">
        <f>0.0022+0.0072</f>
        <v>9.4000000000000004E-3</v>
      </c>
    </row>
    <row r="184" spans="1:4" x14ac:dyDescent="0.2">
      <c r="A184" s="63" t="s">
        <v>175</v>
      </c>
      <c r="C184" s="128">
        <v>2.5999999999999999E-2</v>
      </c>
    </row>
    <row r="185" spans="1:4" x14ac:dyDescent="0.2">
      <c r="A185" s="63" t="s">
        <v>176</v>
      </c>
      <c r="C185" s="129">
        <f>ROUND((+C180+C181)/(1-C184)-(C180+C181)+C182+C183,4)</f>
        <v>0.14729999999999999</v>
      </c>
    </row>
    <row r="186" spans="1:4" ht="12.75" thickBot="1" x14ac:dyDescent="0.25">
      <c r="A186" s="63" t="s">
        <v>177</v>
      </c>
      <c r="C186" s="130">
        <f>SUM(C185,C180:C181)</f>
        <v>4.5248000000000008</v>
      </c>
      <c r="D186" s="63" t="s">
        <v>397</v>
      </c>
    </row>
    <row r="187" spans="1:4" ht="12.75" thickTop="1" x14ac:dyDescent="0.2"/>
  </sheetData>
  <pageMargins left="0.75" right="0.75" top="1" bottom="1" header="0.5" footer="0.5"/>
  <pageSetup orientation="portrait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100"/>
  <sheetViews>
    <sheetView topLeftCell="A74" workbookViewId="0">
      <selection activeCell="T72" sqref="T72:U72"/>
    </sheetView>
  </sheetViews>
  <sheetFormatPr defaultRowHeight="12.75" x14ac:dyDescent="0.2"/>
  <cols>
    <col min="1" max="1" width="9.140625" style="25"/>
    <col min="2" max="2" width="10" style="25" customWidth="1"/>
    <col min="3" max="3" width="9.140625" style="25"/>
    <col min="4" max="4" width="10.5703125" style="25" customWidth="1"/>
    <col min="5" max="5" width="9.28515625" style="25" customWidth="1"/>
    <col min="6" max="6" width="9.5703125" style="25" customWidth="1"/>
    <col min="7" max="7" width="12.42578125" style="27" hidden="1" customWidth="1"/>
    <col min="8" max="8" width="14" style="27" hidden="1" customWidth="1"/>
    <col min="9" max="9" width="10.7109375" style="25" customWidth="1"/>
    <col min="10" max="10" width="7.7109375" style="25" customWidth="1"/>
    <col min="11" max="14" width="0" style="25" hidden="1" customWidth="1"/>
    <col min="15" max="15" width="0" style="47" hidden="1" customWidth="1"/>
    <col min="16" max="16" width="0" style="25" hidden="1" customWidth="1"/>
    <col min="17" max="17" width="11.7109375" style="25" customWidth="1"/>
    <col min="18" max="18" width="9.42578125" style="25" customWidth="1"/>
    <col min="19" max="19" width="12.28515625" style="25" customWidth="1"/>
    <col min="20" max="20" width="10.7109375" style="25" customWidth="1"/>
    <col min="21" max="21" width="11.85546875" style="25" customWidth="1"/>
    <col min="22" max="22" width="14.85546875" style="38" customWidth="1"/>
    <col min="23" max="23" width="42.28515625" style="27" customWidth="1"/>
    <col min="24" max="25" width="9.140625" style="38"/>
    <col min="26" max="26" width="12.42578125" style="25" customWidth="1"/>
    <col min="27" max="16384" width="9.140625" style="25"/>
  </cols>
  <sheetData>
    <row r="1" spans="2:25" x14ac:dyDescent="0.2">
      <c r="B1" s="41" t="s">
        <v>474</v>
      </c>
      <c r="C1" s="3"/>
      <c r="D1" s="3"/>
      <c r="E1" s="4"/>
      <c r="F1" s="4"/>
      <c r="G1" s="1"/>
      <c r="H1" s="1"/>
      <c r="I1" s="3" t="s">
        <v>47</v>
      </c>
      <c r="J1" s="7">
        <v>30</v>
      </c>
      <c r="K1" s="48" t="s">
        <v>66</v>
      </c>
      <c r="L1" s="5"/>
      <c r="M1" s="5"/>
      <c r="N1" s="5"/>
      <c r="O1" s="43"/>
      <c r="P1" s="5"/>
      <c r="Q1" s="24"/>
      <c r="R1" s="2"/>
      <c r="S1" s="28"/>
      <c r="T1" s="28"/>
      <c r="U1" s="28"/>
      <c r="V1" s="52"/>
      <c r="W1" s="58"/>
      <c r="X1" s="35"/>
      <c r="Y1" s="35"/>
    </row>
    <row r="2" spans="2:25" x14ac:dyDescent="0.2">
      <c r="B2" s="1" t="s">
        <v>61</v>
      </c>
      <c r="C2" s="1"/>
      <c r="D2" s="1"/>
      <c r="E2" s="4"/>
      <c r="F2" s="4"/>
      <c r="G2" s="1"/>
      <c r="H2" s="1"/>
      <c r="I2" s="3"/>
      <c r="J2" s="7"/>
      <c r="K2" s="48" t="s">
        <v>67</v>
      </c>
      <c r="L2" s="5"/>
      <c r="M2" s="5"/>
      <c r="N2" s="5"/>
      <c r="O2" s="43"/>
      <c r="P2" s="5"/>
      <c r="Q2" s="24"/>
      <c r="R2" s="2"/>
      <c r="S2" s="28"/>
      <c r="T2" s="28"/>
      <c r="U2" s="28"/>
      <c r="V2" s="52"/>
      <c r="W2" s="58"/>
      <c r="X2" s="35"/>
      <c r="Y2" s="35"/>
    </row>
    <row r="3" spans="2:25" x14ac:dyDescent="0.2">
      <c r="B3" s="1" t="s">
        <v>62</v>
      </c>
      <c r="C3" s="1"/>
      <c r="D3" s="1"/>
      <c r="E3" s="4"/>
      <c r="F3" s="4"/>
      <c r="G3" s="6" t="s">
        <v>31</v>
      </c>
      <c r="H3" s="1" t="s">
        <v>31</v>
      </c>
      <c r="I3" s="2" t="s">
        <v>31</v>
      </c>
      <c r="J3" s="8"/>
      <c r="K3" s="31" t="s">
        <v>31</v>
      </c>
      <c r="L3" s="5"/>
      <c r="M3" s="31" t="s">
        <v>31</v>
      </c>
      <c r="N3" s="5"/>
      <c r="O3" s="43"/>
      <c r="P3" s="31" t="s">
        <v>31</v>
      </c>
      <c r="Q3" s="24"/>
      <c r="R3" s="2"/>
      <c r="S3" s="28"/>
      <c r="T3" s="28"/>
      <c r="U3" s="28"/>
      <c r="V3" s="52"/>
      <c r="W3" s="58"/>
      <c r="X3" s="35"/>
      <c r="Y3" s="35"/>
    </row>
    <row r="4" spans="2:25" x14ac:dyDescent="0.2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3"/>
      <c r="P4" s="2"/>
      <c r="Q4" s="24"/>
      <c r="R4" s="2"/>
      <c r="S4" s="28"/>
      <c r="T4" s="33"/>
      <c r="U4" s="33"/>
      <c r="V4" s="53"/>
      <c r="W4" s="58"/>
      <c r="X4" s="35"/>
      <c r="Y4" s="35"/>
    </row>
    <row r="5" spans="2:25" x14ac:dyDescent="0.2">
      <c r="B5" s="1" t="s">
        <v>68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3"/>
      <c r="P5" s="2"/>
      <c r="Q5" s="24"/>
      <c r="R5" s="2"/>
      <c r="S5" s="28"/>
      <c r="T5" s="33"/>
      <c r="U5" s="33"/>
      <c r="V5" s="53"/>
      <c r="W5" s="58"/>
      <c r="X5" s="35"/>
      <c r="Y5" s="35"/>
    </row>
    <row r="6" spans="2:25" x14ac:dyDescent="0.2">
      <c r="B6" s="1"/>
      <c r="C6" s="3" t="s">
        <v>185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3"/>
      <c r="P6" s="2"/>
      <c r="Q6" s="24"/>
      <c r="R6" s="2"/>
      <c r="S6" s="28"/>
      <c r="T6" s="33"/>
      <c r="U6" s="33"/>
      <c r="V6" s="53"/>
      <c r="W6" s="58"/>
      <c r="X6" s="35"/>
      <c r="Y6" s="35"/>
    </row>
    <row r="7" spans="2:25" x14ac:dyDescent="0.2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3"/>
      <c r="P7" s="2"/>
      <c r="Q7" s="24"/>
      <c r="R7" s="2"/>
      <c r="S7" s="28"/>
      <c r="T7" s="33"/>
      <c r="U7" s="33"/>
      <c r="V7" s="53"/>
      <c r="W7" s="58"/>
      <c r="X7" s="35"/>
      <c r="Y7" s="35"/>
    </row>
    <row r="8" spans="2:25" x14ac:dyDescent="0.2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3"/>
      <c r="P8" s="2"/>
      <c r="Q8" s="24"/>
      <c r="R8" s="2"/>
      <c r="S8" s="28"/>
      <c r="T8" s="33"/>
      <c r="U8" s="33"/>
      <c r="V8" s="53"/>
      <c r="W8" s="58"/>
      <c r="X8" s="35"/>
      <c r="Y8" s="35"/>
    </row>
    <row r="9" spans="2:25" x14ac:dyDescent="0.2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3"/>
      <c r="P9" s="2"/>
      <c r="Q9" s="24"/>
      <c r="R9" s="2"/>
      <c r="S9" s="28"/>
      <c r="T9" s="33"/>
      <c r="U9" s="33"/>
      <c r="V9" s="53"/>
      <c r="W9" s="58"/>
      <c r="X9" s="35"/>
      <c r="Y9" s="35"/>
    </row>
    <row r="10" spans="2:25" x14ac:dyDescent="0.2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3"/>
      <c r="P10" s="2"/>
      <c r="Q10" s="24"/>
      <c r="R10" s="2"/>
      <c r="S10" s="28"/>
      <c r="T10" s="33"/>
      <c r="U10" s="33"/>
      <c r="V10" s="53"/>
      <c r="W10" s="58"/>
      <c r="X10" s="35"/>
      <c r="Y10" s="35"/>
    </row>
    <row r="11" spans="2:25" x14ac:dyDescent="0.2">
      <c r="B11" s="16" t="s">
        <v>32</v>
      </c>
      <c r="C11" s="17" t="s">
        <v>33</v>
      </c>
      <c r="D11" s="17" t="s">
        <v>34</v>
      </c>
      <c r="E11" s="18" t="s">
        <v>35</v>
      </c>
      <c r="F11" s="18"/>
      <c r="G11" s="16" t="s">
        <v>36</v>
      </c>
      <c r="H11" s="16" t="s">
        <v>37</v>
      </c>
      <c r="I11" s="17" t="s">
        <v>77</v>
      </c>
      <c r="J11" s="19" t="s">
        <v>38</v>
      </c>
      <c r="K11" s="17" t="s">
        <v>39</v>
      </c>
      <c r="L11" s="17" t="s">
        <v>40</v>
      </c>
      <c r="M11" s="17" t="s">
        <v>41</v>
      </c>
      <c r="N11" s="17" t="s">
        <v>42</v>
      </c>
      <c r="O11" s="44" t="s">
        <v>43</v>
      </c>
      <c r="P11" s="17" t="s">
        <v>44</v>
      </c>
      <c r="Q11" s="20" t="s">
        <v>182</v>
      </c>
      <c r="R11" s="17" t="s">
        <v>45</v>
      </c>
      <c r="S11" s="16" t="s">
        <v>46</v>
      </c>
      <c r="T11" s="21" t="s">
        <v>76</v>
      </c>
      <c r="U11" s="21" t="s">
        <v>75</v>
      </c>
      <c r="V11" s="54" t="s">
        <v>183</v>
      </c>
      <c r="W11" s="59" t="e">
        <f>+#REF!</f>
        <v>#REF!</v>
      </c>
      <c r="X11" s="36"/>
      <c r="Y11" s="36"/>
    </row>
    <row r="12" spans="2:25" s="95" customFormat="1" x14ac:dyDescent="0.2">
      <c r="B12" s="96" t="s">
        <v>184</v>
      </c>
      <c r="C12" s="97" t="s">
        <v>64</v>
      </c>
      <c r="D12" s="97" t="s">
        <v>130</v>
      </c>
      <c r="E12" s="98">
        <v>36678</v>
      </c>
      <c r="F12" s="98">
        <v>37042</v>
      </c>
      <c r="G12" s="96" t="s">
        <v>65</v>
      </c>
      <c r="H12" s="96" t="s">
        <v>58</v>
      </c>
      <c r="I12" s="97" t="s">
        <v>129</v>
      </c>
      <c r="J12" s="100">
        <f t="shared" ref="J12:J19" si="0">3.145/J$1</f>
        <v>0.10483333333333333</v>
      </c>
      <c r="K12" s="101">
        <v>1.32E-2</v>
      </c>
      <c r="L12" s="101">
        <v>2.2000000000000001E-3</v>
      </c>
      <c r="M12" s="101">
        <v>0</v>
      </c>
      <c r="N12" s="101">
        <v>0</v>
      </c>
      <c r="O12" s="102">
        <v>2.1160000000000002E-2</v>
      </c>
      <c r="P12" s="101">
        <f t="shared" ref="P12:P19" si="1">SUM(J12:N12)</f>
        <v>0.12023333333333333</v>
      </c>
      <c r="Q12" s="106">
        <v>68360</v>
      </c>
      <c r="R12" s="97">
        <v>291</v>
      </c>
      <c r="S12" s="96"/>
      <c r="T12" s="104">
        <f t="shared" ref="T12:T22" si="2">J12*J$1*R12</f>
        <v>915.19500000000005</v>
      </c>
      <c r="U12" s="104">
        <v>915</v>
      </c>
      <c r="V12" s="105">
        <v>271311</v>
      </c>
      <c r="W12" s="96"/>
      <c r="X12" s="109"/>
      <c r="Y12" s="109"/>
    </row>
    <row r="13" spans="2:25" s="95" customFormat="1" x14ac:dyDescent="0.2">
      <c r="B13" s="96" t="s">
        <v>184</v>
      </c>
      <c r="C13" s="97" t="s">
        <v>64</v>
      </c>
      <c r="D13" s="97" t="s">
        <v>74</v>
      </c>
      <c r="E13" s="98">
        <v>36678</v>
      </c>
      <c r="F13" s="98">
        <v>37042</v>
      </c>
      <c r="G13" s="96" t="s">
        <v>65</v>
      </c>
      <c r="H13" s="96" t="s">
        <v>58</v>
      </c>
      <c r="I13" s="97" t="s">
        <v>129</v>
      </c>
      <c r="J13" s="100">
        <f t="shared" si="0"/>
        <v>0.10483333333333333</v>
      </c>
      <c r="K13" s="101">
        <v>1.32E-2</v>
      </c>
      <c r="L13" s="101">
        <v>2.2000000000000001E-3</v>
      </c>
      <c r="M13" s="101">
        <v>0</v>
      </c>
      <c r="N13" s="101">
        <v>0</v>
      </c>
      <c r="O13" s="102">
        <v>2.1160000000000002E-2</v>
      </c>
      <c r="P13" s="101">
        <f t="shared" si="1"/>
        <v>0.12023333333333333</v>
      </c>
      <c r="Q13" s="106">
        <v>68385</v>
      </c>
      <c r="R13" s="97">
        <v>223</v>
      </c>
      <c r="S13" s="96"/>
      <c r="T13" s="104">
        <f t="shared" si="2"/>
        <v>701.33500000000004</v>
      </c>
      <c r="U13" s="104">
        <v>701</v>
      </c>
      <c r="V13" s="105">
        <v>280550</v>
      </c>
      <c r="W13" s="96"/>
      <c r="X13" s="109"/>
      <c r="Y13" s="109"/>
    </row>
    <row r="14" spans="2:25" s="62" customFormat="1" x14ac:dyDescent="0.2">
      <c r="B14" s="1" t="s">
        <v>184</v>
      </c>
      <c r="C14" s="3" t="s">
        <v>64</v>
      </c>
      <c r="D14" s="3" t="s">
        <v>74</v>
      </c>
      <c r="E14" s="4">
        <v>36342</v>
      </c>
      <c r="F14" s="4">
        <v>36707</v>
      </c>
      <c r="G14" s="1" t="s">
        <v>65</v>
      </c>
      <c r="H14" s="1" t="s">
        <v>58</v>
      </c>
      <c r="I14" s="3" t="s">
        <v>129</v>
      </c>
      <c r="J14" s="8">
        <f t="shared" si="0"/>
        <v>0.10483333333333333</v>
      </c>
      <c r="K14" s="5">
        <v>1.32E-2</v>
      </c>
      <c r="L14" s="5">
        <v>2.2000000000000001E-3</v>
      </c>
      <c r="M14" s="5">
        <v>0</v>
      </c>
      <c r="N14" s="5">
        <v>0</v>
      </c>
      <c r="O14" s="43">
        <v>2.1160000000000002E-2</v>
      </c>
      <c r="P14" s="5">
        <f t="shared" si="1"/>
        <v>0.12023333333333333</v>
      </c>
      <c r="Q14" s="24">
        <v>64033</v>
      </c>
      <c r="R14" s="3">
        <v>1</v>
      </c>
      <c r="S14" s="1"/>
      <c r="T14" s="9">
        <f t="shared" si="2"/>
        <v>3.145</v>
      </c>
      <c r="U14" s="9">
        <v>3</v>
      </c>
      <c r="V14" s="56">
        <v>156618</v>
      </c>
      <c r="W14" s="1"/>
      <c r="X14" s="36"/>
      <c r="Y14" s="36"/>
    </row>
    <row r="15" spans="2:25" s="62" customFormat="1" x14ac:dyDescent="0.2">
      <c r="B15" s="1" t="s">
        <v>184</v>
      </c>
      <c r="C15" s="3" t="s">
        <v>64</v>
      </c>
      <c r="D15" s="3" t="s">
        <v>130</v>
      </c>
      <c r="E15" s="4">
        <v>36342</v>
      </c>
      <c r="F15" s="4">
        <v>36707</v>
      </c>
      <c r="G15" s="1" t="s">
        <v>65</v>
      </c>
      <c r="H15" s="1" t="s">
        <v>58</v>
      </c>
      <c r="I15" s="3" t="s">
        <v>129</v>
      </c>
      <c r="J15" s="8">
        <f t="shared" si="0"/>
        <v>0.10483333333333333</v>
      </c>
      <c r="K15" s="5">
        <v>1.32E-2</v>
      </c>
      <c r="L15" s="5">
        <v>2.2000000000000001E-3</v>
      </c>
      <c r="M15" s="5">
        <v>0</v>
      </c>
      <c r="N15" s="5">
        <v>0</v>
      </c>
      <c r="O15" s="43">
        <v>2.1160000000000002E-2</v>
      </c>
      <c r="P15" s="5">
        <f t="shared" si="1"/>
        <v>0.12023333333333333</v>
      </c>
      <c r="Q15" s="24">
        <v>64035</v>
      </c>
      <c r="R15" s="3">
        <v>931</v>
      </c>
      <c r="S15" s="1"/>
      <c r="T15" s="9">
        <f t="shared" si="2"/>
        <v>2927.9949999999999</v>
      </c>
      <c r="U15" s="9">
        <v>2928</v>
      </c>
      <c r="V15" s="56">
        <v>156620</v>
      </c>
      <c r="W15" s="1"/>
      <c r="X15" s="36"/>
      <c r="Y15" s="36"/>
    </row>
    <row r="16" spans="2:25" s="62" customFormat="1" x14ac:dyDescent="0.2">
      <c r="B16" s="1" t="s">
        <v>184</v>
      </c>
      <c r="C16" s="3" t="s">
        <v>64</v>
      </c>
      <c r="D16" s="3" t="s">
        <v>74</v>
      </c>
      <c r="E16" s="4">
        <v>36373</v>
      </c>
      <c r="F16" s="4">
        <v>36738</v>
      </c>
      <c r="G16" s="1" t="s">
        <v>65</v>
      </c>
      <c r="H16" s="1" t="s">
        <v>58</v>
      </c>
      <c r="I16" s="3" t="s">
        <v>129</v>
      </c>
      <c r="J16" s="8">
        <f t="shared" si="0"/>
        <v>0.10483333333333333</v>
      </c>
      <c r="K16" s="5">
        <v>1.32E-2</v>
      </c>
      <c r="L16" s="5">
        <v>2.2000000000000001E-3</v>
      </c>
      <c r="M16" s="5">
        <v>0</v>
      </c>
      <c r="N16" s="5">
        <v>0</v>
      </c>
      <c r="O16" s="43">
        <v>2.1160000000000002E-2</v>
      </c>
      <c r="P16" s="5">
        <f t="shared" si="1"/>
        <v>0.12023333333333333</v>
      </c>
      <c r="Q16" s="24">
        <v>64332</v>
      </c>
      <c r="R16" s="3">
        <v>12</v>
      </c>
      <c r="S16" s="1"/>
      <c r="T16" s="9">
        <f t="shared" si="2"/>
        <v>37.74</v>
      </c>
      <c r="U16" s="9">
        <v>38</v>
      </c>
      <c r="V16" s="56">
        <v>156621</v>
      </c>
      <c r="W16" s="1"/>
      <c r="X16" s="36"/>
      <c r="Y16" s="36"/>
    </row>
    <row r="17" spans="2:25" s="62" customFormat="1" x14ac:dyDescent="0.2">
      <c r="B17" s="1" t="s">
        <v>184</v>
      </c>
      <c r="C17" s="3" t="s">
        <v>64</v>
      </c>
      <c r="D17" s="3" t="s">
        <v>130</v>
      </c>
      <c r="E17" s="4">
        <v>36373</v>
      </c>
      <c r="F17" s="4">
        <v>36738</v>
      </c>
      <c r="G17" s="1" t="s">
        <v>65</v>
      </c>
      <c r="H17" s="1" t="s">
        <v>58</v>
      </c>
      <c r="I17" s="3" t="s">
        <v>129</v>
      </c>
      <c r="J17" s="8">
        <f t="shared" si="0"/>
        <v>0.10483333333333333</v>
      </c>
      <c r="K17" s="5">
        <v>1.32E-2</v>
      </c>
      <c r="L17" s="5">
        <v>2.2000000000000001E-3</v>
      </c>
      <c r="M17" s="5">
        <v>0</v>
      </c>
      <c r="N17" s="5">
        <v>0</v>
      </c>
      <c r="O17" s="43">
        <v>2.1160000000000002E-2</v>
      </c>
      <c r="P17" s="5">
        <f t="shared" si="1"/>
        <v>0.12023333333333333</v>
      </c>
      <c r="Q17" s="24">
        <v>64334</v>
      </c>
      <c r="R17" s="3">
        <v>52</v>
      </c>
      <c r="S17" s="1"/>
      <c r="T17" s="9">
        <f t="shared" si="2"/>
        <v>163.54</v>
      </c>
      <c r="U17" s="9">
        <v>164</v>
      </c>
      <c r="V17" s="56">
        <v>221878</v>
      </c>
      <c r="W17" s="1"/>
      <c r="X17" s="36"/>
      <c r="Y17" s="36"/>
    </row>
    <row r="18" spans="2:25" s="62" customFormat="1" x14ac:dyDescent="0.2">
      <c r="B18" s="1" t="s">
        <v>184</v>
      </c>
      <c r="C18" s="3" t="s">
        <v>64</v>
      </c>
      <c r="D18" s="3" t="s">
        <v>74</v>
      </c>
      <c r="E18" s="4">
        <v>36404</v>
      </c>
      <c r="F18" s="4">
        <v>36769</v>
      </c>
      <c r="G18" s="1" t="s">
        <v>65</v>
      </c>
      <c r="H18" s="1" t="s">
        <v>58</v>
      </c>
      <c r="I18" s="3" t="s">
        <v>129</v>
      </c>
      <c r="J18" s="8">
        <f t="shared" si="0"/>
        <v>0.10483333333333333</v>
      </c>
      <c r="K18" s="5">
        <v>1.32E-2</v>
      </c>
      <c r="L18" s="5">
        <v>2.2000000000000001E-3</v>
      </c>
      <c r="M18" s="5">
        <v>0</v>
      </c>
      <c r="N18" s="5">
        <v>0</v>
      </c>
      <c r="O18" s="43">
        <v>2.1160000000000002E-2</v>
      </c>
      <c r="P18" s="5">
        <f t="shared" si="1"/>
        <v>0.12023333333333333</v>
      </c>
      <c r="Q18" s="24">
        <v>64652</v>
      </c>
      <c r="R18" s="3">
        <v>65</v>
      </c>
      <c r="S18" s="1"/>
      <c r="T18" s="9">
        <f t="shared" si="2"/>
        <v>204.42500000000001</v>
      </c>
      <c r="U18" s="9">
        <v>204</v>
      </c>
      <c r="V18" s="56">
        <v>156623</v>
      </c>
      <c r="W18" s="1"/>
      <c r="X18" s="36"/>
      <c r="Y18" s="36"/>
    </row>
    <row r="19" spans="2:25" s="62" customFormat="1" x14ac:dyDescent="0.2">
      <c r="B19" s="1" t="s">
        <v>184</v>
      </c>
      <c r="C19" s="3" t="s">
        <v>64</v>
      </c>
      <c r="D19" s="3" t="s">
        <v>74</v>
      </c>
      <c r="E19" s="4">
        <v>36434</v>
      </c>
      <c r="F19" s="4">
        <v>36799</v>
      </c>
      <c r="G19" s="1" t="s">
        <v>65</v>
      </c>
      <c r="H19" s="1" t="s">
        <v>58</v>
      </c>
      <c r="I19" s="3" t="s">
        <v>129</v>
      </c>
      <c r="J19" s="8">
        <f t="shared" si="0"/>
        <v>0.10483333333333333</v>
      </c>
      <c r="K19" s="5">
        <v>1.32E-2</v>
      </c>
      <c r="L19" s="5">
        <v>2.2000000000000001E-3</v>
      </c>
      <c r="M19" s="5">
        <v>0</v>
      </c>
      <c r="N19" s="5">
        <v>0</v>
      </c>
      <c r="O19" s="43">
        <v>2.1160000000000002E-2</v>
      </c>
      <c r="P19" s="5">
        <f t="shared" si="1"/>
        <v>0.12023333333333333</v>
      </c>
      <c r="Q19" s="24">
        <v>64863</v>
      </c>
      <c r="R19" s="3">
        <v>13</v>
      </c>
      <c r="S19" s="1"/>
      <c r="T19" s="9">
        <f t="shared" si="2"/>
        <v>40.884999999999998</v>
      </c>
      <c r="U19" s="9">
        <v>41</v>
      </c>
      <c r="V19" s="56">
        <v>156625</v>
      </c>
      <c r="W19" s="1"/>
      <c r="X19" s="36"/>
      <c r="Y19" s="36"/>
    </row>
    <row r="20" spans="2:25" s="62" customFormat="1" x14ac:dyDescent="0.2">
      <c r="B20" s="1" t="s">
        <v>184</v>
      </c>
      <c r="C20" s="3" t="s">
        <v>64</v>
      </c>
      <c r="D20" s="3" t="s">
        <v>74</v>
      </c>
      <c r="E20" s="4">
        <v>36465</v>
      </c>
      <c r="F20" s="4">
        <v>36830</v>
      </c>
      <c r="G20" s="1" t="s">
        <v>65</v>
      </c>
      <c r="H20" s="1" t="s">
        <v>58</v>
      </c>
      <c r="I20" s="3"/>
      <c r="J20" s="8">
        <f>3.145/J$1</f>
        <v>0.10483333333333333</v>
      </c>
      <c r="K20" s="5">
        <v>1.32E-2</v>
      </c>
      <c r="L20" s="5">
        <v>2.2000000000000001E-3</v>
      </c>
      <c r="M20" s="5">
        <v>0</v>
      </c>
      <c r="N20" s="5">
        <v>0</v>
      </c>
      <c r="O20" s="43">
        <v>2.1160000000000002E-2</v>
      </c>
      <c r="P20" s="5">
        <f>SUM(J20:N20)</f>
        <v>0.12023333333333333</v>
      </c>
      <c r="Q20" s="24">
        <v>65027</v>
      </c>
      <c r="R20" s="3">
        <v>131</v>
      </c>
      <c r="S20" s="1" t="s">
        <v>71</v>
      </c>
      <c r="T20" s="9">
        <f t="shared" si="2"/>
        <v>411.995</v>
      </c>
      <c r="U20" s="9">
        <v>412</v>
      </c>
      <c r="V20" s="56">
        <v>156666</v>
      </c>
      <c r="W20" s="1" t="s">
        <v>70</v>
      </c>
      <c r="X20" s="36"/>
      <c r="Y20" s="36"/>
    </row>
    <row r="21" spans="2:25" s="62" customFormat="1" x14ac:dyDescent="0.2">
      <c r="B21" s="1" t="s">
        <v>184</v>
      </c>
      <c r="C21" s="3" t="s">
        <v>64</v>
      </c>
      <c r="D21" s="3" t="s">
        <v>74</v>
      </c>
      <c r="E21" s="4">
        <v>36495</v>
      </c>
      <c r="F21" s="4">
        <v>36860</v>
      </c>
      <c r="G21" s="1" t="s">
        <v>65</v>
      </c>
      <c r="H21" s="1" t="s">
        <v>58</v>
      </c>
      <c r="I21" s="3" t="s">
        <v>129</v>
      </c>
      <c r="J21" s="8">
        <f>3.145/J$1</f>
        <v>0.10483333333333333</v>
      </c>
      <c r="K21" s="5">
        <v>1.32E-2</v>
      </c>
      <c r="L21" s="5">
        <v>2.2000000000000001E-3</v>
      </c>
      <c r="M21" s="5">
        <v>0</v>
      </c>
      <c r="N21" s="5">
        <v>0</v>
      </c>
      <c r="O21" s="43">
        <v>2.1160000000000002E-2</v>
      </c>
      <c r="P21" s="5">
        <f>SUM(J21:N21)</f>
        <v>0.12023333333333333</v>
      </c>
      <c r="Q21" s="24">
        <v>65557</v>
      </c>
      <c r="R21" s="3">
        <v>3</v>
      </c>
      <c r="S21" s="1"/>
      <c r="T21" s="9">
        <f t="shared" si="2"/>
        <v>9.4350000000000005</v>
      </c>
      <c r="U21" s="9">
        <v>9</v>
      </c>
      <c r="V21" s="56">
        <v>156669</v>
      </c>
      <c r="W21" s="1"/>
      <c r="X21" s="36"/>
      <c r="Y21" s="36"/>
    </row>
    <row r="22" spans="2:25" s="62" customFormat="1" x14ac:dyDescent="0.2">
      <c r="B22" s="1" t="s">
        <v>184</v>
      </c>
      <c r="C22" s="3" t="s">
        <v>64</v>
      </c>
      <c r="D22" s="3" t="s">
        <v>74</v>
      </c>
      <c r="E22" s="4">
        <v>36617</v>
      </c>
      <c r="F22" s="4">
        <v>36616</v>
      </c>
      <c r="G22" s="1" t="s">
        <v>65</v>
      </c>
      <c r="H22" s="1" t="s">
        <v>58</v>
      </c>
      <c r="I22" s="3" t="s">
        <v>129</v>
      </c>
      <c r="J22" s="8">
        <f>3.145/J1</f>
        <v>0.10483333333333333</v>
      </c>
      <c r="K22" s="5"/>
      <c r="L22" s="5"/>
      <c r="M22" s="5"/>
      <c r="N22" s="5"/>
      <c r="O22" s="43"/>
      <c r="P22" s="5"/>
      <c r="Q22" s="24">
        <v>66941</v>
      </c>
      <c r="R22" s="3">
        <v>53</v>
      </c>
      <c r="S22" s="1"/>
      <c r="T22" s="9">
        <f t="shared" si="2"/>
        <v>166.685</v>
      </c>
      <c r="U22" s="9">
        <v>167</v>
      </c>
      <c r="V22" s="56">
        <v>228122</v>
      </c>
      <c r="W22" s="1"/>
      <c r="X22" s="36"/>
      <c r="Y22" s="36"/>
    </row>
    <row r="23" spans="2:25" s="62" customFormat="1" x14ac:dyDescent="0.2">
      <c r="B23" s="1" t="s">
        <v>184</v>
      </c>
      <c r="C23" s="3" t="s">
        <v>64</v>
      </c>
      <c r="D23" s="3" t="s">
        <v>74</v>
      </c>
      <c r="E23" s="4">
        <v>36557</v>
      </c>
      <c r="F23" s="4">
        <v>36922</v>
      </c>
      <c r="G23" s="1" t="s">
        <v>65</v>
      </c>
      <c r="H23" s="1" t="s">
        <v>58</v>
      </c>
      <c r="I23" s="3" t="s">
        <v>129</v>
      </c>
      <c r="J23" s="8">
        <f>3.145/31</f>
        <v>0.10145161290322581</v>
      </c>
      <c r="K23" s="5"/>
      <c r="L23" s="5"/>
      <c r="M23" s="5"/>
      <c r="N23" s="5"/>
      <c r="O23" s="43"/>
      <c r="P23" s="5"/>
      <c r="Q23" s="24">
        <v>66283</v>
      </c>
      <c r="R23" s="3">
        <v>5</v>
      </c>
      <c r="S23" s="1"/>
      <c r="T23" s="86">
        <f>+J23*R23*31</f>
        <v>15.725000000000001</v>
      </c>
      <c r="U23" s="9">
        <v>16</v>
      </c>
      <c r="V23" s="56">
        <v>156674</v>
      </c>
      <c r="W23" s="1"/>
      <c r="X23" s="36"/>
      <c r="Y23" s="36"/>
    </row>
    <row r="24" spans="2:25" s="62" customFormat="1" x14ac:dyDescent="0.2">
      <c r="B24" s="1" t="s">
        <v>184</v>
      </c>
      <c r="C24" s="3" t="s">
        <v>64</v>
      </c>
      <c r="D24" s="3" t="s">
        <v>268</v>
      </c>
      <c r="E24" s="4">
        <v>36617</v>
      </c>
      <c r="F24" s="4">
        <v>36981</v>
      </c>
      <c r="G24" s="1" t="s">
        <v>65</v>
      </c>
      <c r="H24" s="1" t="s">
        <v>58</v>
      </c>
      <c r="I24" s="3" t="s">
        <v>129</v>
      </c>
      <c r="J24" s="8">
        <f>3.15/J1</f>
        <v>0.105</v>
      </c>
      <c r="K24" s="5"/>
      <c r="L24" s="5"/>
      <c r="M24" s="5"/>
      <c r="N24" s="5"/>
      <c r="O24" s="43"/>
      <c r="P24" s="5"/>
      <c r="Q24" s="24">
        <v>66941</v>
      </c>
      <c r="R24" s="3">
        <v>53</v>
      </c>
      <c r="S24" s="1"/>
      <c r="T24" s="86">
        <f>+J24*R24*31</f>
        <v>172.51499999999999</v>
      </c>
      <c r="U24" s="9">
        <v>0</v>
      </c>
      <c r="V24" s="56">
        <v>228122</v>
      </c>
      <c r="W24" s="1"/>
      <c r="X24" s="36"/>
      <c r="Y24" s="36"/>
    </row>
    <row r="25" spans="2:25" s="79" customFormat="1" x14ac:dyDescent="0.2">
      <c r="B25" s="42" t="s">
        <v>184</v>
      </c>
      <c r="C25" s="71" t="s">
        <v>64</v>
      </c>
      <c r="D25" s="71" t="s">
        <v>74</v>
      </c>
      <c r="E25" s="72">
        <v>36656</v>
      </c>
      <c r="F25" s="72">
        <v>36950</v>
      </c>
      <c r="G25" s="42" t="s">
        <v>65</v>
      </c>
      <c r="H25" s="42" t="s">
        <v>58</v>
      </c>
      <c r="I25" s="71" t="s">
        <v>129</v>
      </c>
      <c r="J25" s="73">
        <v>3.145</v>
      </c>
      <c r="K25" s="74"/>
      <c r="L25" s="74"/>
      <c r="M25" s="74"/>
      <c r="N25" s="74"/>
      <c r="O25" s="75"/>
      <c r="P25" s="74"/>
      <c r="Q25" s="76">
        <v>68308</v>
      </c>
      <c r="R25" s="71">
        <v>9</v>
      </c>
      <c r="S25" s="42"/>
      <c r="T25" s="77">
        <f>+R25*J25/31*21</f>
        <v>19.174354838709679</v>
      </c>
      <c r="U25" s="77">
        <v>0</v>
      </c>
      <c r="V25" s="94">
        <v>262090</v>
      </c>
      <c r="W25" s="42" t="s">
        <v>205</v>
      </c>
      <c r="X25" s="78"/>
      <c r="Y25" s="78"/>
    </row>
    <row r="26" spans="2:25" s="79" customFormat="1" x14ac:dyDescent="0.2">
      <c r="B26" s="42" t="s">
        <v>477</v>
      </c>
      <c r="C26" s="71" t="s">
        <v>64</v>
      </c>
      <c r="D26" s="71" t="s">
        <v>74</v>
      </c>
      <c r="E26" s="72">
        <v>36617</v>
      </c>
      <c r="F26" s="72">
        <v>36655</v>
      </c>
      <c r="G26" s="42" t="s">
        <v>65</v>
      </c>
      <c r="H26" s="42" t="s">
        <v>58</v>
      </c>
      <c r="I26" s="71" t="s">
        <v>129</v>
      </c>
      <c r="J26" s="73">
        <v>3.145</v>
      </c>
      <c r="K26" s="74"/>
      <c r="L26" s="74"/>
      <c r="M26" s="74"/>
      <c r="N26" s="74"/>
      <c r="O26" s="75"/>
      <c r="P26" s="74"/>
      <c r="Q26" s="76">
        <v>66615</v>
      </c>
      <c r="R26" s="71">
        <v>9</v>
      </c>
      <c r="S26" s="42"/>
      <c r="T26" s="77">
        <f>+R26*J26/31*9</f>
        <v>8.2175806451612914</v>
      </c>
      <c r="U26" s="77">
        <v>0</v>
      </c>
      <c r="V26" s="94">
        <v>262082</v>
      </c>
      <c r="W26" s="42" t="s">
        <v>205</v>
      </c>
      <c r="X26" s="78"/>
      <c r="Y26" s="78"/>
    </row>
    <row r="27" spans="2:25" s="95" customFormat="1" x14ac:dyDescent="0.2">
      <c r="B27" s="96" t="s">
        <v>184</v>
      </c>
      <c r="C27" s="97" t="s">
        <v>64</v>
      </c>
      <c r="D27" s="97" t="s">
        <v>130</v>
      </c>
      <c r="E27" s="98">
        <v>36647</v>
      </c>
      <c r="F27" s="98">
        <v>37011</v>
      </c>
      <c r="G27" s="96" t="s">
        <v>65</v>
      </c>
      <c r="H27" s="96" t="s">
        <v>58</v>
      </c>
      <c r="I27" s="97" t="s">
        <v>129</v>
      </c>
      <c r="J27" s="100">
        <v>3.1539999999999999</v>
      </c>
      <c r="K27" s="101"/>
      <c r="L27" s="101"/>
      <c r="M27" s="101"/>
      <c r="N27" s="101"/>
      <c r="O27" s="102"/>
      <c r="P27" s="101"/>
      <c r="Q27" s="106">
        <v>68281</v>
      </c>
      <c r="R27" s="97">
        <v>21</v>
      </c>
      <c r="S27" s="96" t="s">
        <v>356</v>
      </c>
      <c r="T27" s="104">
        <f>+J27*R27</f>
        <v>66.233999999999995</v>
      </c>
      <c r="U27" s="104">
        <v>66</v>
      </c>
      <c r="V27" s="105">
        <v>256413</v>
      </c>
      <c r="W27" s="96"/>
      <c r="X27" s="109"/>
      <c r="Y27" s="109"/>
    </row>
    <row r="29" spans="2:25" s="62" customFormat="1" x14ac:dyDescent="0.2">
      <c r="B29" s="1"/>
      <c r="C29" s="3"/>
      <c r="D29" s="3"/>
      <c r="E29" s="4"/>
      <c r="F29" s="4"/>
      <c r="G29" s="1"/>
      <c r="H29" s="1"/>
      <c r="I29" s="3"/>
      <c r="J29" s="8"/>
      <c r="K29" s="5"/>
      <c r="L29" s="5"/>
      <c r="M29" s="5"/>
      <c r="N29" s="5"/>
      <c r="O29" s="43"/>
      <c r="P29" s="5"/>
      <c r="Q29" s="24"/>
      <c r="R29" s="3"/>
      <c r="S29" s="1"/>
      <c r="T29" s="9"/>
      <c r="U29" s="9"/>
      <c r="V29" s="56"/>
      <c r="W29" s="1"/>
      <c r="X29" s="36"/>
      <c r="Y29" s="36"/>
    </row>
    <row r="30" spans="2:25" x14ac:dyDescent="0.2">
      <c r="B30" s="1"/>
      <c r="C30" s="3"/>
      <c r="D30" s="3"/>
      <c r="E30" s="4"/>
      <c r="F30" s="4"/>
      <c r="G30" s="1"/>
      <c r="H30" s="1"/>
      <c r="I30" s="3"/>
      <c r="J30" s="8"/>
      <c r="K30" s="5"/>
      <c r="L30" s="23"/>
      <c r="M30" s="5"/>
      <c r="N30" s="5"/>
      <c r="O30" s="43"/>
      <c r="P30" s="5"/>
      <c r="Q30" s="24"/>
      <c r="R30" s="2">
        <f>SUM(R12:R28)</f>
        <v>1872</v>
      </c>
      <c r="S30" s="3"/>
      <c r="T30" s="9">
        <f>SUM(T12:T29)</f>
        <v>5864.2409354838728</v>
      </c>
      <c r="U30" s="9">
        <f>SUM(U12:U29)</f>
        <v>5664</v>
      </c>
      <c r="V30" s="56"/>
      <c r="W30" s="1"/>
      <c r="X30" s="36"/>
      <c r="Y30" s="36"/>
    </row>
    <row r="31" spans="2:25" x14ac:dyDescent="0.2">
      <c r="B31" s="16" t="s">
        <v>32</v>
      </c>
      <c r="C31" s="17" t="s">
        <v>33</v>
      </c>
      <c r="D31" s="17" t="s">
        <v>34</v>
      </c>
      <c r="E31" s="18" t="s">
        <v>35</v>
      </c>
      <c r="F31" s="18"/>
      <c r="G31" s="16" t="s">
        <v>36</v>
      </c>
      <c r="H31" s="16" t="s">
        <v>37</v>
      </c>
      <c r="I31" s="17" t="s">
        <v>77</v>
      </c>
      <c r="J31" s="19" t="s">
        <v>38</v>
      </c>
      <c r="K31" s="17" t="s">
        <v>39</v>
      </c>
      <c r="L31" s="17" t="s">
        <v>40</v>
      </c>
      <c r="M31" s="17" t="s">
        <v>41</v>
      </c>
      <c r="N31" s="17" t="s">
        <v>42</v>
      </c>
      <c r="O31" s="44" t="s">
        <v>43</v>
      </c>
      <c r="P31" s="17" t="s">
        <v>44</v>
      </c>
      <c r="Q31" s="20" t="s">
        <v>182</v>
      </c>
      <c r="R31" s="17" t="s">
        <v>45</v>
      </c>
      <c r="S31" s="16" t="s">
        <v>46</v>
      </c>
      <c r="T31" s="21" t="s">
        <v>76</v>
      </c>
      <c r="U31" s="21" t="s">
        <v>75</v>
      </c>
      <c r="V31" s="54" t="s">
        <v>183</v>
      </c>
      <c r="W31" s="59" t="e">
        <f>+#REF!</f>
        <v>#REF!</v>
      </c>
      <c r="X31" s="36"/>
      <c r="Y31" s="36"/>
    </row>
    <row r="32" spans="2:25" s="95" customFormat="1" ht="12" customHeight="1" x14ac:dyDescent="0.2">
      <c r="B32" s="96" t="s">
        <v>184</v>
      </c>
      <c r="C32" s="97" t="s">
        <v>200</v>
      </c>
      <c r="D32" s="97" t="s">
        <v>201</v>
      </c>
      <c r="E32" s="98">
        <v>36678</v>
      </c>
      <c r="F32" s="98">
        <v>36707</v>
      </c>
      <c r="G32" s="99"/>
      <c r="H32" s="99"/>
      <c r="I32" s="97" t="s">
        <v>202</v>
      </c>
      <c r="J32" s="100">
        <v>2.8340000000000001E-2</v>
      </c>
      <c r="K32" s="101">
        <v>0</v>
      </c>
      <c r="L32" s="101">
        <v>2.2000000000000001E-3</v>
      </c>
      <c r="M32" s="101">
        <v>7.1999999999999998E-3</v>
      </c>
      <c r="N32" s="101">
        <v>0</v>
      </c>
      <c r="O32" s="102">
        <v>0</v>
      </c>
      <c r="P32" s="101">
        <f>SUM(J32:N32)</f>
        <v>3.7740000000000003E-2</v>
      </c>
      <c r="Q32" s="106" t="s">
        <v>336</v>
      </c>
      <c r="R32" s="97">
        <v>820865</v>
      </c>
      <c r="S32" s="96"/>
      <c r="T32" s="104">
        <f>+J32*R32</f>
        <v>23263.3141</v>
      </c>
      <c r="U32" s="104"/>
      <c r="V32" s="105">
        <v>277918</v>
      </c>
      <c r="W32" s="96" t="s">
        <v>399</v>
      </c>
      <c r="X32" s="109"/>
      <c r="Y32" s="109"/>
    </row>
    <row r="33" spans="2:25" s="95" customFormat="1" ht="12" customHeight="1" x14ac:dyDescent="0.2">
      <c r="B33" s="96" t="s">
        <v>184</v>
      </c>
      <c r="C33" s="97" t="s">
        <v>200</v>
      </c>
      <c r="D33" s="97" t="s">
        <v>201</v>
      </c>
      <c r="E33" s="98">
        <v>36678</v>
      </c>
      <c r="F33" s="98">
        <v>36707</v>
      </c>
      <c r="G33" s="99"/>
      <c r="H33" s="99"/>
      <c r="I33" s="97" t="s">
        <v>202</v>
      </c>
      <c r="J33" s="100">
        <f>1.544/30</f>
        <v>5.1466666666666668E-2</v>
      </c>
      <c r="K33" s="101">
        <v>0</v>
      </c>
      <c r="L33" s="101">
        <v>2.2000000000000001E-3</v>
      </c>
      <c r="M33" s="101">
        <v>7.1999999999999998E-3</v>
      </c>
      <c r="N33" s="101">
        <v>0</v>
      </c>
      <c r="O33" s="102">
        <v>0</v>
      </c>
      <c r="P33" s="101">
        <f>SUM(J33:N33)</f>
        <v>6.0866666666666666E-2</v>
      </c>
      <c r="Q33" s="106" t="s">
        <v>336</v>
      </c>
      <c r="R33" s="97">
        <v>16248</v>
      </c>
      <c r="S33" s="96"/>
      <c r="T33" s="104">
        <f>+J33*R33*30</f>
        <v>25086.912</v>
      </c>
      <c r="U33" s="104"/>
      <c r="V33" s="105">
        <v>277918</v>
      </c>
      <c r="W33" s="96" t="s">
        <v>399</v>
      </c>
      <c r="X33" s="109"/>
      <c r="Y33" s="109"/>
    </row>
    <row r="34" spans="2:25" s="95" customFormat="1" ht="12" customHeight="1" x14ac:dyDescent="0.2">
      <c r="B34" s="96" t="s">
        <v>184</v>
      </c>
      <c r="C34" s="97" t="s">
        <v>200</v>
      </c>
      <c r="D34" s="97" t="s">
        <v>201</v>
      </c>
      <c r="E34" s="98">
        <v>36678</v>
      </c>
      <c r="F34" s="98">
        <v>36707</v>
      </c>
      <c r="G34" s="99"/>
      <c r="H34" s="99"/>
      <c r="I34" s="97" t="s">
        <v>202</v>
      </c>
      <c r="J34" s="100">
        <v>2.8340000000000001E-2</v>
      </c>
      <c r="K34" s="101">
        <v>0</v>
      </c>
      <c r="L34" s="101">
        <v>2.2000000000000001E-3</v>
      </c>
      <c r="M34" s="101">
        <v>7.1999999999999998E-3</v>
      </c>
      <c r="N34" s="101">
        <v>0</v>
      </c>
      <c r="O34" s="102">
        <v>0</v>
      </c>
      <c r="P34" s="101">
        <f>SUM(J34:N34)</f>
        <v>3.7740000000000003E-2</v>
      </c>
      <c r="Q34" s="106" t="s">
        <v>336</v>
      </c>
      <c r="R34" s="97">
        <v>12501</v>
      </c>
      <c r="S34" s="96"/>
      <c r="T34" s="104">
        <f>+J34*R34</f>
        <v>354.27834000000001</v>
      </c>
      <c r="U34" s="104"/>
      <c r="V34" s="105">
        <v>277845</v>
      </c>
      <c r="W34" s="96" t="s">
        <v>400</v>
      </c>
      <c r="X34" s="109"/>
      <c r="Y34" s="109"/>
    </row>
    <row r="35" spans="2:25" s="95" customFormat="1" ht="12" customHeight="1" x14ac:dyDescent="0.2">
      <c r="B35" s="96" t="s">
        <v>184</v>
      </c>
      <c r="C35" s="97" t="s">
        <v>200</v>
      </c>
      <c r="D35" s="97" t="s">
        <v>201</v>
      </c>
      <c r="E35" s="98">
        <v>36678</v>
      </c>
      <c r="F35" s="98">
        <v>36707</v>
      </c>
      <c r="G35" s="99"/>
      <c r="H35" s="99"/>
      <c r="I35" s="97" t="s">
        <v>202</v>
      </c>
      <c r="J35" s="100">
        <f>1.544/30</f>
        <v>5.1466666666666668E-2</v>
      </c>
      <c r="K35" s="101">
        <v>0</v>
      </c>
      <c r="L35" s="101">
        <v>2.2000000000000001E-3</v>
      </c>
      <c r="M35" s="101">
        <v>7.1999999999999998E-3</v>
      </c>
      <c r="N35" s="101">
        <v>0</v>
      </c>
      <c r="O35" s="102">
        <v>0</v>
      </c>
      <c r="P35" s="101">
        <f>SUM(J35:N35)</f>
        <v>6.0866666666666666E-2</v>
      </c>
      <c r="Q35" s="106" t="s">
        <v>336</v>
      </c>
      <c r="R35" s="97">
        <v>252</v>
      </c>
      <c r="S35" s="96"/>
      <c r="T35" s="104">
        <f>+J35*R35*30</f>
        <v>389.08799999999997</v>
      </c>
      <c r="U35" s="104"/>
      <c r="V35" s="105">
        <v>277845</v>
      </c>
      <c r="W35" s="96" t="s">
        <v>400</v>
      </c>
      <c r="X35" s="109"/>
      <c r="Y35" s="109"/>
    </row>
    <row r="36" spans="2:25" s="95" customFormat="1" ht="12" customHeight="1" x14ac:dyDescent="0.2">
      <c r="B36" s="96" t="s">
        <v>184</v>
      </c>
      <c r="C36" s="97" t="s">
        <v>200</v>
      </c>
      <c r="D36" s="97" t="s">
        <v>201</v>
      </c>
      <c r="E36" s="98">
        <v>36678</v>
      </c>
      <c r="F36" s="98">
        <v>36707</v>
      </c>
      <c r="G36" s="99"/>
      <c r="H36" s="99"/>
      <c r="I36" s="97" t="s">
        <v>138</v>
      </c>
      <c r="J36" s="100">
        <f>11.2024/30</f>
        <v>0.37341333333333337</v>
      </c>
      <c r="K36" s="101"/>
      <c r="L36" s="101"/>
      <c r="M36" s="101"/>
      <c r="N36" s="101"/>
      <c r="O36" s="102"/>
      <c r="P36" s="101"/>
      <c r="Q36" s="106" t="s">
        <v>270</v>
      </c>
      <c r="R36" s="97">
        <v>30507</v>
      </c>
      <c r="S36" s="96"/>
      <c r="T36" s="104">
        <f>J36*J$1*R36</f>
        <v>341751.61680000002</v>
      </c>
      <c r="U36" s="104"/>
      <c r="V36" s="105">
        <v>279907</v>
      </c>
      <c r="W36" s="96"/>
      <c r="X36" s="109"/>
      <c r="Y36" s="109"/>
    </row>
    <row r="37" spans="2:25" s="95" customFormat="1" ht="12" customHeight="1" x14ac:dyDescent="0.2">
      <c r="B37" s="96" t="s">
        <v>184</v>
      </c>
      <c r="C37" s="97" t="s">
        <v>200</v>
      </c>
      <c r="D37" s="97" t="s">
        <v>201</v>
      </c>
      <c r="E37" s="98">
        <v>36678</v>
      </c>
      <c r="F37" s="98">
        <v>36707</v>
      </c>
      <c r="G37" s="99"/>
      <c r="H37" s="99"/>
      <c r="I37" s="97" t="s">
        <v>138</v>
      </c>
      <c r="J37" s="100">
        <f>11.204/30</f>
        <v>0.37346666666666667</v>
      </c>
      <c r="K37" s="101"/>
      <c r="L37" s="101"/>
      <c r="M37" s="101"/>
      <c r="N37" s="101"/>
      <c r="O37" s="102"/>
      <c r="P37" s="101"/>
      <c r="Q37" s="106" t="s">
        <v>270</v>
      </c>
      <c r="R37" s="97">
        <v>6563</v>
      </c>
      <c r="S37" s="96"/>
      <c r="T37" s="104">
        <f>J37*J$1*R37</f>
        <v>73531.851999999999</v>
      </c>
      <c r="U37" s="104"/>
      <c r="V37" s="105">
        <v>277830</v>
      </c>
      <c r="W37" s="96" t="s">
        <v>401</v>
      </c>
      <c r="X37" s="109"/>
      <c r="Y37" s="109"/>
    </row>
    <row r="38" spans="2:25" s="95" customFormat="1" ht="12" customHeight="1" x14ac:dyDescent="0.2">
      <c r="B38" s="96" t="s">
        <v>184</v>
      </c>
      <c r="C38" s="97" t="s">
        <v>200</v>
      </c>
      <c r="D38" s="97" t="s">
        <v>201</v>
      </c>
      <c r="E38" s="98">
        <v>36678</v>
      </c>
      <c r="F38" s="98">
        <v>36707</v>
      </c>
      <c r="G38" s="99"/>
      <c r="H38" s="99"/>
      <c r="I38" s="97" t="s">
        <v>138</v>
      </c>
      <c r="J38" s="100">
        <f>8.5094/J1</f>
        <v>0.28364666666666666</v>
      </c>
      <c r="K38" s="101"/>
      <c r="L38" s="101"/>
      <c r="M38" s="101"/>
      <c r="N38" s="101"/>
      <c r="O38" s="102"/>
      <c r="P38" s="101"/>
      <c r="Q38" s="106" t="s">
        <v>270</v>
      </c>
      <c r="R38" s="97">
        <v>513</v>
      </c>
      <c r="S38" s="96"/>
      <c r="T38" s="104">
        <f>J38*J$1*R38</f>
        <v>4365.3221999999996</v>
      </c>
      <c r="U38" s="104"/>
      <c r="V38" s="105">
        <v>277796</v>
      </c>
      <c r="W38" s="96" t="s">
        <v>402</v>
      </c>
      <c r="X38" s="109"/>
      <c r="Y38" s="109"/>
    </row>
    <row r="39" spans="2:25" s="95" customFormat="1" ht="12" customHeight="1" x14ac:dyDescent="0.2">
      <c r="B39" s="96" t="s">
        <v>184</v>
      </c>
      <c r="C39" s="97" t="s">
        <v>206</v>
      </c>
      <c r="D39" s="97" t="s">
        <v>201</v>
      </c>
      <c r="E39" s="98">
        <v>36678</v>
      </c>
      <c r="F39" s="98">
        <v>36707</v>
      </c>
      <c r="G39" s="96" t="s">
        <v>165</v>
      </c>
      <c r="H39" s="96" t="s">
        <v>165</v>
      </c>
      <c r="I39" s="97" t="s">
        <v>138</v>
      </c>
      <c r="J39" s="100">
        <f>5.406/31</f>
        <v>0.17438709677419353</v>
      </c>
      <c r="K39" s="101"/>
      <c r="L39" s="101"/>
      <c r="M39" s="101"/>
      <c r="N39" s="101"/>
      <c r="O39" s="102"/>
      <c r="P39" s="101"/>
      <c r="Q39" s="106" t="s">
        <v>362</v>
      </c>
      <c r="R39" s="97">
        <v>515</v>
      </c>
      <c r="S39" s="96"/>
      <c r="T39" s="104">
        <f>J39*J$1*R39</f>
        <v>2694.2806451612901</v>
      </c>
      <c r="U39" s="104"/>
      <c r="V39" s="105">
        <v>277925</v>
      </c>
      <c r="W39" s="96" t="s">
        <v>360</v>
      </c>
      <c r="X39" s="109"/>
      <c r="Y39" s="109"/>
    </row>
    <row r="40" spans="2:25" s="95" customFormat="1" ht="12" customHeight="1" x14ac:dyDescent="0.2">
      <c r="B40" s="96" t="s">
        <v>184</v>
      </c>
      <c r="C40" s="97" t="s">
        <v>206</v>
      </c>
      <c r="D40" s="97" t="s">
        <v>201</v>
      </c>
      <c r="E40" s="98">
        <v>36678</v>
      </c>
      <c r="F40" s="98">
        <v>36707</v>
      </c>
      <c r="G40" s="96"/>
      <c r="H40" s="96"/>
      <c r="I40" s="97" t="s">
        <v>138</v>
      </c>
      <c r="J40" s="100"/>
      <c r="K40" s="101"/>
      <c r="L40" s="101"/>
      <c r="M40" s="101"/>
      <c r="N40" s="101"/>
      <c r="O40" s="102"/>
      <c r="P40" s="101"/>
      <c r="Q40" s="106" t="s">
        <v>362</v>
      </c>
      <c r="R40" s="97">
        <v>-400</v>
      </c>
      <c r="S40" s="96"/>
      <c r="T40" s="104">
        <f>+J40*R40*30</f>
        <v>0</v>
      </c>
      <c r="U40" s="104"/>
      <c r="V40" s="105">
        <v>281550</v>
      </c>
      <c r="W40" s="96" t="s">
        <v>475</v>
      </c>
      <c r="X40" s="109"/>
      <c r="Y40" s="109"/>
    </row>
    <row r="41" spans="2:25" s="62" customFormat="1" x14ac:dyDescent="0.2">
      <c r="B41" s="1"/>
      <c r="C41" s="3"/>
      <c r="D41" s="3"/>
      <c r="E41" s="4"/>
      <c r="F41" s="4"/>
      <c r="G41" s="29"/>
      <c r="H41" s="29"/>
      <c r="I41" s="3"/>
      <c r="J41" s="8"/>
      <c r="K41" s="5"/>
      <c r="L41" s="5"/>
      <c r="M41" s="5"/>
      <c r="N41" s="5"/>
      <c r="O41" s="43"/>
      <c r="P41" s="5"/>
      <c r="Q41" s="24"/>
      <c r="R41" s="3"/>
      <c r="S41" s="1"/>
      <c r="T41" s="9">
        <f>SUM(T32:T39)</f>
        <v>471436.66408516129</v>
      </c>
      <c r="U41" s="9">
        <f>SUM(U32:U39)</f>
        <v>0</v>
      </c>
      <c r="V41" s="56"/>
      <c r="W41" s="1"/>
      <c r="X41" s="36"/>
      <c r="Y41" s="36"/>
    </row>
    <row r="42" spans="2:25" x14ac:dyDescent="0.2">
      <c r="B42" s="16" t="s">
        <v>32</v>
      </c>
      <c r="C42" s="17" t="s">
        <v>33</v>
      </c>
      <c r="D42" s="17" t="s">
        <v>34</v>
      </c>
      <c r="E42" s="18" t="s">
        <v>35</v>
      </c>
      <c r="F42" s="18"/>
      <c r="G42" s="16" t="s">
        <v>36</v>
      </c>
      <c r="H42" s="16" t="s">
        <v>37</v>
      </c>
      <c r="I42" s="17" t="s">
        <v>77</v>
      </c>
      <c r="J42" s="19" t="s">
        <v>38</v>
      </c>
      <c r="K42" s="17" t="s">
        <v>39</v>
      </c>
      <c r="L42" s="17" t="s">
        <v>40</v>
      </c>
      <c r="M42" s="17" t="s">
        <v>41</v>
      </c>
      <c r="N42" s="17" t="s">
        <v>42</v>
      </c>
      <c r="O42" s="44" t="s">
        <v>43</v>
      </c>
      <c r="P42" s="17" t="s">
        <v>44</v>
      </c>
      <c r="Q42" s="20" t="s">
        <v>182</v>
      </c>
      <c r="R42" s="17" t="s">
        <v>45</v>
      </c>
      <c r="S42" s="16" t="s">
        <v>46</v>
      </c>
      <c r="T42" s="21" t="s">
        <v>76</v>
      </c>
      <c r="U42" s="21" t="s">
        <v>75</v>
      </c>
      <c r="V42" s="54" t="s">
        <v>183</v>
      </c>
      <c r="W42" s="59" t="e">
        <f>+#REF!</f>
        <v>#REF!</v>
      </c>
      <c r="X42" s="36"/>
      <c r="Y42" s="36"/>
    </row>
    <row r="43" spans="2:25" s="95" customFormat="1" x14ac:dyDescent="0.2">
      <c r="B43" s="96" t="s">
        <v>184</v>
      </c>
      <c r="C43" s="97" t="s">
        <v>30</v>
      </c>
      <c r="D43" s="97" t="s">
        <v>125</v>
      </c>
      <c r="E43" s="98">
        <v>36678</v>
      </c>
      <c r="F43" s="98">
        <v>36707</v>
      </c>
      <c r="G43" s="96" t="s">
        <v>126</v>
      </c>
      <c r="H43" s="99" t="s">
        <v>127</v>
      </c>
      <c r="I43" s="97" t="s">
        <v>124</v>
      </c>
      <c r="J43" s="100">
        <f>6.79/30</f>
        <v>0.22633333333333333</v>
      </c>
      <c r="K43" s="101">
        <v>7.6300000000000007E-2</v>
      </c>
      <c r="L43" s="101">
        <v>2.2000000000000001E-3</v>
      </c>
      <c r="M43" s="101">
        <v>7.1999999999999998E-3</v>
      </c>
      <c r="N43" s="101">
        <v>0</v>
      </c>
      <c r="O43" s="102">
        <v>2.7900000000000001E-2</v>
      </c>
      <c r="P43" s="101">
        <f>SUM(J43:N43)</f>
        <v>0.31203333333333327</v>
      </c>
      <c r="Q43" s="106">
        <v>33716</v>
      </c>
      <c r="R43" s="97">
        <v>3522</v>
      </c>
      <c r="S43" s="96" t="s">
        <v>56</v>
      </c>
      <c r="T43" s="104">
        <f>J43*J$1*R43</f>
        <v>23914.38</v>
      </c>
      <c r="U43" s="104"/>
      <c r="V43" s="105">
        <v>278181</v>
      </c>
      <c r="W43" s="96" t="s">
        <v>128</v>
      </c>
      <c r="X43" s="109"/>
      <c r="Y43" s="109"/>
    </row>
    <row r="44" spans="2:25" s="95" customFormat="1" x14ac:dyDescent="0.2">
      <c r="B44" s="96" t="s">
        <v>184</v>
      </c>
      <c r="C44" s="97" t="s">
        <v>163</v>
      </c>
      <c r="D44" s="97" t="s">
        <v>125</v>
      </c>
      <c r="E44" s="98">
        <v>36678</v>
      </c>
      <c r="F44" s="98">
        <v>36707</v>
      </c>
      <c r="G44" s="96" t="s">
        <v>164</v>
      </c>
      <c r="H44" s="96" t="s">
        <v>125</v>
      </c>
      <c r="I44" s="97" t="s">
        <v>124</v>
      </c>
      <c r="J44" s="100">
        <f>11.95/30</f>
        <v>0.39833333333333332</v>
      </c>
      <c r="K44" s="101">
        <v>0</v>
      </c>
      <c r="L44" s="101">
        <v>2.2000000000000001E-3</v>
      </c>
      <c r="M44" s="101">
        <v>7.1999999999999998E-3</v>
      </c>
      <c r="N44" s="101">
        <v>0</v>
      </c>
      <c r="O44" s="102">
        <v>2.2200000000000001E-2</v>
      </c>
      <c r="P44" s="101">
        <f>SUM(J44:N44)</f>
        <v>0.40773333333333328</v>
      </c>
      <c r="Q44" s="106">
        <v>33742</v>
      </c>
      <c r="R44" s="97">
        <v>3972</v>
      </c>
      <c r="S44" s="96" t="s">
        <v>56</v>
      </c>
      <c r="T44" s="104">
        <f>J44*J$1*R44</f>
        <v>47465.399999999994</v>
      </c>
      <c r="U44" s="104">
        <v>28962</v>
      </c>
      <c r="V44" s="105">
        <v>280090</v>
      </c>
      <c r="W44" s="96" t="s">
        <v>128</v>
      </c>
      <c r="X44" s="109"/>
      <c r="Y44" s="109"/>
    </row>
    <row r="45" spans="2:25" s="95" customFormat="1" x14ac:dyDescent="0.2">
      <c r="B45" s="96" t="s">
        <v>184</v>
      </c>
      <c r="C45" s="97" t="s">
        <v>30</v>
      </c>
      <c r="D45" s="97" t="s">
        <v>125</v>
      </c>
      <c r="E45" s="98">
        <v>36678</v>
      </c>
      <c r="F45" s="98">
        <v>36707</v>
      </c>
      <c r="G45" s="96" t="s">
        <v>203</v>
      </c>
      <c r="H45" s="96"/>
      <c r="I45" s="97" t="s">
        <v>204</v>
      </c>
      <c r="J45" s="100">
        <v>2.4799999999999999E-2</v>
      </c>
      <c r="K45" s="101"/>
      <c r="L45" s="101"/>
      <c r="M45" s="101"/>
      <c r="N45" s="101"/>
      <c r="O45" s="102"/>
      <c r="P45" s="101"/>
      <c r="Q45" s="106">
        <v>33735</v>
      </c>
      <c r="R45" s="97">
        <v>210511</v>
      </c>
      <c r="S45" s="96"/>
      <c r="T45" s="104">
        <f>J45*R45</f>
        <v>5220.6727999999994</v>
      </c>
      <c r="U45" s="104"/>
      <c r="V45" s="105">
        <v>278237</v>
      </c>
      <c r="W45" s="96"/>
      <c r="X45" s="109"/>
      <c r="Y45" s="109"/>
    </row>
    <row r="46" spans="2:25" s="95" customFormat="1" x14ac:dyDescent="0.2">
      <c r="B46" s="96" t="s">
        <v>184</v>
      </c>
      <c r="C46" s="97" t="s">
        <v>30</v>
      </c>
      <c r="D46" s="97" t="s">
        <v>125</v>
      </c>
      <c r="E46" s="98">
        <v>36678</v>
      </c>
      <c r="F46" s="98">
        <v>36707</v>
      </c>
      <c r="G46" s="96" t="s">
        <v>203</v>
      </c>
      <c r="H46" s="96"/>
      <c r="I46" s="97" t="s">
        <v>204</v>
      </c>
      <c r="J46" s="100">
        <f>2.02/J1</f>
        <v>6.7333333333333328E-2</v>
      </c>
      <c r="K46" s="101"/>
      <c r="L46" s="101"/>
      <c r="M46" s="101"/>
      <c r="N46" s="101"/>
      <c r="O46" s="102"/>
      <c r="P46" s="101"/>
      <c r="Q46" s="106">
        <v>33735</v>
      </c>
      <c r="R46" s="97">
        <v>1407</v>
      </c>
      <c r="S46" s="96"/>
      <c r="T46" s="104">
        <f>J46*J$1*R46</f>
        <v>2842.14</v>
      </c>
      <c r="U46" s="104"/>
      <c r="V46" s="105">
        <v>278237</v>
      </c>
      <c r="W46" s="96"/>
      <c r="X46" s="109"/>
      <c r="Y46" s="109"/>
    </row>
    <row r="47" spans="2:25" s="95" customFormat="1" x14ac:dyDescent="0.2">
      <c r="B47" s="96" t="s">
        <v>184</v>
      </c>
      <c r="C47" s="97" t="s">
        <v>30</v>
      </c>
      <c r="D47" s="97" t="s">
        <v>125</v>
      </c>
      <c r="E47" s="98">
        <v>36678</v>
      </c>
      <c r="F47" s="98">
        <v>36678</v>
      </c>
      <c r="G47" s="96" t="s">
        <v>226</v>
      </c>
      <c r="H47" s="96"/>
      <c r="I47" s="97" t="s">
        <v>227</v>
      </c>
      <c r="J47" s="100">
        <v>1.8700000000000001E-2</v>
      </c>
      <c r="K47" s="101"/>
      <c r="L47" s="101"/>
      <c r="M47" s="101"/>
      <c r="N47" s="101"/>
      <c r="O47" s="102"/>
      <c r="P47" s="101"/>
      <c r="Q47" s="106">
        <v>33764</v>
      </c>
      <c r="R47" s="111">
        <v>75549</v>
      </c>
      <c r="S47" s="96"/>
      <c r="T47" s="104">
        <f>+R47*J47</f>
        <v>1412.7663</v>
      </c>
      <c r="U47" s="104"/>
      <c r="V47" s="105">
        <v>280153</v>
      </c>
      <c r="W47" s="96"/>
      <c r="X47" s="109"/>
      <c r="Y47" s="109"/>
    </row>
    <row r="48" spans="2:25" s="95" customFormat="1" x14ac:dyDescent="0.2">
      <c r="B48" s="96" t="s">
        <v>184</v>
      </c>
      <c r="C48" s="97" t="s">
        <v>30</v>
      </c>
      <c r="D48" s="97" t="s">
        <v>125</v>
      </c>
      <c r="E48" s="98">
        <v>36678</v>
      </c>
      <c r="F48" s="98">
        <v>36678</v>
      </c>
      <c r="G48" s="96" t="s">
        <v>226</v>
      </c>
      <c r="H48" s="96"/>
      <c r="I48" s="97" t="s">
        <v>227</v>
      </c>
      <c r="J48" s="100">
        <v>1.17</v>
      </c>
      <c r="K48" s="101"/>
      <c r="L48" s="101"/>
      <c r="M48" s="101"/>
      <c r="N48" s="101"/>
      <c r="O48" s="102"/>
      <c r="P48" s="101"/>
      <c r="Q48" s="106">
        <v>33764</v>
      </c>
      <c r="R48" s="111">
        <v>560</v>
      </c>
      <c r="S48" s="96"/>
      <c r="T48" s="104">
        <f>+R48*J48</f>
        <v>655.19999999999993</v>
      </c>
      <c r="U48" s="104"/>
      <c r="V48" s="105">
        <v>280153</v>
      </c>
      <c r="W48" s="96"/>
      <c r="X48" s="109"/>
      <c r="Y48" s="109"/>
    </row>
    <row r="49" spans="2:25" x14ac:dyDescent="0.2">
      <c r="B49" s="1"/>
      <c r="C49" s="3"/>
      <c r="D49" s="3"/>
      <c r="E49" s="4"/>
      <c r="F49" s="4"/>
      <c r="G49" s="1"/>
      <c r="H49" s="1"/>
      <c r="I49" s="3"/>
      <c r="J49" s="8"/>
      <c r="K49" s="5"/>
      <c r="L49" s="23"/>
      <c r="M49" s="5"/>
      <c r="N49" s="5"/>
      <c r="O49" s="43"/>
      <c r="P49" s="5"/>
      <c r="Q49" s="24"/>
      <c r="R49" s="2"/>
      <c r="S49" s="3"/>
      <c r="T49" s="9"/>
      <c r="U49" s="9"/>
      <c r="V49" s="56"/>
      <c r="W49" s="1"/>
      <c r="X49" s="36"/>
      <c r="Y49" s="36"/>
    </row>
    <row r="50" spans="2:25" x14ac:dyDescent="0.2">
      <c r="B50" s="1"/>
      <c r="C50" s="3"/>
      <c r="D50" s="3"/>
      <c r="E50" s="4"/>
      <c r="F50" s="4"/>
      <c r="G50" s="1"/>
      <c r="H50" s="1"/>
      <c r="I50" s="3"/>
      <c r="J50" s="8"/>
      <c r="K50" s="5"/>
      <c r="L50" s="23"/>
      <c r="M50" s="5"/>
      <c r="N50" s="5"/>
      <c r="O50" s="46"/>
      <c r="P50" s="5"/>
      <c r="Q50" s="24"/>
      <c r="R50" s="3"/>
      <c r="S50" s="3"/>
      <c r="T50" s="80">
        <f>SUM(T43:T49)</f>
        <v>81510.559099999999</v>
      </c>
      <c r="U50" s="80">
        <f>SUM(U43:U49)</f>
        <v>28962</v>
      </c>
      <c r="W50" s="29"/>
      <c r="X50" s="37"/>
      <c r="Y50" s="37"/>
    </row>
    <row r="51" spans="2:25" x14ac:dyDescent="0.2">
      <c r="B51" s="16" t="s">
        <v>32</v>
      </c>
      <c r="C51" s="17" t="s">
        <v>33</v>
      </c>
      <c r="D51" s="17" t="s">
        <v>34</v>
      </c>
      <c r="E51" s="18" t="s">
        <v>35</v>
      </c>
      <c r="F51" s="18"/>
      <c r="G51" s="16" t="s">
        <v>36</v>
      </c>
      <c r="H51" s="16" t="s">
        <v>37</v>
      </c>
      <c r="I51" s="17" t="s">
        <v>77</v>
      </c>
      <c r="J51" s="19" t="s">
        <v>38</v>
      </c>
      <c r="K51" s="17" t="s">
        <v>39</v>
      </c>
      <c r="L51" s="17" t="s">
        <v>40</v>
      </c>
      <c r="M51" s="17" t="s">
        <v>41</v>
      </c>
      <c r="N51" s="17" t="s">
        <v>42</v>
      </c>
      <c r="O51" s="44" t="s">
        <v>43</v>
      </c>
      <c r="P51" s="17" t="s">
        <v>44</v>
      </c>
      <c r="Q51" s="20" t="s">
        <v>182</v>
      </c>
      <c r="R51" s="17" t="s">
        <v>45</v>
      </c>
      <c r="S51" s="16" t="s">
        <v>46</v>
      </c>
      <c r="T51" s="21" t="s">
        <v>76</v>
      </c>
      <c r="U51" s="21" t="s">
        <v>75</v>
      </c>
      <c r="V51" s="54" t="s">
        <v>183</v>
      </c>
      <c r="W51" s="59" t="e">
        <f>+#REF!</f>
        <v>#REF!</v>
      </c>
      <c r="X51" s="36"/>
      <c r="Y51" s="36"/>
    </row>
    <row r="52" spans="2:25" s="62" customFormat="1" hidden="1" x14ac:dyDescent="0.2">
      <c r="B52" s="1" t="s">
        <v>111</v>
      </c>
      <c r="C52" s="3" t="s">
        <v>53</v>
      </c>
      <c r="D52" s="3" t="s">
        <v>131</v>
      </c>
      <c r="E52" s="4">
        <v>35977</v>
      </c>
      <c r="F52" s="4">
        <v>36585</v>
      </c>
      <c r="G52" s="1" t="s">
        <v>132</v>
      </c>
      <c r="H52" s="1" t="s">
        <v>133</v>
      </c>
      <c r="I52" s="3" t="s">
        <v>50</v>
      </c>
      <c r="J52" s="8"/>
      <c r="K52" s="5">
        <v>0</v>
      </c>
      <c r="L52" s="5">
        <v>2.2000000000000001E-3</v>
      </c>
      <c r="M52" s="5">
        <v>0</v>
      </c>
      <c r="N52" s="5">
        <v>0</v>
      </c>
      <c r="O52" s="43">
        <v>0</v>
      </c>
      <c r="P52" s="5">
        <f t="shared" ref="P52:P57" si="3">SUM(J52:N52)</f>
        <v>2.2000000000000001E-3</v>
      </c>
      <c r="Q52" s="24">
        <v>892591</v>
      </c>
      <c r="R52" s="3">
        <v>74</v>
      </c>
      <c r="S52" s="1"/>
      <c r="T52" s="9">
        <f t="shared" ref="T52:T58" si="4">J52*J$1*R52</f>
        <v>0</v>
      </c>
      <c r="U52" s="9"/>
      <c r="V52" s="56">
        <v>157553</v>
      </c>
      <c r="W52" s="1" t="s">
        <v>337</v>
      </c>
      <c r="X52" s="36"/>
      <c r="Y52" s="36"/>
    </row>
    <row r="53" spans="2:25" s="62" customFormat="1" hidden="1" x14ac:dyDescent="0.2">
      <c r="B53" s="1" t="s">
        <v>111</v>
      </c>
      <c r="C53" s="3" t="s">
        <v>53</v>
      </c>
      <c r="D53" s="3" t="s">
        <v>131</v>
      </c>
      <c r="E53" s="4">
        <v>36130</v>
      </c>
      <c r="F53" s="4">
        <v>41029</v>
      </c>
      <c r="G53" s="1" t="s">
        <v>132</v>
      </c>
      <c r="H53" s="1" t="s">
        <v>133</v>
      </c>
      <c r="I53" s="3" t="s">
        <v>50</v>
      </c>
      <c r="J53" s="8"/>
      <c r="K53" s="5">
        <v>0</v>
      </c>
      <c r="L53" s="5">
        <v>2.2000000000000001E-3</v>
      </c>
      <c r="M53" s="5">
        <v>0</v>
      </c>
      <c r="N53" s="5">
        <v>0</v>
      </c>
      <c r="O53" s="43">
        <v>0</v>
      </c>
      <c r="P53" s="5">
        <f t="shared" si="3"/>
        <v>2.2000000000000001E-3</v>
      </c>
      <c r="Q53" s="24" t="s">
        <v>199</v>
      </c>
      <c r="R53" s="3">
        <v>0</v>
      </c>
      <c r="S53" s="1"/>
      <c r="T53" s="9">
        <f t="shared" si="4"/>
        <v>0</v>
      </c>
      <c r="U53" s="9"/>
      <c r="V53" s="56">
        <v>143310</v>
      </c>
      <c r="W53" s="1" t="s">
        <v>197</v>
      </c>
      <c r="X53" s="36"/>
      <c r="Y53" s="36"/>
    </row>
    <row r="54" spans="2:25" s="62" customFormat="1" hidden="1" x14ac:dyDescent="0.2">
      <c r="B54" s="1" t="s">
        <v>111</v>
      </c>
      <c r="C54" s="3" t="s">
        <v>53</v>
      </c>
      <c r="D54" s="3" t="s">
        <v>131</v>
      </c>
      <c r="E54" s="4">
        <v>36220</v>
      </c>
      <c r="F54" s="4">
        <v>41029</v>
      </c>
      <c r="G54" s="1" t="s">
        <v>132</v>
      </c>
      <c r="H54" s="1" t="s">
        <v>134</v>
      </c>
      <c r="I54" s="3" t="s">
        <v>50</v>
      </c>
      <c r="J54" s="8"/>
      <c r="K54" s="5">
        <v>0</v>
      </c>
      <c r="L54" s="5">
        <v>2.2000000000000001E-3</v>
      </c>
      <c r="M54" s="5">
        <v>0</v>
      </c>
      <c r="N54" s="5">
        <v>0</v>
      </c>
      <c r="O54" s="43">
        <v>0</v>
      </c>
      <c r="P54" s="5">
        <f t="shared" si="3"/>
        <v>2.2000000000000001E-3</v>
      </c>
      <c r="Q54" s="24" t="s">
        <v>199</v>
      </c>
      <c r="R54" s="3">
        <v>0</v>
      </c>
      <c r="S54" s="1"/>
      <c r="T54" s="9">
        <f t="shared" si="4"/>
        <v>0</v>
      </c>
      <c r="U54" s="9"/>
      <c r="V54" s="56">
        <v>143311</v>
      </c>
      <c r="W54" s="1" t="s">
        <v>198</v>
      </c>
      <c r="X54" s="36"/>
      <c r="Y54" s="36"/>
    </row>
    <row r="55" spans="2:25" s="62" customFormat="1" hidden="1" x14ac:dyDescent="0.2">
      <c r="B55" s="1" t="s">
        <v>111</v>
      </c>
      <c r="C55" s="3" t="s">
        <v>53</v>
      </c>
      <c r="D55" s="3" t="s">
        <v>131</v>
      </c>
      <c r="E55" s="4">
        <v>36465</v>
      </c>
      <c r="F55" s="4">
        <v>39021</v>
      </c>
      <c r="G55" s="1" t="s">
        <v>49</v>
      </c>
      <c r="H55" s="1" t="s">
        <v>52</v>
      </c>
      <c r="I55" s="3" t="s">
        <v>50</v>
      </c>
      <c r="J55" s="8"/>
      <c r="K55" s="5">
        <v>0</v>
      </c>
      <c r="L55" s="5">
        <v>2.2000000000000001E-3</v>
      </c>
      <c r="M55" s="5">
        <v>0</v>
      </c>
      <c r="N55" s="5">
        <v>0</v>
      </c>
      <c r="O55" s="43">
        <v>0</v>
      </c>
      <c r="P55" s="5">
        <f t="shared" si="3"/>
        <v>2.2000000000000001E-3</v>
      </c>
      <c r="Q55" s="24">
        <v>892596</v>
      </c>
      <c r="R55" s="3">
        <v>139</v>
      </c>
      <c r="S55" s="1" t="s">
        <v>193</v>
      </c>
      <c r="T55" s="9">
        <f t="shared" si="4"/>
        <v>0</v>
      </c>
      <c r="U55" s="9"/>
      <c r="V55" s="56">
        <v>157537</v>
      </c>
      <c r="W55" s="1" t="s">
        <v>338</v>
      </c>
      <c r="X55" s="36"/>
      <c r="Y55" s="36"/>
    </row>
    <row r="56" spans="2:25" s="62" customFormat="1" hidden="1" x14ac:dyDescent="0.2">
      <c r="B56" s="1" t="s">
        <v>111</v>
      </c>
      <c r="C56" s="3" t="s">
        <v>53</v>
      </c>
      <c r="D56" s="3" t="s">
        <v>131</v>
      </c>
      <c r="E56" s="4">
        <v>36465</v>
      </c>
      <c r="F56" s="4">
        <v>36830</v>
      </c>
      <c r="G56" s="1" t="s">
        <v>57</v>
      </c>
      <c r="H56" s="1" t="s">
        <v>52</v>
      </c>
      <c r="I56" s="3" t="s">
        <v>51</v>
      </c>
      <c r="J56" s="8"/>
      <c r="K56" s="5">
        <v>0</v>
      </c>
      <c r="L56" s="5">
        <v>2.2000000000000001E-3</v>
      </c>
      <c r="M56" s="5">
        <v>0</v>
      </c>
      <c r="N56" s="5">
        <v>0</v>
      </c>
      <c r="O56" s="43">
        <v>0</v>
      </c>
      <c r="P56" s="5">
        <f t="shared" si="3"/>
        <v>2.2000000000000001E-3</v>
      </c>
      <c r="Q56" s="24">
        <v>892594</v>
      </c>
      <c r="R56" s="3">
        <v>11</v>
      </c>
      <c r="S56" s="1" t="s">
        <v>194</v>
      </c>
      <c r="T56" s="9">
        <f t="shared" si="4"/>
        <v>0</v>
      </c>
      <c r="U56" s="9"/>
      <c r="V56" s="56">
        <v>157539</v>
      </c>
      <c r="W56" s="1" t="s">
        <v>339</v>
      </c>
      <c r="X56" s="36"/>
      <c r="Y56" s="36"/>
    </row>
    <row r="57" spans="2:25" s="62" customFormat="1" hidden="1" x14ac:dyDescent="0.2">
      <c r="B57" s="1" t="s">
        <v>111</v>
      </c>
      <c r="C57" s="3" t="s">
        <v>53</v>
      </c>
      <c r="D57" s="3" t="s">
        <v>131</v>
      </c>
      <c r="E57" s="4">
        <v>36465</v>
      </c>
      <c r="F57" s="4">
        <v>37560</v>
      </c>
      <c r="G57" s="1" t="s">
        <v>49</v>
      </c>
      <c r="H57" s="1" t="s">
        <v>57</v>
      </c>
      <c r="I57" s="3" t="s">
        <v>50</v>
      </c>
      <c r="J57" s="8"/>
      <c r="K57" s="5">
        <v>0</v>
      </c>
      <c r="L57" s="5">
        <v>2.2000000000000001E-3</v>
      </c>
      <c r="M57" s="5">
        <v>0</v>
      </c>
      <c r="N57" s="5">
        <v>0</v>
      </c>
      <c r="O57" s="43">
        <v>0</v>
      </c>
      <c r="P57" s="5">
        <f t="shared" si="3"/>
        <v>2.2000000000000001E-3</v>
      </c>
      <c r="Q57" s="24">
        <v>892593</v>
      </c>
      <c r="R57" s="3">
        <v>18</v>
      </c>
      <c r="S57" s="1" t="s">
        <v>195</v>
      </c>
      <c r="T57" s="9">
        <f t="shared" si="4"/>
        <v>0</v>
      </c>
      <c r="U57" s="9"/>
      <c r="V57" s="56">
        <v>157543</v>
      </c>
      <c r="W57" s="1" t="s">
        <v>340</v>
      </c>
      <c r="X57" s="36"/>
      <c r="Y57" s="36"/>
    </row>
    <row r="58" spans="2:25" s="62" customFormat="1" hidden="1" x14ac:dyDescent="0.2">
      <c r="B58" s="1" t="s">
        <v>111</v>
      </c>
      <c r="C58" s="3" t="s">
        <v>53</v>
      </c>
      <c r="D58" s="3" t="s">
        <v>131</v>
      </c>
      <c r="E58" s="4">
        <v>36465</v>
      </c>
      <c r="F58" s="4">
        <v>39021</v>
      </c>
      <c r="G58" s="1" t="s">
        <v>49</v>
      </c>
      <c r="H58" s="1" t="s">
        <v>52</v>
      </c>
      <c r="I58" s="3" t="s">
        <v>50</v>
      </c>
      <c r="J58" s="8"/>
      <c r="K58" s="5">
        <v>0</v>
      </c>
      <c r="L58" s="5">
        <v>2.2000000000000001E-3</v>
      </c>
      <c r="M58" s="5">
        <v>0</v>
      </c>
      <c r="N58" s="5">
        <v>0</v>
      </c>
      <c r="O58" s="43">
        <v>0</v>
      </c>
      <c r="P58" s="5">
        <f>SUM(J58:N58)</f>
        <v>2.2000000000000001E-3</v>
      </c>
      <c r="Q58" s="24">
        <v>892597</v>
      </c>
      <c r="R58" s="3">
        <v>167</v>
      </c>
      <c r="S58" s="1" t="s">
        <v>196</v>
      </c>
      <c r="T58" s="9">
        <f t="shared" si="4"/>
        <v>0</v>
      </c>
      <c r="U58" s="9"/>
      <c r="V58" s="56">
        <v>157570</v>
      </c>
      <c r="W58" s="1" t="s">
        <v>341</v>
      </c>
      <c r="X58" s="36"/>
      <c r="Y58" s="36"/>
    </row>
    <row r="59" spans="2:25" s="95" customFormat="1" x14ac:dyDescent="0.2">
      <c r="B59" s="96" t="s">
        <v>184</v>
      </c>
      <c r="C59" s="97" t="s">
        <v>53</v>
      </c>
      <c r="D59" s="97" t="s">
        <v>131</v>
      </c>
      <c r="E59" s="98">
        <v>36617</v>
      </c>
      <c r="F59" s="98">
        <v>37560</v>
      </c>
      <c r="G59" s="96" t="s">
        <v>334</v>
      </c>
      <c r="H59" s="96" t="s">
        <v>335</v>
      </c>
      <c r="I59" s="97" t="s">
        <v>50</v>
      </c>
      <c r="J59" s="100">
        <v>0</v>
      </c>
      <c r="K59" s="101"/>
      <c r="L59" s="101"/>
      <c r="M59" s="101"/>
      <c r="N59" s="101"/>
      <c r="O59" s="102"/>
      <c r="P59" s="101"/>
      <c r="Q59" s="106">
        <v>893067</v>
      </c>
      <c r="R59" s="97">
        <v>16</v>
      </c>
      <c r="S59" s="96" t="s">
        <v>370</v>
      </c>
      <c r="T59" s="104">
        <f t="shared" ref="T59:T65" si="5">J59*J$1*R59</f>
        <v>0</v>
      </c>
      <c r="U59" s="104">
        <v>0</v>
      </c>
      <c r="V59" s="105">
        <v>233233</v>
      </c>
      <c r="W59" s="96"/>
      <c r="X59" s="109"/>
      <c r="Y59" s="109"/>
    </row>
    <row r="60" spans="2:25" s="95" customFormat="1" x14ac:dyDescent="0.2">
      <c r="B60" s="96" t="s">
        <v>184</v>
      </c>
      <c r="C60" s="97" t="s">
        <v>53</v>
      </c>
      <c r="D60" s="97" t="s">
        <v>131</v>
      </c>
      <c r="E60" s="98">
        <v>36617</v>
      </c>
      <c r="F60" s="98">
        <v>41029</v>
      </c>
      <c r="G60" s="96" t="s">
        <v>52</v>
      </c>
      <c r="H60" s="96" t="s">
        <v>52</v>
      </c>
      <c r="I60" s="97" t="s">
        <v>50</v>
      </c>
      <c r="J60" s="100">
        <v>0</v>
      </c>
      <c r="K60" s="101"/>
      <c r="L60" s="101"/>
      <c r="M60" s="101"/>
      <c r="N60" s="101"/>
      <c r="O60" s="102"/>
      <c r="P60" s="101"/>
      <c r="Q60" s="106">
        <v>893066</v>
      </c>
      <c r="R60" s="97">
        <v>67</v>
      </c>
      <c r="S60" s="96" t="s">
        <v>369</v>
      </c>
      <c r="T60" s="104">
        <f t="shared" si="5"/>
        <v>0</v>
      </c>
      <c r="U60" s="104">
        <v>0</v>
      </c>
      <c r="V60" s="105">
        <v>233232</v>
      </c>
      <c r="W60" s="96"/>
      <c r="X60" s="109"/>
      <c r="Y60" s="109"/>
    </row>
    <row r="61" spans="2:25" s="95" customFormat="1" x14ac:dyDescent="0.2">
      <c r="B61" s="96" t="s">
        <v>184</v>
      </c>
      <c r="C61" s="97" t="s">
        <v>53</v>
      </c>
      <c r="D61" s="97" t="s">
        <v>131</v>
      </c>
      <c r="E61" s="98">
        <v>36617</v>
      </c>
      <c r="F61" s="98">
        <v>39021</v>
      </c>
      <c r="G61" s="96" t="s">
        <v>334</v>
      </c>
      <c r="H61" s="96" t="s">
        <v>52</v>
      </c>
      <c r="I61" s="97" t="s">
        <v>51</v>
      </c>
      <c r="J61" s="100">
        <v>0</v>
      </c>
      <c r="K61" s="101"/>
      <c r="L61" s="101"/>
      <c r="M61" s="101"/>
      <c r="N61" s="101"/>
      <c r="O61" s="102"/>
      <c r="P61" s="101"/>
      <c r="Q61" s="106">
        <v>893064</v>
      </c>
      <c r="R61" s="97">
        <v>104</v>
      </c>
      <c r="S61" s="96" t="s">
        <v>368</v>
      </c>
      <c r="T61" s="104">
        <f t="shared" si="5"/>
        <v>0</v>
      </c>
      <c r="U61" s="104">
        <v>0</v>
      </c>
      <c r="V61" s="105">
        <v>276559</v>
      </c>
      <c r="W61" s="96"/>
      <c r="X61" s="109"/>
      <c r="Y61" s="109"/>
    </row>
    <row r="62" spans="2:25" s="95" customFormat="1" x14ac:dyDescent="0.2">
      <c r="B62" s="96" t="s">
        <v>184</v>
      </c>
      <c r="C62" s="97" t="s">
        <v>53</v>
      </c>
      <c r="D62" s="97" t="s">
        <v>131</v>
      </c>
      <c r="E62" s="98">
        <v>36617</v>
      </c>
      <c r="F62" s="98">
        <v>39021</v>
      </c>
      <c r="G62" s="96" t="s">
        <v>334</v>
      </c>
      <c r="H62" s="96" t="s">
        <v>52</v>
      </c>
      <c r="I62" s="97" t="s">
        <v>50</v>
      </c>
      <c r="J62" s="100">
        <v>0</v>
      </c>
      <c r="K62" s="101"/>
      <c r="L62" s="101"/>
      <c r="M62" s="101"/>
      <c r="N62" s="101"/>
      <c r="O62" s="102"/>
      <c r="P62" s="101"/>
      <c r="Q62" s="106">
        <v>893062</v>
      </c>
      <c r="R62" s="97">
        <v>124</v>
      </c>
      <c r="S62" s="96" t="s">
        <v>367</v>
      </c>
      <c r="T62" s="104">
        <f t="shared" si="5"/>
        <v>0</v>
      </c>
      <c r="U62" s="104">
        <v>0</v>
      </c>
      <c r="V62" s="105">
        <v>233230</v>
      </c>
      <c r="W62" s="96"/>
      <c r="X62" s="109"/>
      <c r="Y62" s="109"/>
    </row>
    <row r="63" spans="2:25" s="95" customFormat="1" x14ac:dyDescent="0.2">
      <c r="B63" s="96" t="s">
        <v>184</v>
      </c>
      <c r="C63" s="97" t="s">
        <v>53</v>
      </c>
      <c r="D63" s="97" t="s">
        <v>131</v>
      </c>
      <c r="E63" s="98">
        <v>36617</v>
      </c>
      <c r="F63" s="98">
        <v>41394</v>
      </c>
      <c r="G63" s="96"/>
      <c r="H63" s="96" t="s">
        <v>364</v>
      </c>
      <c r="I63" s="97" t="s">
        <v>135</v>
      </c>
      <c r="J63" s="100">
        <v>0</v>
      </c>
      <c r="K63" s="101"/>
      <c r="L63" s="101"/>
      <c r="M63" s="101"/>
      <c r="N63" s="101"/>
      <c r="O63" s="102"/>
      <c r="P63" s="101"/>
      <c r="Q63" s="106">
        <v>893061</v>
      </c>
      <c r="R63" s="97">
        <v>151</v>
      </c>
      <c r="S63" s="96" t="s">
        <v>366</v>
      </c>
      <c r="T63" s="104">
        <f t="shared" si="5"/>
        <v>0</v>
      </c>
      <c r="U63" s="104">
        <v>0</v>
      </c>
      <c r="V63" s="105">
        <v>233229</v>
      </c>
      <c r="W63" s="96"/>
      <c r="X63" s="109"/>
      <c r="Y63" s="109"/>
    </row>
    <row r="64" spans="2:25" s="95" customFormat="1" x14ac:dyDescent="0.2">
      <c r="B64" s="96" t="s">
        <v>184</v>
      </c>
      <c r="C64" s="97" t="s">
        <v>53</v>
      </c>
      <c r="D64" s="97" t="s">
        <v>131</v>
      </c>
      <c r="E64" s="98">
        <v>36617</v>
      </c>
      <c r="F64" s="98">
        <v>41394</v>
      </c>
      <c r="G64" s="96"/>
      <c r="H64" s="96" t="s">
        <v>364</v>
      </c>
      <c r="I64" s="97" t="s">
        <v>135</v>
      </c>
      <c r="J64" s="100">
        <v>0</v>
      </c>
      <c r="K64" s="101"/>
      <c r="L64" s="101"/>
      <c r="M64" s="101"/>
      <c r="N64" s="101"/>
      <c r="O64" s="102"/>
      <c r="P64" s="101"/>
      <c r="Q64" s="106">
        <v>893061</v>
      </c>
      <c r="R64" s="97">
        <v>10843</v>
      </c>
      <c r="S64" s="96" t="s">
        <v>366</v>
      </c>
      <c r="T64" s="104">
        <f>+J64*R64</f>
        <v>0</v>
      </c>
      <c r="U64" s="104">
        <v>0</v>
      </c>
      <c r="V64" s="105">
        <v>233229</v>
      </c>
      <c r="W64" s="96"/>
      <c r="X64" s="109"/>
      <c r="Y64" s="109"/>
    </row>
    <row r="65" spans="2:25" s="95" customFormat="1" x14ac:dyDescent="0.2">
      <c r="B65" s="96" t="s">
        <v>184</v>
      </c>
      <c r="C65" s="97" t="s">
        <v>53</v>
      </c>
      <c r="D65" s="97" t="s">
        <v>131</v>
      </c>
      <c r="E65" s="98">
        <v>36617</v>
      </c>
      <c r="F65" s="98">
        <v>36830</v>
      </c>
      <c r="G65" s="96" t="s">
        <v>57</v>
      </c>
      <c r="H65" s="96" t="s">
        <v>52</v>
      </c>
      <c r="I65" s="97" t="s">
        <v>51</v>
      </c>
      <c r="J65" s="100">
        <v>0</v>
      </c>
      <c r="K65" s="101"/>
      <c r="L65" s="101"/>
      <c r="M65" s="101"/>
      <c r="N65" s="101"/>
      <c r="O65" s="102"/>
      <c r="P65" s="101"/>
      <c r="Q65" s="106">
        <v>893068</v>
      </c>
      <c r="R65" s="97">
        <v>10</v>
      </c>
      <c r="S65" s="96" t="s">
        <v>371</v>
      </c>
      <c r="T65" s="104">
        <f t="shared" si="5"/>
        <v>0</v>
      </c>
      <c r="U65" s="104">
        <v>0</v>
      </c>
      <c r="V65" s="105">
        <v>233228</v>
      </c>
      <c r="W65" s="96"/>
      <c r="X65" s="109"/>
      <c r="Y65" s="109"/>
    </row>
    <row r="66" spans="2:25" s="95" customFormat="1" x14ac:dyDescent="0.2">
      <c r="B66" s="96" t="s">
        <v>184</v>
      </c>
      <c r="C66" s="97" t="s">
        <v>53</v>
      </c>
      <c r="D66" s="97" t="s">
        <v>131</v>
      </c>
      <c r="E66" s="98">
        <v>36617</v>
      </c>
      <c r="F66" s="98">
        <v>39021</v>
      </c>
      <c r="G66" s="96" t="s">
        <v>334</v>
      </c>
      <c r="H66" s="96" t="s">
        <v>52</v>
      </c>
      <c r="I66" s="97" t="s">
        <v>50</v>
      </c>
      <c r="J66" s="100">
        <v>0</v>
      </c>
      <c r="K66" s="101"/>
      <c r="L66" s="101"/>
      <c r="M66" s="101"/>
      <c r="N66" s="101"/>
      <c r="O66" s="102"/>
      <c r="P66" s="101"/>
      <c r="Q66" s="106">
        <v>893069</v>
      </c>
      <c r="R66" s="97">
        <v>150</v>
      </c>
      <c r="S66" s="96" t="s">
        <v>365</v>
      </c>
      <c r="T66" s="104">
        <f>J66*J$1*R66</f>
        <v>0</v>
      </c>
      <c r="U66" s="104">
        <v>0</v>
      </c>
      <c r="V66" s="105">
        <v>233219</v>
      </c>
      <c r="W66" s="96"/>
      <c r="X66" s="109"/>
      <c r="Y66" s="109"/>
    </row>
    <row r="67" spans="2:25" s="95" customFormat="1" x14ac:dyDescent="0.2">
      <c r="B67" s="96"/>
      <c r="C67" s="97"/>
      <c r="D67" s="97"/>
      <c r="E67" s="170" t="s">
        <v>476</v>
      </c>
      <c r="F67" s="98"/>
      <c r="G67" s="96"/>
      <c r="H67" s="96"/>
      <c r="I67" s="97"/>
      <c r="J67" s="100"/>
      <c r="K67" s="101"/>
      <c r="L67" s="101"/>
      <c r="M67" s="101"/>
      <c r="N67" s="101"/>
      <c r="O67" s="102"/>
      <c r="P67" s="101"/>
      <c r="Q67" s="106"/>
      <c r="R67" s="97"/>
      <c r="S67" s="96"/>
      <c r="T67" s="104"/>
      <c r="U67" s="104"/>
      <c r="V67" s="105"/>
      <c r="W67" s="96"/>
      <c r="X67" s="109"/>
      <c r="Y67" s="109"/>
    </row>
    <row r="68" spans="2:25" ht="11.25" customHeight="1" x14ac:dyDescent="0.2">
      <c r="B68" s="1"/>
      <c r="C68" s="3"/>
      <c r="D68" s="3"/>
      <c r="E68" s="4"/>
      <c r="F68" s="4"/>
      <c r="G68" s="1"/>
      <c r="H68" s="1"/>
      <c r="I68" s="3"/>
      <c r="J68" s="8"/>
      <c r="K68" s="5"/>
      <c r="L68" s="23"/>
      <c r="M68" s="5"/>
      <c r="N68" s="5"/>
      <c r="O68" s="43"/>
      <c r="P68" s="5"/>
      <c r="Q68" s="24"/>
      <c r="R68" s="2">
        <f>SUM(R52:R67)</f>
        <v>11874</v>
      </c>
      <c r="S68" s="3"/>
      <c r="T68" s="9">
        <f>SUM(T52:T67)</f>
        <v>0</v>
      </c>
      <c r="U68" s="9">
        <f>SUM(U52:U67)</f>
        <v>0</v>
      </c>
      <c r="V68" s="56"/>
      <c r="W68" s="1"/>
      <c r="X68" s="36"/>
      <c r="Y68" s="36"/>
    </row>
    <row r="69" spans="2:25" x14ac:dyDescent="0.2">
      <c r="B69" s="16" t="s">
        <v>32</v>
      </c>
      <c r="C69" s="17" t="s">
        <v>33</v>
      </c>
      <c r="D69" s="17" t="s">
        <v>34</v>
      </c>
      <c r="E69" s="18" t="s">
        <v>35</v>
      </c>
      <c r="F69" s="18"/>
      <c r="G69" s="16" t="s">
        <v>36</v>
      </c>
      <c r="H69" s="16" t="s">
        <v>37</v>
      </c>
      <c r="I69" s="17" t="s">
        <v>77</v>
      </c>
      <c r="J69" s="19" t="s">
        <v>38</v>
      </c>
      <c r="K69" s="17" t="s">
        <v>39</v>
      </c>
      <c r="L69" s="17" t="s">
        <v>40</v>
      </c>
      <c r="M69" s="17" t="s">
        <v>41</v>
      </c>
      <c r="N69" s="17" t="s">
        <v>42</v>
      </c>
      <c r="O69" s="44" t="s">
        <v>43</v>
      </c>
      <c r="P69" s="17" t="s">
        <v>44</v>
      </c>
      <c r="Q69" s="20" t="s">
        <v>182</v>
      </c>
      <c r="R69" s="17" t="s">
        <v>45</v>
      </c>
      <c r="S69" s="16" t="s">
        <v>46</v>
      </c>
      <c r="T69" s="21" t="s">
        <v>76</v>
      </c>
      <c r="U69" s="21" t="s">
        <v>75</v>
      </c>
      <c r="V69" s="54" t="s">
        <v>183</v>
      </c>
      <c r="W69" s="59">
        <f>+W12</f>
        <v>0</v>
      </c>
      <c r="X69" s="36"/>
      <c r="Y69" s="36"/>
    </row>
    <row r="70" spans="2:25" s="95" customFormat="1" x14ac:dyDescent="0.2">
      <c r="B70" s="96" t="s">
        <v>184</v>
      </c>
      <c r="C70" s="97" t="s">
        <v>136</v>
      </c>
      <c r="D70" s="97" t="s">
        <v>131</v>
      </c>
      <c r="E70" s="98">
        <v>36220</v>
      </c>
      <c r="F70" s="98">
        <v>38656</v>
      </c>
      <c r="G70" s="96" t="s">
        <v>139</v>
      </c>
      <c r="H70" s="96" t="s">
        <v>137</v>
      </c>
      <c r="I70" s="97" t="s">
        <v>138</v>
      </c>
      <c r="J70" s="100">
        <v>0.30330000000000001</v>
      </c>
      <c r="K70" s="101">
        <v>0</v>
      </c>
      <c r="L70" s="101">
        <v>2.2000000000000001E-3</v>
      </c>
      <c r="M70" s="101">
        <v>0</v>
      </c>
      <c r="N70" s="101">
        <v>0</v>
      </c>
      <c r="O70" s="102">
        <v>0</v>
      </c>
      <c r="P70" s="101">
        <f>SUM(J70:N70)</f>
        <v>0.30549999999999999</v>
      </c>
      <c r="Q70" s="106" t="s">
        <v>192</v>
      </c>
      <c r="R70" s="97">
        <v>25</v>
      </c>
      <c r="S70" s="96" t="s">
        <v>190</v>
      </c>
      <c r="T70" s="104">
        <f>J70*J$1*R70</f>
        <v>227.47499999999999</v>
      </c>
      <c r="U70" s="104"/>
      <c r="V70" s="105">
        <v>157260</v>
      </c>
      <c r="W70" s="96"/>
      <c r="X70" s="109"/>
      <c r="Y70" s="109"/>
    </row>
    <row r="71" spans="2:25" s="95" customFormat="1" x14ac:dyDescent="0.2">
      <c r="B71" s="96" t="s">
        <v>184</v>
      </c>
      <c r="C71" s="97" t="s">
        <v>136</v>
      </c>
      <c r="D71" s="97" t="s">
        <v>131</v>
      </c>
      <c r="E71" s="98">
        <v>36220</v>
      </c>
      <c r="F71" s="98">
        <v>38656</v>
      </c>
      <c r="G71" s="96" t="s">
        <v>140</v>
      </c>
      <c r="H71" s="96" t="s">
        <v>137</v>
      </c>
      <c r="I71" s="97" t="s">
        <v>138</v>
      </c>
      <c r="J71" s="100">
        <v>0.30330000000000001</v>
      </c>
      <c r="K71" s="101">
        <v>0</v>
      </c>
      <c r="L71" s="101">
        <v>2.2000000000000001E-3</v>
      </c>
      <c r="M71" s="101">
        <v>0</v>
      </c>
      <c r="N71" s="101">
        <v>0</v>
      </c>
      <c r="O71" s="102">
        <v>0</v>
      </c>
      <c r="P71" s="101">
        <f>SUM(J71:N71)</f>
        <v>0.30549999999999999</v>
      </c>
      <c r="Q71" s="106" t="s">
        <v>192</v>
      </c>
      <c r="R71" s="97">
        <v>21</v>
      </c>
      <c r="S71" s="96" t="s">
        <v>190</v>
      </c>
      <c r="T71" s="104">
        <f>J71*J$1*R71</f>
        <v>191.07900000000001</v>
      </c>
      <c r="U71" s="104"/>
      <c r="V71" s="105">
        <v>157260</v>
      </c>
      <c r="W71" s="96"/>
      <c r="X71" s="109"/>
      <c r="Y71" s="109"/>
    </row>
    <row r="72" spans="2:25" x14ac:dyDescent="0.2">
      <c r="B72" s="1"/>
      <c r="C72" s="3"/>
      <c r="D72" s="3"/>
      <c r="E72" s="4" t="s">
        <v>31</v>
      </c>
      <c r="F72" s="4"/>
      <c r="G72" s="1"/>
      <c r="H72" s="1"/>
      <c r="I72" s="3"/>
      <c r="J72" s="8"/>
      <c r="K72" s="5"/>
      <c r="L72" s="23"/>
      <c r="M72" s="5"/>
      <c r="N72" s="5"/>
      <c r="O72" s="43"/>
      <c r="P72" s="5"/>
      <c r="Q72" s="49"/>
      <c r="R72" s="50">
        <f>SUM(R70:R71)</f>
        <v>46</v>
      </c>
      <c r="S72" s="40"/>
      <c r="T72" s="39">
        <f>SUM(T70:T71)</f>
        <v>418.55399999999997</v>
      </c>
      <c r="U72" s="39">
        <f>SUM(U70:U71)</f>
        <v>0</v>
      </c>
      <c r="V72" s="57"/>
      <c r="W72" s="60"/>
      <c r="X72" s="35"/>
      <c r="Y72" s="35"/>
    </row>
    <row r="73" spans="2:25" x14ac:dyDescent="0.2">
      <c r="B73" s="16" t="s">
        <v>32</v>
      </c>
      <c r="C73" s="17" t="s">
        <v>33</v>
      </c>
      <c r="D73" s="17" t="s">
        <v>34</v>
      </c>
      <c r="E73" s="18" t="s">
        <v>35</v>
      </c>
      <c r="F73" s="18"/>
      <c r="G73" s="16" t="s">
        <v>36</v>
      </c>
      <c r="H73" s="16" t="s">
        <v>37</v>
      </c>
      <c r="I73" s="17" t="s">
        <v>77</v>
      </c>
      <c r="J73" s="19" t="s">
        <v>38</v>
      </c>
      <c r="K73" s="17" t="s">
        <v>39</v>
      </c>
      <c r="L73" s="17" t="s">
        <v>40</v>
      </c>
      <c r="M73" s="17" t="s">
        <v>41</v>
      </c>
      <c r="N73" s="17" t="s">
        <v>42</v>
      </c>
      <c r="O73" s="44" t="s">
        <v>43</v>
      </c>
      <c r="P73" s="17" t="s">
        <v>44</v>
      </c>
      <c r="Q73" s="20" t="s">
        <v>182</v>
      </c>
      <c r="R73" s="17" t="s">
        <v>45</v>
      </c>
      <c r="S73" s="16" t="s">
        <v>46</v>
      </c>
      <c r="T73" s="21" t="s">
        <v>76</v>
      </c>
      <c r="U73" s="21" t="s">
        <v>75</v>
      </c>
      <c r="V73" s="54" t="s">
        <v>183</v>
      </c>
      <c r="W73" s="59" t="e">
        <f>+#REF!</f>
        <v>#REF!</v>
      </c>
      <c r="X73" s="36"/>
      <c r="Y73" s="36"/>
    </row>
    <row r="74" spans="2:25" s="171" customFormat="1" x14ac:dyDescent="0.2">
      <c r="B74" s="172" t="s">
        <v>111</v>
      </c>
      <c r="C74" s="173" t="s">
        <v>29</v>
      </c>
      <c r="D74" s="173" t="s">
        <v>478</v>
      </c>
      <c r="E74" s="174">
        <v>36678</v>
      </c>
      <c r="F74" s="174">
        <v>36707</v>
      </c>
      <c r="G74" s="172"/>
      <c r="H74" s="175"/>
      <c r="I74" s="173" t="s">
        <v>479</v>
      </c>
      <c r="J74" s="176">
        <f>11.6203/30</f>
        <v>0.38734333333333332</v>
      </c>
      <c r="K74" s="177"/>
      <c r="L74" s="177"/>
      <c r="M74" s="177"/>
      <c r="N74" s="177"/>
      <c r="O74" s="178"/>
      <c r="P74" s="177"/>
      <c r="Q74" s="179" t="s">
        <v>480</v>
      </c>
      <c r="R74" s="173">
        <f>14+21+16+33</f>
        <v>84</v>
      </c>
      <c r="S74" s="172" t="s">
        <v>481</v>
      </c>
      <c r="T74" s="180">
        <f t="shared" ref="T74:T81" si="6">J74*J$1*R74</f>
        <v>976.10519999999997</v>
      </c>
      <c r="U74" s="181"/>
      <c r="V74" s="182">
        <v>326530</v>
      </c>
      <c r="W74" s="172"/>
      <c r="X74" s="183"/>
      <c r="Y74" s="183"/>
    </row>
    <row r="75" spans="2:25" s="95" customFormat="1" x14ac:dyDescent="0.2">
      <c r="B75" s="96" t="s">
        <v>184</v>
      </c>
      <c r="C75" s="97" t="s">
        <v>29</v>
      </c>
      <c r="D75" s="97" t="s">
        <v>125</v>
      </c>
      <c r="E75" s="98">
        <v>36678</v>
      </c>
      <c r="F75" s="98">
        <v>36707</v>
      </c>
      <c r="G75" s="96" t="s">
        <v>60</v>
      </c>
      <c r="H75" s="99" t="s">
        <v>144</v>
      </c>
      <c r="I75" s="97" t="s">
        <v>141</v>
      </c>
      <c r="J75" s="100">
        <f>7.5654/J$1</f>
        <v>0.25218000000000002</v>
      </c>
      <c r="K75" s="101">
        <v>0</v>
      </c>
      <c r="L75" s="101">
        <v>2.2000000000000001E-3</v>
      </c>
      <c r="M75" s="101">
        <v>0</v>
      </c>
      <c r="N75" s="101">
        <v>0</v>
      </c>
      <c r="O75" s="102">
        <v>0</v>
      </c>
      <c r="P75" s="101">
        <f t="shared" ref="P75:P81" si="7">SUM(J75:N75)</f>
        <v>0.25438</v>
      </c>
      <c r="Q75" s="106" t="s">
        <v>405</v>
      </c>
      <c r="R75" s="97">
        <v>1104</v>
      </c>
      <c r="S75" s="96" t="s">
        <v>406</v>
      </c>
      <c r="T75" s="108">
        <f t="shared" si="6"/>
        <v>8352.2016000000003</v>
      </c>
      <c r="U75" s="104">
        <v>8352</v>
      </c>
      <c r="V75" s="105">
        <v>276513</v>
      </c>
      <c r="W75" s="96"/>
      <c r="X75" s="109"/>
      <c r="Y75" s="109"/>
    </row>
    <row r="76" spans="2:25" s="95" customFormat="1" x14ac:dyDescent="0.2">
      <c r="B76" s="96" t="s">
        <v>184</v>
      </c>
      <c r="C76" s="97" t="s">
        <v>29</v>
      </c>
      <c r="D76" s="97" t="s">
        <v>125</v>
      </c>
      <c r="E76" s="98">
        <v>36678</v>
      </c>
      <c r="F76" s="98">
        <v>36707</v>
      </c>
      <c r="G76" s="96" t="s">
        <v>142</v>
      </c>
      <c r="H76" s="99" t="s">
        <v>144</v>
      </c>
      <c r="I76" s="97" t="s">
        <v>141</v>
      </c>
      <c r="J76" s="100">
        <f>+J75</f>
        <v>0.25218000000000002</v>
      </c>
      <c r="K76" s="101">
        <v>0</v>
      </c>
      <c r="L76" s="101">
        <v>2.2000000000000001E-3</v>
      </c>
      <c r="M76" s="101">
        <v>0</v>
      </c>
      <c r="N76" s="101">
        <v>0</v>
      </c>
      <c r="O76" s="102">
        <v>0</v>
      </c>
      <c r="P76" s="101">
        <f t="shared" si="7"/>
        <v>0.25438</v>
      </c>
      <c r="Q76" s="106" t="s">
        <v>405</v>
      </c>
      <c r="R76" s="97">
        <v>1625</v>
      </c>
      <c r="S76" s="96" t="str">
        <f>+S75</f>
        <v>#19827</v>
      </c>
      <c r="T76" s="108">
        <f t="shared" si="6"/>
        <v>12293.775000000001</v>
      </c>
      <c r="U76" s="104">
        <v>12294</v>
      </c>
      <c r="V76" s="105">
        <v>276513</v>
      </c>
      <c r="W76" s="96"/>
      <c r="X76" s="109"/>
      <c r="Y76" s="109"/>
    </row>
    <row r="77" spans="2:25" s="95" customFormat="1" x14ac:dyDescent="0.2">
      <c r="B77" s="96" t="s">
        <v>184</v>
      </c>
      <c r="C77" s="97" t="s">
        <v>29</v>
      </c>
      <c r="D77" s="97" t="s">
        <v>125</v>
      </c>
      <c r="E77" s="98">
        <v>36678</v>
      </c>
      <c r="F77" s="98">
        <v>36707</v>
      </c>
      <c r="G77" s="96" t="s">
        <v>143</v>
      </c>
      <c r="H77" s="99" t="s">
        <v>144</v>
      </c>
      <c r="I77" s="97" t="s">
        <v>141</v>
      </c>
      <c r="J77" s="100">
        <f>+J76</f>
        <v>0.25218000000000002</v>
      </c>
      <c r="K77" s="101">
        <v>0</v>
      </c>
      <c r="L77" s="101">
        <v>2.2000000000000001E-3</v>
      </c>
      <c r="M77" s="101">
        <v>0</v>
      </c>
      <c r="N77" s="101">
        <v>0</v>
      </c>
      <c r="O77" s="102">
        <v>0</v>
      </c>
      <c r="P77" s="101">
        <f t="shared" si="7"/>
        <v>0.25438</v>
      </c>
      <c r="Q77" s="106" t="s">
        <v>405</v>
      </c>
      <c r="R77" s="97">
        <f>1234+2534</f>
        <v>3768</v>
      </c>
      <c r="S77" s="96" t="str">
        <f>+S76</f>
        <v>#19827</v>
      </c>
      <c r="T77" s="108">
        <f t="shared" si="6"/>
        <v>28506.427200000002</v>
      </c>
      <c r="U77" s="104">
        <v>28507</v>
      </c>
      <c r="V77" s="105">
        <v>276513</v>
      </c>
      <c r="W77" s="96"/>
      <c r="X77" s="109"/>
      <c r="Y77" s="109"/>
    </row>
    <row r="78" spans="2:25" s="95" customFormat="1" x14ac:dyDescent="0.2">
      <c r="B78" s="96" t="s">
        <v>184</v>
      </c>
      <c r="C78" s="97" t="s">
        <v>29</v>
      </c>
      <c r="D78" s="97" t="s">
        <v>125</v>
      </c>
      <c r="E78" s="98">
        <v>36678</v>
      </c>
      <c r="F78" s="98">
        <v>36707</v>
      </c>
      <c r="G78" s="96" t="s">
        <v>60</v>
      </c>
      <c r="H78" s="99" t="s">
        <v>144</v>
      </c>
      <c r="I78" s="97" t="s">
        <v>141</v>
      </c>
      <c r="J78" s="100">
        <f>7.5654/J$1</f>
        <v>0.25218000000000002</v>
      </c>
      <c r="K78" s="101">
        <v>0</v>
      </c>
      <c r="L78" s="101">
        <v>2.2000000000000001E-3</v>
      </c>
      <c r="M78" s="101">
        <v>0</v>
      </c>
      <c r="N78" s="101">
        <v>0</v>
      </c>
      <c r="O78" s="102">
        <v>0</v>
      </c>
      <c r="P78" s="101">
        <f t="shared" si="7"/>
        <v>0.25438</v>
      </c>
      <c r="Q78" s="106" t="s">
        <v>403</v>
      </c>
      <c r="R78" s="107">
        <v>66</v>
      </c>
      <c r="S78" s="96" t="s">
        <v>404</v>
      </c>
      <c r="T78" s="108">
        <f t="shared" si="6"/>
        <v>499.31640000000004</v>
      </c>
      <c r="U78" s="104">
        <v>499</v>
      </c>
      <c r="V78" s="105">
        <v>276525</v>
      </c>
      <c r="W78" s="96"/>
      <c r="X78" s="109"/>
      <c r="Y78" s="109"/>
    </row>
    <row r="79" spans="2:25" s="95" customFormat="1" x14ac:dyDescent="0.2">
      <c r="B79" s="96" t="s">
        <v>184</v>
      </c>
      <c r="C79" s="97" t="s">
        <v>29</v>
      </c>
      <c r="D79" s="97" t="s">
        <v>125</v>
      </c>
      <c r="E79" s="98">
        <v>36678</v>
      </c>
      <c r="F79" s="98">
        <v>36707</v>
      </c>
      <c r="G79" s="96" t="s">
        <v>142</v>
      </c>
      <c r="H79" s="99" t="s">
        <v>144</v>
      </c>
      <c r="I79" s="97" t="s">
        <v>141</v>
      </c>
      <c r="J79" s="100">
        <f>7.5654/J$1</f>
        <v>0.25218000000000002</v>
      </c>
      <c r="K79" s="101">
        <v>0</v>
      </c>
      <c r="L79" s="101">
        <v>2.2000000000000001E-3</v>
      </c>
      <c r="M79" s="101">
        <v>0</v>
      </c>
      <c r="N79" s="101">
        <v>0</v>
      </c>
      <c r="O79" s="102">
        <v>0</v>
      </c>
      <c r="P79" s="101">
        <f t="shared" si="7"/>
        <v>0.25438</v>
      </c>
      <c r="Q79" s="106" t="s">
        <v>403</v>
      </c>
      <c r="R79" s="97">
        <v>99</v>
      </c>
      <c r="S79" s="96" t="s">
        <v>404</v>
      </c>
      <c r="T79" s="108">
        <f t="shared" si="6"/>
        <v>748.97460000000001</v>
      </c>
      <c r="U79" s="104">
        <v>749</v>
      </c>
      <c r="V79" s="105">
        <v>276525</v>
      </c>
      <c r="W79" s="96"/>
      <c r="X79" s="109"/>
      <c r="Y79" s="109"/>
    </row>
    <row r="80" spans="2:25" s="95" customFormat="1" x14ac:dyDescent="0.2">
      <c r="B80" s="96" t="s">
        <v>184</v>
      </c>
      <c r="C80" s="97" t="s">
        <v>29</v>
      </c>
      <c r="D80" s="97" t="s">
        <v>125</v>
      </c>
      <c r="E80" s="98">
        <v>36678</v>
      </c>
      <c r="F80" s="98">
        <v>36707</v>
      </c>
      <c r="G80" s="96" t="s">
        <v>143</v>
      </c>
      <c r="H80" s="99" t="s">
        <v>144</v>
      </c>
      <c r="I80" s="97" t="s">
        <v>141</v>
      </c>
      <c r="J80" s="100">
        <f>7.5654/J$1</f>
        <v>0.25218000000000002</v>
      </c>
      <c r="K80" s="101">
        <v>0</v>
      </c>
      <c r="L80" s="101">
        <v>2.2000000000000001E-3</v>
      </c>
      <c r="M80" s="101">
        <v>0</v>
      </c>
      <c r="N80" s="101">
        <v>0</v>
      </c>
      <c r="O80" s="102">
        <v>0</v>
      </c>
      <c r="P80" s="101">
        <f t="shared" si="7"/>
        <v>0.25438</v>
      </c>
      <c r="Q80" s="106" t="s">
        <v>403</v>
      </c>
      <c r="R80" s="97">
        <f>74+152</f>
        <v>226</v>
      </c>
      <c r="S80" s="96" t="s">
        <v>404</v>
      </c>
      <c r="T80" s="108">
        <f t="shared" si="6"/>
        <v>1709.7804000000001</v>
      </c>
      <c r="U80" s="104">
        <v>1710</v>
      </c>
      <c r="V80" s="105">
        <v>276525</v>
      </c>
      <c r="W80" s="96"/>
      <c r="X80" s="109"/>
      <c r="Y80" s="109"/>
    </row>
    <row r="81" spans="2:25" s="95" customFormat="1" x14ac:dyDescent="0.2">
      <c r="B81" s="96" t="s">
        <v>184</v>
      </c>
      <c r="C81" s="97" t="s">
        <v>29</v>
      </c>
      <c r="D81" s="97" t="s">
        <v>125</v>
      </c>
      <c r="E81" s="98">
        <v>36678</v>
      </c>
      <c r="F81" s="98">
        <v>36707</v>
      </c>
      <c r="G81" s="96" t="s">
        <v>145</v>
      </c>
      <c r="H81" s="99" t="s">
        <v>144</v>
      </c>
      <c r="I81" s="97" t="s">
        <v>146</v>
      </c>
      <c r="J81" s="100">
        <f>14.18/30</f>
        <v>0.47266666666666668</v>
      </c>
      <c r="K81" s="101">
        <v>0</v>
      </c>
      <c r="L81" s="101">
        <v>2.2000000000000001E-3</v>
      </c>
      <c r="M81" s="101">
        <v>0</v>
      </c>
      <c r="N81" s="101">
        <v>0</v>
      </c>
      <c r="O81" s="102">
        <v>0</v>
      </c>
      <c r="P81" s="101">
        <f t="shared" si="7"/>
        <v>0.47486666666666666</v>
      </c>
      <c r="Q81" s="112" t="s">
        <v>408</v>
      </c>
      <c r="R81" s="97">
        <v>5157</v>
      </c>
      <c r="S81" s="96" t="s">
        <v>409</v>
      </c>
      <c r="T81" s="108">
        <f t="shared" si="6"/>
        <v>73126.259999999995</v>
      </c>
      <c r="U81" s="104">
        <v>73165</v>
      </c>
      <c r="V81" s="105">
        <v>276509</v>
      </c>
      <c r="W81" s="96"/>
      <c r="X81" s="109"/>
      <c r="Y81" s="109"/>
    </row>
    <row r="82" spans="2:25" s="95" customFormat="1" x14ac:dyDescent="0.2">
      <c r="B82" s="96" t="s">
        <v>184</v>
      </c>
      <c r="C82" s="97" t="s">
        <v>29</v>
      </c>
      <c r="D82" s="97" t="s">
        <v>125</v>
      </c>
      <c r="E82" s="98">
        <v>36678</v>
      </c>
      <c r="F82" s="98">
        <v>36707</v>
      </c>
      <c r="G82" s="96" t="s">
        <v>157</v>
      </c>
      <c r="H82" s="99"/>
      <c r="I82" s="97" t="s">
        <v>156</v>
      </c>
      <c r="J82" s="100">
        <v>7.9000000000000008E-3</v>
      </c>
      <c r="K82" s="101">
        <v>0</v>
      </c>
      <c r="L82" s="101">
        <v>2.2000000000000001E-3</v>
      </c>
      <c r="M82" s="101">
        <v>0</v>
      </c>
      <c r="N82" s="101">
        <v>0</v>
      </c>
      <c r="O82" s="102">
        <v>0</v>
      </c>
      <c r="P82" s="101">
        <f t="shared" ref="P82:P89" si="8">SUM(J82:N82)</f>
        <v>1.0100000000000001E-2</v>
      </c>
      <c r="R82" s="97">
        <v>376727</v>
      </c>
      <c r="S82" s="96" t="s">
        <v>398</v>
      </c>
      <c r="T82" s="103">
        <f>+R82*J82</f>
        <v>2976.1433000000002</v>
      </c>
      <c r="U82" s="104">
        <v>2976.14</v>
      </c>
      <c r="V82" s="105">
        <v>277979</v>
      </c>
      <c r="W82" s="96"/>
      <c r="X82" s="109"/>
      <c r="Y82" s="109"/>
    </row>
    <row r="83" spans="2:25" s="95" customFormat="1" x14ac:dyDescent="0.2">
      <c r="B83" s="96" t="s">
        <v>184</v>
      </c>
      <c r="C83" s="97" t="s">
        <v>29</v>
      </c>
      <c r="D83" s="97" t="s">
        <v>125</v>
      </c>
      <c r="E83" s="98">
        <v>36678</v>
      </c>
      <c r="F83" s="98">
        <v>36707</v>
      </c>
      <c r="G83" s="96" t="s">
        <v>155</v>
      </c>
      <c r="H83" s="99"/>
      <c r="I83" s="97" t="s">
        <v>156</v>
      </c>
      <c r="J83" s="100">
        <v>0.6673</v>
      </c>
      <c r="K83" s="101">
        <v>0</v>
      </c>
      <c r="L83" s="101">
        <v>2.2000000000000001E-3</v>
      </c>
      <c r="M83" s="101">
        <v>0</v>
      </c>
      <c r="N83" s="101">
        <v>0</v>
      </c>
      <c r="O83" s="102">
        <v>0</v>
      </c>
      <c r="P83" s="101">
        <f t="shared" si="8"/>
        <v>0.66949999999999998</v>
      </c>
      <c r="R83" s="97">
        <v>4432</v>
      </c>
      <c r="S83" s="96"/>
      <c r="T83" s="103">
        <f>+R83*J83</f>
        <v>2957.4735999999998</v>
      </c>
      <c r="U83" s="104">
        <v>2957.47</v>
      </c>
      <c r="V83" s="105">
        <v>277971</v>
      </c>
      <c r="W83" s="96"/>
      <c r="X83" s="109"/>
      <c r="Y83" s="109"/>
    </row>
    <row r="84" spans="2:25" s="95" customFormat="1" x14ac:dyDescent="0.2">
      <c r="B84" s="96" t="s">
        <v>184</v>
      </c>
      <c r="C84" s="97" t="s">
        <v>29</v>
      </c>
      <c r="D84" s="97" t="s">
        <v>125</v>
      </c>
      <c r="E84" s="98">
        <v>36678</v>
      </c>
      <c r="F84" s="98">
        <v>36707</v>
      </c>
      <c r="G84" s="96" t="s">
        <v>158</v>
      </c>
      <c r="H84" s="99"/>
      <c r="I84" s="97" t="s">
        <v>160</v>
      </c>
      <c r="J84" s="100">
        <v>4.8099999999999997E-2</v>
      </c>
      <c r="K84" s="101">
        <v>0</v>
      </c>
      <c r="L84" s="101">
        <v>2.2000000000000001E-3</v>
      </c>
      <c r="M84" s="101">
        <v>0</v>
      </c>
      <c r="N84" s="101">
        <v>0</v>
      </c>
      <c r="O84" s="102">
        <v>0</v>
      </c>
      <c r="P84" s="101">
        <f t="shared" si="8"/>
        <v>5.0299999999999997E-2</v>
      </c>
      <c r="R84" s="97">
        <v>19139</v>
      </c>
      <c r="S84" s="96"/>
      <c r="T84" s="103">
        <f>+J84*R84</f>
        <v>920.58589999999992</v>
      </c>
      <c r="U84" s="104">
        <v>920.59</v>
      </c>
      <c r="V84" s="105">
        <v>277971</v>
      </c>
      <c r="W84" s="96"/>
      <c r="X84" s="109"/>
      <c r="Y84" s="109"/>
    </row>
    <row r="85" spans="2:25" s="95" customFormat="1" x14ac:dyDescent="0.2">
      <c r="B85" s="96" t="s">
        <v>184</v>
      </c>
      <c r="C85" s="97" t="s">
        <v>29</v>
      </c>
      <c r="D85" s="97" t="s">
        <v>125</v>
      </c>
      <c r="E85" s="98">
        <v>36678</v>
      </c>
      <c r="F85" s="98">
        <v>36707</v>
      </c>
      <c r="G85" s="96" t="s">
        <v>159</v>
      </c>
      <c r="H85" s="99"/>
      <c r="I85" s="97" t="s">
        <v>160</v>
      </c>
      <c r="J85" s="100">
        <v>0.48399999999999999</v>
      </c>
      <c r="K85" s="101">
        <v>0</v>
      </c>
      <c r="L85" s="101">
        <v>2.2000000000000001E-3</v>
      </c>
      <c r="M85" s="101">
        <v>0</v>
      </c>
      <c r="N85" s="101">
        <v>0</v>
      </c>
      <c r="O85" s="102">
        <v>0</v>
      </c>
      <c r="P85" s="101">
        <f t="shared" si="8"/>
        <v>0.48619999999999997</v>
      </c>
      <c r="R85" s="97">
        <v>1902</v>
      </c>
      <c r="S85" s="96" t="s">
        <v>357</v>
      </c>
      <c r="T85" s="103">
        <f>+J85*R85</f>
        <v>920.56799999999998</v>
      </c>
      <c r="U85" s="104">
        <v>920.57</v>
      </c>
      <c r="V85" s="105">
        <v>260640</v>
      </c>
      <c r="W85" s="96"/>
      <c r="X85" s="109"/>
      <c r="Y85" s="109"/>
    </row>
    <row r="86" spans="2:25" s="95" customFormat="1" x14ac:dyDescent="0.2">
      <c r="B86" s="96" t="s">
        <v>111</v>
      </c>
      <c r="C86" s="97" t="s">
        <v>29</v>
      </c>
      <c r="D86" s="97" t="s">
        <v>131</v>
      </c>
      <c r="E86" s="98">
        <v>35977</v>
      </c>
      <c r="F86" s="98">
        <v>39599</v>
      </c>
      <c r="G86" s="96" t="s">
        <v>148</v>
      </c>
      <c r="H86" s="96" t="s">
        <v>149</v>
      </c>
      <c r="I86" s="97" t="s">
        <v>151</v>
      </c>
      <c r="J86" s="100">
        <f>4.7713/J$1</f>
        <v>0.15904333333333334</v>
      </c>
      <c r="K86" s="101">
        <v>0</v>
      </c>
      <c r="L86" s="101">
        <v>2.2000000000000001E-3</v>
      </c>
      <c r="M86" s="101">
        <v>0</v>
      </c>
      <c r="N86" s="101">
        <v>0</v>
      </c>
      <c r="O86" s="102">
        <v>0</v>
      </c>
      <c r="P86" s="101">
        <f>SUM(J86:N86)</f>
        <v>0.16124333333333335</v>
      </c>
      <c r="Q86" s="126" t="s">
        <v>150</v>
      </c>
      <c r="R86" s="97">
        <v>15</v>
      </c>
      <c r="S86" s="96" t="s">
        <v>152</v>
      </c>
      <c r="T86" s="108">
        <f>J86*J$1*R86</f>
        <v>71.569500000000005</v>
      </c>
      <c r="U86" s="104">
        <v>72</v>
      </c>
      <c r="V86" s="124" t="s">
        <v>161</v>
      </c>
      <c r="W86" s="96"/>
      <c r="X86" s="109"/>
      <c r="Y86" s="109"/>
    </row>
    <row r="87" spans="2:25" s="95" customFormat="1" x14ac:dyDescent="0.2">
      <c r="B87" s="96" t="s">
        <v>111</v>
      </c>
      <c r="C87" s="97" t="s">
        <v>29</v>
      </c>
      <c r="D87" s="97" t="s">
        <v>131</v>
      </c>
      <c r="E87" s="98">
        <v>36678</v>
      </c>
      <c r="F87" s="98">
        <v>39599</v>
      </c>
      <c r="G87" s="96" t="s">
        <v>148</v>
      </c>
      <c r="H87" s="96" t="s">
        <v>149</v>
      </c>
      <c r="I87" s="97" t="s">
        <v>151</v>
      </c>
      <c r="J87" s="100">
        <f>4.7713/J$1</f>
        <v>0.15904333333333334</v>
      </c>
      <c r="K87" s="101">
        <v>0</v>
      </c>
      <c r="L87" s="101">
        <v>2.2000000000000001E-3</v>
      </c>
      <c r="M87" s="101">
        <v>0</v>
      </c>
      <c r="N87" s="101">
        <v>0</v>
      </c>
      <c r="O87" s="102">
        <v>0</v>
      </c>
      <c r="P87" s="101">
        <f t="shared" si="8"/>
        <v>0.16124333333333335</v>
      </c>
      <c r="Q87" s="126" t="s">
        <v>415</v>
      </c>
      <c r="R87" s="97">
        <v>-15</v>
      </c>
      <c r="S87" s="96" t="s">
        <v>416</v>
      </c>
      <c r="T87" s="108">
        <f>J87*J$1*R87</f>
        <v>-71.569500000000005</v>
      </c>
      <c r="U87" s="104">
        <v>-72</v>
      </c>
      <c r="V87" s="124">
        <v>282820</v>
      </c>
      <c r="W87" s="96"/>
      <c r="X87" s="109"/>
      <c r="Y87" s="109"/>
    </row>
    <row r="88" spans="2:25" s="95" customFormat="1" x14ac:dyDescent="0.2">
      <c r="B88" s="96" t="s">
        <v>111</v>
      </c>
      <c r="C88" s="97" t="s">
        <v>29</v>
      </c>
      <c r="D88" s="97" t="s">
        <v>131</v>
      </c>
      <c r="E88" s="98">
        <v>36220</v>
      </c>
      <c r="F88" s="98">
        <v>39599</v>
      </c>
      <c r="G88" s="96" t="s">
        <v>148</v>
      </c>
      <c r="H88" s="96" t="s">
        <v>149</v>
      </c>
      <c r="I88" s="97" t="s">
        <v>151</v>
      </c>
      <c r="J88" s="100">
        <f>4.7713/J$1</f>
        <v>0.15904333333333334</v>
      </c>
      <c r="K88" s="101">
        <v>0</v>
      </c>
      <c r="L88" s="101">
        <v>2.2000000000000001E-3</v>
      </c>
      <c r="M88" s="101">
        <v>0</v>
      </c>
      <c r="N88" s="101">
        <v>0</v>
      </c>
      <c r="O88" s="102">
        <v>0</v>
      </c>
      <c r="P88" s="101">
        <f>SUM(J88:N88)</f>
        <v>0.16124333333333335</v>
      </c>
      <c r="Q88" s="126" t="s">
        <v>154</v>
      </c>
      <c r="R88" s="97">
        <v>5</v>
      </c>
      <c r="S88" s="96" t="s">
        <v>153</v>
      </c>
      <c r="T88" s="108">
        <f>J88*J$1*R88</f>
        <v>23.8565</v>
      </c>
      <c r="U88" s="104">
        <v>24</v>
      </c>
      <c r="V88" s="124" t="s">
        <v>162</v>
      </c>
      <c r="W88" s="96"/>
      <c r="X88" s="109"/>
      <c r="Y88" s="109"/>
    </row>
    <row r="89" spans="2:25" s="95" customFormat="1" x14ac:dyDescent="0.2">
      <c r="B89" s="96" t="s">
        <v>111</v>
      </c>
      <c r="C89" s="97" t="s">
        <v>29</v>
      </c>
      <c r="D89" s="97" t="s">
        <v>131</v>
      </c>
      <c r="E89" s="98">
        <v>36678</v>
      </c>
      <c r="F89" s="98">
        <v>39599</v>
      </c>
      <c r="G89" s="96" t="s">
        <v>148</v>
      </c>
      <c r="H89" s="96" t="s">
        <v>149</v>
      </c>
      <c r="I89" s="97" t="s">
        <v>151</v>
      </c>
      <c r="J89" s="100">
        <f>4.7713/J$1</f>
        <v>0.15904333333333334</v>
      </c>
      <c r="K89" s="101">
        <v>0</v>
      </c>
      <c r="L89" s="101">
        <v>2.2000000000000001E-3</v>
      </c>
      <c r="M89" s="101">
        <v>0</v>
      </c>
      <c r="N89" s="101">
        <v>0</v>
      </c>
      <c r="O89" s="102">
        <v>0</v>
      </c>
      <c r="P89" s="101">
        <f t="shared" si="8"/>
        <v>0.16124333333333335</v>
      </c>
      <c r="Q89" s="126" t="s">
        <v>417</v>
      </c>
      <c r="R89" s="97">
        <v>-5</v>
      </c>
      <c r="S89" s="96" t="s">
        <v>418</v>
      </c>
      <c r="T89" s="108">
        <f>J89*J$1*R89</f>
        <v>-23.8565</v>
      </c>
      <c r="U89" s="104">
        <v>-24</v>
      </c>
      <c r="V89" s="124">
        <v>282832</v>
      </c>
      <c r="W89" s="96"/>
      <c r="X89" s="109"/>
      <c r="Y89" s="109"/>
    </row>
    <row r="90" spans="2:25" x14ac:dyDescent="0.2">
      <c r="B90" s="27"/>
      <c r="C90" s="3"/>
      <c r="D90" s="3"/>
      <c r="E90" s="4"/>
      <c r="F90" s="4"/>
      <c r="G90" s="1"/>
      <c r="H90" s="1"/>
      <c r="I90" s="3"/>
      <c r="J90" s="8"/>
      <c r="K90" s="5"/>
      <c r="L90" s="5"/>
      <c r="M90" s="5"/>
      <c r="N90" s="5"/>
      <c r="O90" s="43"/>
      <c r="P90" s="5"/>
      <c r="Q90" s="49"/>
      <c r="R90" s="50"/>
      <c r="S90" s="28"/>
      <c r="T90" s="28">
        <f>SUM(T74:T89)</f>
        <v>133987.61120000001</v>
      </c>
      <c r="U90" s="28">
        <f>SUM(U74:U89)</f>
        <v>133050.76999999999</v>
      </c>
      <c r="V90" s="52"/>
      <c r="W90" s="58"/>
      <c r="X90" s="35"/>
      <c r="Y90" s="35"/>
    </row>
    <row r="91" spans="2:25" x14ac:dyDescent="0.2">
      <c r="B91" s="27"/>
      <c r="C91" s="3"/>
      <c r="D91" s="3"/>
      <c r="E91" s="4"/>
      <c r="F91" s="4"/>
      <c r="G91" s="1"/>
      <c r="H91" s="1"/>
      <c r="I91" s="3"/>
      <c r="J91" s="5"/>
      <c r="K91" s="5"/>
      <c r="L91" s="5"/>
      <c r="M91" s="5"/>
      <c r="N91" s="5"/>
      <c r="O91" s="43"/>
      <c r="P91" s="5"/>
      <c r="Q91" s="49"/>
      <c r="R91" s="50"/>
      <c r="S91" s="28"/>
      <c r="T91" s="28"/>
      <c r="U91" s="28"/>
      <c r="V91" s="52"/>
      <c r="W91" s="58"/>
      <c r="X91" s="35"/>
      <c r="Y91" s="35"/>
    </row>
    <row r="92" spans="2:25" x14ac:dyDescent="0.2">
      <c r="B92" s="27"/>
      <c r="C92" s="3"/>
      <c r="D92" s="3"/>
      <c r="E92" s="4"/>
      <c r="F92" s="4"/>
      <c r="G92" s="1"/>
      <c r="H92" s="1"/>
      <c r="I92" s="3"/>
      <c r="J92" s="8"/>
      <c r="K92" s="5"/>
      <c r="L92" s="5"/>
      <c r="M92" s="5"/>
      <c r="N92" s="5"/>
      <c r="O92" s="43"/>
      <c r="P92" s="5"/>
      <c r="Q92" s="49"/>
      <c r="R92" s="50"/>
      <c r="S92" s="28"/>
      <c r="T92" s="28"/>
      <c r="U92" s="28"/>
      <c r="V92" s="52"/>
      <c r="W92" s="58"/>
      <c r="X92" s="35"/>
      <c r="Y92" s="35"/>
    </row>
    <row r="93" spans="2:25" ht="13.5" thickBot="1" x14ac:dyDescent="0.25">
      <c r="B93" s="27"/>
      <c r="C93" s="3"/>
      <c r="D93" s="3"/>
      <c r="E93" s="4"/>
      <c r="F93" s="4"/>
      <c r="G93" s="1"/>
      <c r="H93" s="1"/>
      <c r="I93" s="3"/>
      <c r="J93" s="5"/>
      <c r="K93" s="5"/>
      <c r="L93" s="5"/>
      <c r="M93" s="5"/>
      <c r="N93" s="5"/>
      <c r="O93" s="43"/>
      <c r="P93" s="5"/>
      <c r="Q93" s="49"/>
      <c r="R93" s="50"/>
      <c r="S93" s="28"/>
      <c r="T93" s="82">
        <f>SUM(T90,T72,T68,T50,T41,T30)</f>
        <v>693217.62932064512</v>
      </c>
      <c r="U93" s="82">
        <f>SUM(U90,U72,U68,U50,U41,U30)</f>
        <v>167676.76999999999</v>
      </c>
      <c r="V93" s="28" t="s">
        <v>526</v>
      </c>
      <c r="W93" s="58"/>
      <c r="X93" s="35"/>
      <c r="Y93" s="35"/>
    </row>
    <row r="94" spans="2:25" ht="13.5" thickTop="1" x14ac:dyDescent="0.2">
      <c r="B94" s="27"/>
      <c r="C94" s="3"/>
      <c r="D94" s="3"/>
      <c r="E94" s="4"/>
      <c r="F94" s="4"/>
      <c r="G94" s="1"/>
      <c r="H94" s="1"/>
      <c r="I94" s="3"/>
      <c r="J94" s="5"/>
      <c r="K94" s="5"/>
      <c r="L94" s="5"/>
      <c r="M94" s="5"/>
      <c r="N94" s="5"/>
      <c r="O94" s="43"/>
      <c r="P94" s="5"/>
      <c r="Q94" s="49"/>
      <c r="R94" s="50"/>
      <c r="S94" s="28"/>
      <c r="T94" s="28"/>
      <c r="U94" s="58" t="s">
        <v>31</v>
      </c>
      <c r="V94" s="58" t="s">
        <v>235</v>
      </c>
      <c r="W94" s="58"/>
      <c r="X94" s="40"/>
      <c r="Y94" s="35"/>
    </row>
    <row r="95" spans="2:25" x14ac:dyDescent="0.2">
      <c r="B95" s="27"/>
      <c r="C95" s="3"/>
      <c r="D95" s="3"/>
      <c r="E95" s="4"/>
      <c r="F95" s="4"/>
      <c r="G95" s="1"/>
      <c r="H95" s="1"/>
      <c r="I95" s="3"/>
      <c r="J95" s="5"/>
      <c r="K95" s="5"/>
      <c r="L95" s="5"/>
      <c r="M95" s="5"/>
      <c r="N95" s="5"/>
      <c r="O95" s="43"/>
      <c r="P95" s="5"/>
      <c r="Q95" s="49"/>
      <c r="R95" s="50"/>
      <c r="S95" s="28"/>
      <c r="T95" s="28"/>
      <c r="U95" s="28"/>
      <c r="V95" s="52"/>
      <c r="W95" s="58"/>
      <c r="X95" s="35"/>
      <c r="Y95" s="35"/>
    </row>
    <row r="96" spans="2:25" x14ac:dyDescent="0.2">
      <c r="B96" s="27"/>
      <c r="C96" s="3"/>
      <c r="D96" s="3"/>
      <c r="E96" s="4"/>
      <c r="F96" s="4"/>
      <c r="G96" s="1"/>
      <c r="H96" s="1"/>
      <c r="I96" s="3"/>
      <c r="J96" s="5"/>
      <c r="K96" s="5"/>
      <c r="L96" s="5"/>
      <c r="M96" s="5"/>
      <c r="N96" s="5"/>
      <c r="O96" s="43"/>
      <c r="P96" s="5"/>
      <c r="Q96" s="49"/>
      <c r="R96" s="50"/>
      <c r="S96" s="28"/>
      <c r="T96" s="28"/>
      <c r="U96" s="28"/>
      <c r="V96" s="52"/>
      <c r="W96" s="58"/>
      <c r="X96" s="35"/>
      <c r="Y96" s="35"/>
    </row>
    <row r="97" spans="2:25" x14ac:dyDescent="0.2">
      <c r="B97" s="27"/>
      <c r="C97" s="3"/>
      <c r="D97" s="3"/>
      <c r="E97" s="4"/>
      <c r="F97" s="4"/>
      <c r="G97" s="1"/>
      <c r="H97" s="1"/>
      <c r="I97" s="3"/>
      <c r="J97" s="8"/>
      <c r="K97" s="5"/>
      <c r="L97" s="5"/>
      <c r="M97" s="5"/>
      <c r="N97" s="5"/>
      <c r="O97" s="43"/>
      <c r="P97" s="5"/>
      <c r="Q97" s="49"/>
      <c r="R97" s="50"/>
      <c r="S97" s="40"/>
      <c r="T97" s="28"/>
      <c r="U97" s="28"/>
      <c r="V97" s="52"/>
      <c r="W97" s="58"/>
      <c r="X97" s="35"/>
      <c r="Y97" s="35"/>
    </row>
    <row r="98" spans="2:25" x14ac:dyDescent="0.2">
      <c r="B98" s="27"/>
      <c r="C98" s="3"/>
      <c r="D98" s="3"/>
      <c r="E98" s="4"/>
      <c r="F98" s="4"/>
      <c r="G98" s="1"/>
      <c r="H98" s="1"/>
      <c r="I98" s="3"/>
      <c r="J98" s="8"/>
      <c r="K98" s="5"/>
      <c r="L98" s="5"/>
      <c r="M98" s="5"/>
      <c r="N98" s="5"/>
      <c r="O98" s="43"/>
      <c r="P98" s="5"/>
      <c r="Q98" s="49"/>
      <c r="R98" s="50"/>
      <c r="S98" s="40"/>
      <c r="T98" s="28"/>
      <c r="U98" s="28"/>
      <c r="V98" s="52"/>
      <c r="W98" s="58"/>
      <c r="X98" s="35"/>
      <c r="Y98" s="35"/>
    </row>
    <row r="99" spans="2:25" x14ac:dyDescent="0.2">
      <c r="Q99" s="34"/>
      <c r="R99" s="34"/>
      <c r="S99" s="34"/>
      <c r="T99" s="34"/>
      <c r="U99" s="34"/>
      <c r="V99" s="51"/>
      <c r="W99" s="61"/>
      <c r="X99" s="51"/>
    </row>
    <row r="100" spans="2:25" x14ac:dyDescent="0.2">
      <c r="Q100" s="34"/>
      <c r="R100" s="34"/>
      <c r="S100" s="34"/>
      <c r="T100" s="34"/>
      <c r="U100" s="34"/>
      <c r="V100" s="51"/>
      <c r="W100" s="61"/>
      <c r="X100" s="51"/>
    </row>
  </sheetData>
  <pageMargins left="0.75" right="0.75" top="1" bottom="1" header="0.5" footer="0.5"/>
  <pageSetup scale="52" fitToHeight="2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03"/>
  <sheetViews>
    <sheetView tabSelected="1" topLeftCell="E1" workbookViewId="0">
      <selection activeCell="U12" sqref="U12"/>
    </sheetView>
  </sheetViews>
  <sheetFormatPr defaultRowHeight="12.75" x14ac:dyDescent="0.2"/>
  <cols>
    <col min="1" max="1" width="9.140625" style="25"/>
    <col min="2" max="2" width="10" style="25" customWidth="1"/>
    <col min="3" max="3" width="9.140625" style="25"/>
    <col min="4" max="4" width="10.5703125" style="25" customWidth="1"/>
    <col min="5" max="5" width="9.28515625" style="25" customWidth="1"/>
    <col min="6" max="6" width="9.5703125" style="25" customWidth="1"/>
    <col min="7" max="7" width="12.42578125" style="27" customWidth="1"/>
    <col min="8" max="8" width="16.42578125" style="27" customWidth="1"/>
    <col min="9" max="9" width="16.5703125" style="25" customWidth="1"/>
    <col min="10" max="10" width="7.7109375" style="25" customWidth="1"/>
    <col min="11" max="14" width="0" style="25" hidden="1" customWidth="1"/>
    <col min="15" max="15" width="0" style="47" hidden="1" customWidth="1"/>
    <col min="16" max="16" width="0" style="25" hidden="1" customWidth="1"/>
    <col min="17" max="17" width="14.28515625" style="25" customWidth="1"/>
    <col min="18" max="18" width="10.85546875" style="25" customWidth="1"/>
    <col min="19" max="19" width="12.28515625" style="25" customWidth="1"/>
    <col min="20" max="20" width="10.7109375" style="25" customWidth="1"/>
    <col min="21" max="21" width="11.85546875" style="25" customWidth="1"/>
    <col min="22" max="22" width="14.85546875" style="38" customWidth="1"/>
    <col min="23" max="23" width="42.28515625" style="27" customWidth="1"/>
    <col min="24" max="25" width="9.140625" style="38"/>
    <col min="26" max="26" width="12.42578125" style="25" customWidth="1"/>
    <col min="27" max="16384" width="9.140625" style="25"/>
  </cols>
  <sheetData>
    <row r="1" spans="2:25" x14ac:dyDescent="0.2">
      <c r="B1" s="41" t="s">
        <v>474</v>
      </c>
      <c r="C1" s="3"/>
      <c r="D1" s="3"/>
      <c r="E1" s="4"/>
      <c r="F1" s="4"/>
      <c r="G1" s="1"/>
      <c r="H1" s="1"/>
      <c r="I1" s="3" t="s">
        <v>47</v>
      </c>
      <c r="J1" s="7">
        <v>30</v>
      </c>
      <c r="K1" s="48" t="s">
        <v>66</v>
      </c>
      <c r="L1" s="5"/>
      <c r="M1" s="5"/>
      <c r="N1" s="5"/>
      <c r="O1" s="43"/>
      <c r="P1" s="5"/>
      <c r="Q1" s="24"/>
      <c r="R1" s="2"/>
      <c r="S1" s="28"/>
      <c r="T1" s="28"/>
      <c r="U1" s="28"/>
      <c r="V1" s="52"/>
      <c r="W1" s="58"/>
      <c r="X1" s="35"/>
      <c r="Y1" s="35"/>
    </row>
    <row r="2" spans="2:25" x14ac:dyDescent="0.2">
      <c r="B2" s="1" t="s">
        <v>61</v>
      </c>
      <c r="C2" s="1"/>
      <c r="D2" s="1"/>
      <c r="E2" s="4"/>
      <c r="F2" s="4"/>
      <c r="G2" s="1"/>
      <c r="H2" s="1"/>
      <c r="I2" s="3"/>
      <c r="J2" s="7"/>
      <c r="K2" s="48" t="s">
        <v>67</v>
      </c>
      <c r="L2" s="5"/>
      <c r="M2" s="5"/>
      <c r="N2" s="5"/>
      <c r="O2" s="43"/>
      <c r="P2" s="5"/>
      <c r="Q2" s="24"/>
      <c r="R2" s="2"/>
      <c r="S2" s="28"/>
      <c r="T2" s="28"/>
      <c r="U2" s="28"/>
      <c r="V2" s="52"/>
      <c r="W2" s="58"/>
      <c r="X2" s="35"/>
      <c r="Y2" s="35"/>
    </row>
    <row r="3" spans="2:25" x14ac:dyDescent="0.2">
      <c r="B3" s="1" t="s">
        <v>62</v>
      </c>
      <c r="C3" s="1"/>
      <c r="D3" s="1"/>
      <c r="E3" s="4"/>
      <c r="F3" s="4"/>
      <c r="G3" s="6" t="s">
        <v>31</v>
      </c>
      <c r="H3" s="1" t="s">
        <v>31</v>
      </c>
      <c r="I3" s="2" t="s">
        <v>31</v>
      </c>
      <c r="J3" s="8"/>
      <c r="K3" s="31" t="s">
        <v>31</v>
      </c>
      <c r="L3" s="5"/>
      <c r="M3" s="31" t="s">
        <v>31</v>
      </c>
      <c r="N3" s="5"/>
      <c r="O3" s="43"/>
      <c r="P3" s="31" t="s">
        <v>31</v>
      </c>
      <c r="Q3" s="24"/>
      <c r="R3" s="2"/>
      <c r="S3" s="28"/>
      <c r="T3" s="28"/>
      <c r="U3" s="28"/>
      <c r="V3" s="52"/>
      <c r="W3" s="58"/>
      <c r="X3" s="35"/>
      <c r="Y3" s="35"/>
    </row>
    <row r="4" spans="2:25" x14ac:dyDescent="0.2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3"/>
      <c r="P4" s="2"/>
      <c r="Q4" s="24"/>
      <c r="R4" s="2"/>
      <c r="S4" s="28"/>
      <c r="T4" s="33"/>
      <c r="U4" s="33"/>
      <c r="V4" s="53"/>
      <c r="W4" s="58"/>
      <c r="X4" s="35"/>
      <c r="Y4" s="35"/>
    </row>
    <row r="5" spans="2:25" x14ac:dyDescent="0.2">
      <c r="B5" s="1" t="s">
        <v>68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3"/>
      <c r="P5" s="2"/>
      <c r="Q5" s="24"/>
      <c r="R5" s="2"/>
      <c r="S5" s="28"/>
      <c r="T5" s="33"/>
      <c r="U5" s="33"/>
      <c r="V5" s="53"/>
      <c r="W5" s="58"/>
      <c r="X5" s="35"/>
      <c r="Y5" s="35"/>
    </row>
    <row r="6" spans="2:25" x14ac:dyDescent="0.2">
      <c r="B6" s="1"/>
      <c r="C6" s="3" t="s">
        <v>185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3"/>
      <c r="P6" s="2"/>
      <c r="Q6" s="24"/>
      <c r="R6" s="2"/>
      <c r="S6" s="28"/>
      <c r="T6" s="33"/>
      <c r="U6" s="33"/>
      <c r="V6" s="53"/>
      <c r="W6" s="58"/>
      <c r="X6" s="35"/>
      <c r="Y6" s="35"/>
    </row>
    <row r="7" spans="2:25" x14ac:dyDescent="0.2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3"/>
      <c r="P7" s="2"/>
      <c r="Q7" s="24"/>
      <c r="R7" s="2"/>
      <c r="S7" s="28"/>
      <c r="T7" s="33"/>
      <c r="U7" s="33"/>
      <c r="V7" s="53"/>
      <c r="W7" s="58"/>
      <c r="X7" s="35"/>
      <c r="Y7" s="35"/>
    </row>
    <row r="8" spans="2:25" x14ac:dyDescent="0.2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3"/>
      <c r="P8" s="2"/>
      <c r="Q8" s="24"/>
      <c r="R8" s="2"/>
      <c r="S8" s="28"/>
      <c r="T8" s="33"/>
      <c r="U8" s="33"/>
      <c r="V8" s="53"/>
      <c r="W8" s="58"/>
      <c r="X8" s="35"/>
      <c r="Y8" s="35"/>
    </row>
    <row r="9" spans="2:25" x14ac:dyDescent="0.2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3"/>
      <c r="P9" s="2"/>
      <c r="Q9" s="24"/>
      <c r="R9" s="2"/>
      <c r="S9" s="28"/>
      <c r="T9" s="33"/>
      <c r="U9" s="33"/>
      <c r="V9" s="53"/>
      <c r="W9" s="58"/>
      <c r="X9" s="35"/>
      <c r="Y9" s="35"/>
    </row>
    <row r="10" spans="2:25" x14ac:dyDescent="0.2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3"/>
      <c r="P10" s="2"/>
      <c r="Q10" s="24"/>
      <c r="R10" s="2"/>
      <c r="S10" s="28"/>
      <c r="T10" s="33"/>
      <c r="U10" s="33"/>
      <c r="V10" s="53"/>
      <c r="W10" s="58"/>
      <c r="X10" s="35"/>
      <c r="Y10" s="35"/>
    </row>
    <row r="11" spans="2:25" x14ac:dyDescent="0.2">
      <c r="B11" s="16" t="s">
        <v>32</v>
      </c>
      <c r="C11" s="17" t="s">
        <v>33</v>
      </c>
      <c r="D11" s="17" t="s">
        <v>109</v>
      </c>
      <c r="E11" s="18" t="s">
        <v>35</v>
      </c>
      <c r="F11" s="18"/>
      <c r="G11" s="16" t="s">
        <v>36</v>
      </c>
      <c r="H11" s="16" t="s">
        <v>37</v>
      </c>
      <c r="I11" s="17" t="s">
        <v>77</v>
      </c>
      <c r="J11" s="19" t="s">
        <v>38</v>
      </c>
      <c r="K11" s="17" t="s">
        <v>39</v>
      </c>
      <c r="L11" s="17" t="s">
        <v>40</v>
      </c>
      <c r="M11" s="17" t="s">
        <v>41</v>
      </c>
      <c r="N11" s="17" t="s">
        <v>42</v>
      </c>
      <c r="O11" s="44" t="s">
        <v>43</v>
      </c>
      <c r="P11" s="17" t="s">
        <v>44</v>
      </c>
      <c r="Q11" s="20" t="s">
        <v>182</v>
      </c>
      <c r="R11" s="17" t="s">
        <v>45</v>
      </c>
      <c r="S11" s="16" t="s">
        <v>46</v>
      </c>
      <c r="T11" s="21" t="s">
        <v>76</v>
      </c>
      <c r="U11" s="21" t="s">
        <v>75</v>
      </c>
      <c r="V11" s="54" t="s">
        <v>183</v>
      </c>
      <c r="W11" s="59" t="s">
        <v>69</v>
      </c>
      <c r="X11" s="36"/>
      <c r="Y11" s="36"/>
    </row>
    <row r="12" spans="2:25" s="79" customFormat="1" x14ac:dyDescent="0.2">
      <c r="B12" s="42" t="s">
        <v>184</v>
      </c>
      <c r="C12" s="71" t="s">
        <v>59</v>
      </c>
      <c r="D12" s="71" t="s">
        <v>48</v>
      </c>
      <c r="E12" s="72">
        <v>36617</v>
      </c>
      <c r="F12" s="72">
        <v>41213</v>
      </c>
      <c r="G12" s="42" t="s">
        <v>320</v>
      </c>
      <c r="H12" s="42" t="s">
        <v>321</v>
      </c>
      <c r="I12" s="71" t="s">
        <v>456</v>
      </c>
      <c r="J12" s="73">
        <f>(6.1138+0.123)*0.0328767</f>
        <v>0.20504540256000003</v>
      </c>
      <c r="K12" s="74"/>
      <c r="L12" s="74"/>
      <c r="M12" s="74"/>
      <c r="N12" s="74"/>
      <c r="O12" s="75"/>
      <c r="P12" s="74"/>
      <c r="Q12" s="76">
        <v>771151</v>
      </c>
      <c r="R12" s="71">
        <v>62</v>
      </c>
      <c r="S12" s="110" t="s">
        <v>461</v>
      </c>
      <c r="T12" s="77">
        <f t="shared" ref="T12:T24" si="0">J12*J$1*R12</f>
        <v>381.38444876160003</v>
      </c>
      <c r="U12" s="77"/>
      <c r="V12" s="94">
        <v>232609</v>
      </c>
      <c r="W12" s="160"/>
      <c r="X12" s="78"/>
      <c r="Y12" s="78"/>
    </row>
    <row r="13" spans="2:25" s="79" customFormat="1" x14ac:dyDescent="0.2">
      <c r="B13" s="42" t="s">
        <v>184</v>
      </c>
      <c r="C13" s="71" t="s">
        <v>59</v>
      </c>
      <c r="D13" s="71" t="s">
        <v>452</v>
      </c>
      <c r="E13" s="72">
        <v>36678</v>
      </c>
      <c r="F13" s="72">
        <v>41213</v>
      </c>
      <c r="G13" s="42" t="s">
        <v>320</v>
      </c>
      <c r="H13" s="42" t="s">
        <v>321</v>
      </c>
      <c r="I13" s="71" t="s">
        <v>456</v>
      </c>
      <c r="J13" s="73">
        <f>(6.1138+0.123)*0.0328767</f>
        <v>0.20504540256000003</v>
      </c>
      <c r="K13" s="74"/>
      <c r="L13" s="74"/>
      <c r="M13" s="74"/>
      <c r="N13" s="74"/>
      <c r="O13" s="75"/>
      <c r="P13" s="74"/>
      <c r="Q13" s="76">
        <v>771151</v>
      </c>
      <c r="R13" s="71">
        <v>-62</v>
      </c>
      <c r="S13" s="110" t="s">
        <v>457</v>
      </c>
      <c r="T13" s="77">
        <f>J13*J$1*R13</f>
        <v>-381.38444876160003</v>
      </c>
      <c r="U13" s="77"/>
      <c r="V13" s="94">
        <v>284405</v>
      </c>
      <c r="W13" s="160"/>
      <c r="X13" s="78"/>
      <c r="Y13" s="78"/>
    </row>
    <row r="14" spans="2:25" s="79" customFormat="1" x14ac:dyDescent="0.2">
      <c r="B14" s="42" t="s">
        <v>184</v>
      </c>
      <c r="C14" s="71" t="s">
        <v>59</v>
      </c>
      <c r="D14" s="71" t="s">
        <v>48</v>
      </c>
      <c r="E14" s="72">
        <v>36617</v>
      </c>
      <c r="F14" s="72">
        <v>38656</v>
      </c>
      <c r="G14" s="42" t="s">
        <v>322</v>
      </c>
      <c r="H14" s="42" t="s">
        <v>323</v>
      </c>
      <c r="I14" s="71" t="s">
        <v>324</v>
      </c>
      <c r="J14" s="73">
        <f>(6.5854+0.2)/+J1</f>
        <v>0.22617999999999999</v>
      </c>
      <c r="K14" s="74"/>
      <c r="L14" s="74"/>
      <c r="M14" s="74"/>
      <c r="N14" s="74"/>
      <c r="O14" s="75"/>
      <c r="P14" s="74"/>
      <c r="Q14" s="76">
        <v>771156</v>
      </c>
      <c r="R14" s="71">
        <v>120</v>
      </c>
      <c r="S14" s="42" t="s">
        <v>460</v>
      </c>
      <c r="T14" s="77">
        <f t="shared" si="0"/>
        <v>814.24800000000005</v>
      </c>
      <c r="U14" s="77"/>
      <c r="V14" s="94">
        <v>232622</v>
      </c>
      <c r="W14" s="160" t="s">
        <v>325</v>
      </c>
      <c r="X14" s="78"/>
      <c r="Y14" s="78"/>
    </row>
    <row r="15" spans="2:25" s="79" customFormat="1" x14ac:dyDescent="0.2">
      <c r="B15" s="42" t="s">
        <v>184</v>
      </c>
      <c r="C15" s="71" t="s">
        <v>59</v>
      </c>
      <c r="D15" s="71" t="s">
        <v>452</v>
      </c>
      <c r="E15" s="72">
        <v>36678</v>
      </c>
      <c r="F15" s="72">
        <v>38656</v>
      </c>
      <c r="G15" s="42" t="s">
        <v>322</v>
      </c>
      <c r="H15" s="42" t="s">
        <v>323</v>
      </c>
      <c r="I15" s="71" t="s">
        <v>324</v>
      </c>
      <c r="J15" s="73">
        <f>(6.5854+0.2)/+J1</f>
        <v>0.22617999999999999</v>
      </c>
      <c r="K15" s="74"/>
      <c r="L15" s="74"/>
      <c r="M15" s="74"/>
      <c r="N15" s="74"/>
      <c r="O15" s="75"/>
      <c r="P15" s="74"/>
      <c r="Q15" s="76">
        <v>771156</v>
      </c>
      <c r="R15" s="71">
        <v>-120</v>
      </c>
      <c r="S15" s="42" t="s">
        <v>458</v>
      </c>
      <c r="T15" s="77">
        <f>J15*J$1*R15</f>
        <v>-814.24800000000005</v>
      </c>
      <c r="U15" s="77"/>
      <c r="V15" s="94">
        <v>284412</v>
      </c>
      <c r="W15" s="160" t="s">
        <v>325</v>
      </c>
      <c r="X15" s="78"/>
      <c r="Y15" s="78"/>
    </row>
    <row r="16" spans="2:25" s="79" customFormat="1" x14ac:dyDescent="0.2">
      <c r="B16" s="42" t="s">
        <v>184</v>
      </c>
      <c r="C16" s="71" t="s">
        <v>59</v>
      </c>
      <c r="D16" s="71" t="s">
        <v>48</v>
      </c>
      <c r="E16" s="72">
        <v>36617</v>
      </c>
      <c r="F16" s="72">
        <v>38656</v>
      </c>
      <c r="G16" s="42" t="s">
        <v>326</v>
      </c>
      <c r="H16" s="42" t="s">
        <v>327</v>
      </c>
      <c r="I16" s="71" t="s">
        <v>329</v>
      </c>
      <c r="J16" s="73">
        <f>+(6.5854+0.2)/+J1</f>
        <v>0.22617999999999999</v>
      </c>
      <c r="K16" s="74"/>
      <c r="L16" s="74"/>
      <c r="M16" s="74"/>
      <c r="N16" s="74"/>
      <c r="O16" s="75"/>
      <c r="P16" s="74"/>
      <c r="Q16" s="161">
        <v>771157</v>
      </c>
      <c r="R16" s="71">
        <v>160</v>
      </c>
      <c r="S16" s="42" t="s">
        <v>459</v>
      </c>
      <c r="T16" s="77">
        <f t="shared" si="0"/>
        <v>1085.664</v>
      </c>
      <c r="U16" s="77"/>
      <c r="V16" s="94">
        <v>232646</v>
      </c>
      <c r="W16" s="160" t="s">
        <v>328</v>
      </c>
      <c r="X16" s="78"/>
      <c r="Y16" s="78"/>
    </row>
    <row r="17" spans="2:25" s="79" customFormat="1" x14ac:dyDescent="0.2">
      <c r="B17" s="42" t="s">
        <v>184</v>
      </c>
      <c r="C17" s="71" t="s">
        <v>59</v>
      </c>
      <c r="D17" s="71" t="s">
        <v>452</v>
      </c>
      <c r="E17" s="72">
        <v>36678</v>
      </c>
      <c r="F17" s="72">
        <v>38656</v>
      </c>
      <c r="G17" s="42" t="s">
        <v>326</v>
      </c>
      <c r="H17" s="42" t="s">
        <v>327</v>
      </c>
      <c r="I17" s="71" t="s">
        <v>329</v>
      </c>
      <c r="J17" s="73">
        <f>+(6.5854+0.2)/+J1</f>
        <v>0.22617999999999999</v>
      </c>
      <c r="K17" s="74"/>
      <c r="L17" s="74"/>
      <c r="M17" s="74"/>
      <c r="N17" s="74"/>
      <c r="O17" s="75"/>
      <c r="P17" s="74"/>
      <c r="Q17" s="161">
        <v>771157</v>
      </c>
      <c r="R17" s="71">
        <v>-160</v>
      </c>
      <c r="S17" s="42" t="s">
        <v>462</v>
      </c>
      <c r="T17" s="77">
        <f>J17*J$1*R17</f>
        <v>-1085.664</v>
      </c>
      <c r="U17" s="77"/>
      <c r="V17" s="94">
        <v>284441</v>
      </c>
      <c r="W17" s="160" t="s">
        <v>328</v>
      </c>
      <c r="X17" s="78"/>
      <c r="Y17" s="78"/>
    </row>
    <row r="18" spans="2:25" s="79" customFormat="1" x14ac:dyDescent="0.2">
      <c r="B18" s="42" t="s">
        <v>184</v>
      </c>
      <c r="C18" s="71" t="s">
        <v>59</v>
      </c>
      <c r="D18" s="71" t="s">
        <v>48</v>
      </c>
      <c r="E18" s="72">
        <v>36617</v>
      </c>
      <c r="F18" s="72">
        <v>40117</v>
      </c>
      <c r="G18" s="42" t="s">
        <v>327</v>
      </c>
      <c r="H18" s="42" t="s">
        <v>321</v>
      </c>
      <c r="I18" s="71" t="s">
        <v>55</v>
      </c>
      <c r="J18" s="73">
        <f>+(6.5854+0.2)/+J1</f>
        <v>0.22617999999999999</v>
      </c>
      <c r="K18" s="74"/>
      <c r="L18" s="74"/>
      <c r="M18" s="74"/>
      <c r="N18" s="74"/>
      <c r="O18" s="75"/>
      <c r="P18" s="74"/>
      <c r="Q18" s="76">
        <v>771152</v>
      </c>
      <c r="R18" s="71">
        <v>86</v>
      </c>
      <c r="S18" s="42" t="s">
        <v>463</v>
      </c>
      <c r="T18" s="77">
        <f t="shared" si="0"/>
        <v>583.5444</v>
      </c>
      <c r="U18" s="77"/>
      <c r="V18" s="94">
        <v>232657</v>
      </c>
      <c r="W18" s="160"/>
      <c r="X18" s="78"/>
      <c r="Y18" s="78"/>
    </row>
    <row r="19" spans="2:25" s="79" customFormat="1" x14ac:dyDescent="0.2">
      <c r="B19" s="42" t="s">
        <v>184</v>
      </c>
      <c r="C19" s="71" t="s">
        <v>59</v>
      </c>
      <c r="D19" s="71" t="s">
        <v>48</v>
      </c>
      <c r="E19" s="72">
        <v>36678</v>
      </c>
      <c r="F19" s="72">
        <v>40117</v>
      </c>
      <c r="G19" s="42" t="s">
        <v>327</v>
      </c>
      <c r="H19" s="42" t="s">
        <v>321</v>
      </c>
      <c r="I19" s="71" t="s">
        <v>55</v>
      </c>
      <c r="J19" s="73">
        <f>+(6.5854+0.2)/+J1</f>
        <v>0.22617999999999999</v>
      </c>
      <c r="K19" s="74"/>
      <c r="L19" s="74"/>
      <c r="M19" s="74"/>
      <c r="N19" s="74"/>
      <c r="O19" s="75"/>
      <c r="P19" s="74"/>
      <c r="Q19" s="76">
        <v>771152</v>
      </c>
      <c r="R19" s="71">
        <v>-86</v>
      </c>
      <c r="S19" s="42" t="s">
        <v>464</v>
      </c>
      <c r="T19" s="77">
        <f>J19*J$1*R19</f>
        <v>-583.5444</v>
      </c>
      <c r="U19" s="77"/>
      <c r="V19" s="94">
        <v>284442</v>
      </c>
      <c r="W19" s="160"/>
      <c r="X19" s="78"/>
      <c r="Y19" s="78"/>
    </row>
    <row r="20" spans="2:25" s="79" customFormat="1" x14ac:dyDescent="0.2">
      <c r="B20" s="42" t="s">
        <v>184</v>
      </c>
      <c r="C20" s="71" t="s">
        <v>59</v>
      </c>
      <c r="D20" s="71" t="s">
        <v>48</v>
      </c>
      <c r="E20" s="72">
        <v>36617</v>
      </c>
      <c r="F20" s="72">
        <v>39021</v>
      </c>
      <c r="G20" s="42" t="s">
        <v>327</v>
      </c>
      <c r="H20" s="42" t="s">
        <v>330</v>
      </c>
      <c r="I20" s="71" t="s">
        <v>331</v>
      </c>
      <c r="J20" s="73">
        <f>+(11.8368+0.2)/+J1</f>
        <v>0.40122666666666668</v>
      </c>
      <c r="K20" s="74"/>
      <c r="L20" s="74"/>
      <c r="M20" s="74"/>
      <c r="N20" s="74"/>
      <c r="O20" s="75"/>
      <c r="P20" s="74"/>
      <c r="Q20" s="76">
        <v>771153</v>
      </c>
      <c r="R20" s="71">
        <v>65</v>
      </c>
      <c r="S20" s="42" t="s">
        <v>465</v>
      </c>
      <c r="T20" s="77">
        <f t="shared" si="0"/>
        <v>782.39199999999994</v>
      </c>
      <c r="U20" s="77"/>
      <c r="V20" s="94">
        <v>232680</v>
      </c>
      <c r="W20" s="160"/>
      <c r="X20" s="78"/>
      <c r="Y20" s="78"/>
    </row>
    <row r="21" spans="2:25" s="79" customFormat="1" x14ac:dyDescent="0.2">
      <c r="B21" s="42" t="s">
        <v>184</v>
      </c>
      <c r="C21" s="71" t="s">
        <v>59</v>
      </c>
      <c r="D21" s="71" t="s">
        <v>452</v>
      </c>
      <c r="E21" s="72">
        <v>36678</v>
      </c>
      <c r="F21" s="72">
        <v>39021</v>
      </c>
      <c r="G21" s="42" t="s">
        <v>327</v>
      </c>
      <c r="H21" s="42" t="s">
        <v>330</v>
      </c>
      <c r="I21" s="71" t="s">
        <v>331</v>
      </c>
      <c r="J21" s="73">
        <f>+(11.8368+0.2)/+J1</f>
        <v>0.40122666666666668</v>
      </c>
      <c r="K21" s="74"/>
      <c r="L21" s="74"/>
      <c r="M21" s="74"/>
      <c r="N21" s="74"/>
      <c r="O21" s="75"/>
      <c r="P21" s="74"/>
      <c r="Q21" s="76">
        <v>771153</v>
      </c>
      <c r="R21" s="71">
        <v>-65</v>
      </c>
      <c r="S21" s="42" t="s">
        <v>466</v>
      </c>
      <c r="T21" s="77">
        <f>J21*J$1*R21</f>
        <v>-782.39199999999994</v>
      </c>
      <c r="U21" s="77"/>
      <c r="V21" s="94">
        <v>284444</v>
      </c>
      <c r="W21" s="160"/>
      <c r="X21" s="78"/>
      <c r="Y21" s="78"/>
    </row>
    <row r="22" spans="2:25" s="79" customFormat="1" x14ac:dyDescent="0.2">
      <c r="B22" s="42" t="s">
        <v>184</v>
      </c>
      <c r="C22" s="71" t="s">
        <v>59</v>
      </c>
      <c r="D22" s="71" t="s">
        <v>48</v>
      </c>
      <c r="E22" s="72">
        <v>36617</v>
      </c>
      <c r="F22" s="72">
        <v>36830</v>
      </c>
      <c r="G22" s="42" t="s">
        <v>327</v>
      </c>
      <c r="H22" s="42" t="s">
        <v>332</v>
      </c>
      <c r="I22" s="71" t="s">
        <v>110</v>
      </c>
      <c r="J22" s="73">
        <f>(6.5854+0.2)/+J1</f>
        <v>0.22617999999999999</v>
      </c>
      <c r="K22" s="74"/>
      <c r="L22" s="74"/>
      <c r="M22" s="74"/>
      <c r="N22" s="74"/>
      <c r="O22" s="75"/>
      <c r="P22" s="74"/>
      <c r="Q22" s="76">
        <v>771154</v>
      </c>
      <c r="R22" s="71">
        <v>10</v>
      </c>
      <c r="S22" s="42" t="s">
        <v>467</v>
      </c>
      <c r="T22" s="77">
        <f t="shared" si="0"/>
        <v>67.853999999999999</v>
      </c>
      <c r="U22" s="77"/>
      <c r="V22" s="94">
        <v>232686</v>
      </c>
      <c r="W22" s="160"/>
      <c r="X22" s="78"/>
      <c r="Y22" s="78"/>
    </row>
    <row r="23" spans="2:25" s="79" customFormat="1" x14ac:dyDescent="0.2">
      <c r="B23" s="42" t="s">
        <v>184</v>
      </c>
      <c r="C23" s="71" t="s">
        <v>59</v>
      </c>
      <c r="D23" s="71" t="s">
        <v>452</v>
      </c>
      <c r="E23" s="72">
        <v>36678</v>
      </c>
      <c r="F23" s="72">
        <v>36830</v>
      </c>
      <c r="G23" s="42" t="s">
        <v>327</v>
      </c>
      <c r="H23" s="42" t="s">
        <v>332</v>
      </c>
      <c r="I23" s="71" t="s">
        <v>110</v>
      </c>
      <c r="J23" s="73">
        <f>(6.5854+0.2)/+J1</f>
        <v>0.22617999999999999</v>
      </c>
      <c r="K23" s="74"/>
      <c r="L23" s="74"/>
      <c r="M23" s="74"/>
      <c r="N23" s="74"/>
      <c r="O23" s="75"/>
      <c r="P23" s="74"/>
      <c r="Q23" s="76">
        <v>771154</v>
      </c>
      <c r="R23" s="71">
        <v>-10</v>
      </c>
      <c r="S23" s="110" t="s">
        <v>468</v>
      </c>
      <c r="T23" s="77">
        <f>J23*J$1*R23</f>
        <v>-67.853999999999999</v>
      </c>
      <c r="U23" s="77"/>
      <c r="V23" s="94">
        <v>284447</v>
      </c>
      <c r="W23" s="160"/>
      <c r="X23" s="78"/>
      <c r="Y23" s="78"/>
    </row>
    <row r="24" spans="2:25" s="79" customFormat="1" x14ac:dyDescent="0.2">
      <c r="B24" s="42" t="s">
        <v>184</v>
      </c>
      <c r="C24" s="71" t="s">
        <v>59</v>
      </c>
      <c r="D24" s="71" t="s">
        <v>48</v>
      </c>
      <c r="E24" s="72">
        <v>36617</v>
      </c>
      <c r="F24" s="72">
        <v>36830</v>
      </c>
      <c r="G24" s="42" t="s">
        <v>327</v>
      </c>
      <c r="H24" s="42" t="s">
        <v>326</v>
      </c>
      <c r="I24" s="71" t="s">
        <v>110</v>
      </c>
      <c r="J24" s="73">
        <f>+(6.5854+0.2)/J1</f>
        <v>0.22617999999999999</v>
      </c>
      <c r="K24" s="74"/>
      <c r="L24" s="74"/>
      <c r="M24" s="74"/>
      <c r="N24" s="74"/>
      <c r="O24" s="75"/>
      <c r="P24" s="74"/>
      <c r="Q24" s="76">
        <v>771155</v>
      </c>
      <c r="R24" s="71">
        <v>62</v>
      </c>
      <c r="S24" s="110" t="s">
        <v>469</v>
      </c>
      <c r="T24" s="77">
        <f t="shared" si="0"/>
        <v>420.69479999999999</v>
      </c>
      <c r="U24" s="77"/>
      <c r="V24" s="94">
        <v>233314</v>
      </c>
      <c r="W24" s="160" t="s">
        <v>333</v>
      </c>
      <c r="X24" s="78"/>
      <c r="Y24" s="78"/>
    </row>
    <row r="25" spans="2:25" s="79" customFormat="1" x14ac:dyDescent="0.2">
      <c r="B25" s="42" t="s">
        <v>184</v>
      </c>
      <c r="C25" s="71" t="s">
        <v>59</v>
      </c>
      <c r="D25" s="71" t="s">
        <v>48</v>
      </c>
      <c r="E25" s="72">
        <v>36678</v>
      </c>
      <c r="F25" s="72">
        <v>36830</v>
      </c>
      <c r="G25" s="42" t="s">
        <v>327</v>
      </c>
      <c r="H25" s="42" t="s">
        <v>326</v>
      </c>
      <c r="I25" s="71" t="s">
        <v>110</v>
      </c>
      <c r="J25" s="73">
        <f>+(6.5854+0.2)/J1</f>
        <v>0.22617999999999999</v>
      </c>
      <c r="K25" s="74"/>
      <c r="L25" s="74"/>
      <c r="M25" s="74"/>
      <c r="N25" s="74"/>
      <c r="O25" s="75"/>
      <c r="P25" s="74"/>
      <c r="Q25" s="76">
        <v>771155</v>
      </c>
      <c r="R25" s="71">
        <v>-62</v>
      </c>
      <c r="S25" s="110" t="s">
        <v>470</v>
      </c>
      <c r="T25" s="77">
        <f>J25*J$1*R25</f>
        <v>-420.69479999999999</v>
      </c>
      <c r="U25" s="77"/>
      <c r="V25" s="94">
        <v>284450</v>
      </c>
      <c r="W25" s="160" t="s">
        <v>333</v>
      </c>
      <c r="X25" s="78"/>
      <c r="Y25" s="78"/>
    </row>
    <row r="26" spans="2:25" x14ac:dyDescent="0.2">
      <c r="B26" s="10" t="s">
        <v>31</v>
      </c>
      <c r="C26" s="11" t="s">
        <v>31</v>
      </c>
      <c r="D26" s="12" t="s">
        <v>31</v>
      </c>
      <c r="E26" s="13" t="s">
        <v>31</v>
      </c>
      <c r="F26" s="13"/>
      <c r="G26" s="10" t="s">
        <v>31</v>
      </c>
      <c r="H26" s="30" t="s">
        <v>31</v>
      </c>
      <c r="I26" s="11" t="s">
        <v>31</v>
      </c>
      <c r="J26" s="14"/>
      <c r="K26" s="15"/>
      <c r="L26" s="15"/>
      <c r="M26" s="15"/>
      <c r="N26" s="15"/>
      <c r="O26" s="45"/>
      <c r="P26" s="15"/>
      <c r="Q26" s="26" t="s">
        <v>31</v>
      </c>
      <c r="R26" s="11">
        <f>SUM(R12:R25)</f>
        <v>0</v>
      </c>
      <c r="S26" s="10" t="s">
        <v>31</v>
      </c>
      <c r="T26" s="22">
        <f>SUM(T12:T25)</f>
        <v>0</v>
      </c>
      <c r="U26" s="22">
        <f>SUM(U12:U25)</f>
        <v>0</v>
      </c>
      <c r="V26" s="55"/>
      <c r="W26" s="10"/>
      <c r="X26" s="36"/>
      <c r="Y26" s="36"/>
    </row>
    <row r="27" spans="2:25" x14ac:dyDescent="0.2">
      <c r="B27" s="16" t="s">
        <v>32</v>
      </c>
      <c r="C27" s="17" t="s">
        <v>33</v>
      </c>
      <c r="D27" s="17" t="s">
        <v>109</v>
      </c>
      <c r="E27" s="18" t="s">
        <v>35</v>
      </c>
      <c r="F27" s="18"/>
      <c r="G27" s="16" t="s">
        <v>36</v>
      </c>
      <c r="H27" s="16" t="s">
        <v>37</v>
      </c>
      <c r="I27" s="17" t="s">
        <v>77</v>
      </c>
      <c r="J27" s="19" t="s">
        <v>38</v>
      </c>
      <c r="K27" s="17" t="s">
        <v>39</v>
      </c>
      <c r="L27" s="17" t="s">
        <v>40</v>
      </c>
      <c r="M27" s="17" t="s">
        <v>41</v>
      </c>
      <c r="N27" s="17" t="s">
        <v>42</v>
      </c>
      <c r="O27" s="44" t="s">
        <v>43</v>
      </c>
      <c r="P27" s="17" t="s">
        <v>44</v>
      </c>
      <c r="Q27" s="20" t="s">
        <v>182</v>
      </c>
      <c r="R27" s="17" t="s">
        <v>45</v>
      </c>
      <c r="S27" s="16" t="s">
        <v>46</v>
      </c>
      <c r="T27" s="21" t="s">
        <v>76</v>
      </c>
      <c r="U27" s="21" t="s">
        <v>75</v>
      </c>
      <c r="V27" s="54" t="s">
        <v>183</v>
      </c>
      <c r="W27" s="59" t="s">
        <v>69</v>
      </c>
      <c r="X27" s="36"/>
      <c r="Y27" s="36"/>
    </row>
    <row r="28" spans="2:25" s="79" customFormat="1" x14ac:dyDescent="0.2">
      <c r="B28" s="42" t="s">
        <v>184</v>
      </c>
      <c r="C28" s="71" t="s">
        <v>54</v>
      </c>
      <c r="D28" s="71" t="s">
        <v>48</v>
      </c>
      <c r="E28" s="72">
        <v>36617</v>
      </c>
      <c r="F28" s="72">
        <v>38807</v>
      </c>
      <c r="G28" s="42" t="s">
        <v>114</v>
      </c>
      <c r="H28" s="110"/>
      <c r="I28" s="71" t="s">
        <v>113</v>
      </c>
      <c r="J28" s="73">
        <f>1.8533/J$1</f>
        <v>6.1776666666666667E-2</v>
      </c>
      <c r="K28" s="74">
        <v>0</v>
      </c>
      <c r="L28" s="74">
        <v>0</v>
      </c>
      <c r="M28" s="74">
        <v>0</v>
      </c>
      <c r="N28" s="74">
        <v>0</v>
      </c>
      <c r="O28" s="75">
        <v>0</v>
      </c>
      <c r="P28" s="74">
        <f>SUM(J28:N28)</f>
        <v>6.1776666666666667E-2</v>
      </c>
      <c r="Q28" s="76">
        <v>560104</v>
      </c>
      <c r="R28" s="71">
        <v>132</v>
      </c>
      <c r="S28" s="42" t="s">
        <v>450</v>
      </c>
      <c r="T28" s="125">
        <f>J28*J$1*R28</f>
        <v>244.63559999999998</v>
      </c>
      <c r="U28" s="77"/>
      <c r="V28" s="94">
        <v>254262</v>
      </c>
      <c r="W28" s="42"/>
      <c r="X28" s="78"/>
      <c r="Y28" s="78"/>
    </row>
    <row r="29" spans="2:25" s="79" customFormat="1" ht="13.5" customHeight="1" x14ac:dyDescent="0.2">
      <c r="B29" s="42" t="s">
        <v>184</v>
      </c>
      <c r="C29" s="71" t="s">
        <v>54</v>
      </c>
      <c r="D29" s="71" t="s">
        <v>48</v>
      </c>
      <c r="E29" s="72">
        <v>36617</v>
      </c>
      <c r="F29" s="72">
        <v>38807</v>
      </c>
      <c r="G29" s="42" t="s">
        <v>115</v>
      </c>
      <c r="H29" s="110"/>
      <c r="I29" s="71" t="s">
        <v>113</v>
      </c>
      <c r="J29" s="73">
        <v>1.37E-2</v>
      </c>
      <c r="K29" s="74">
        <v>0</v>
      </c>
      <c r="L29" s="74">
        <v>0</v>
      </c>
      <c r="M29" s="74">
        <v>0</v>
      </c>
      <c r="N29" s="74">
        <v>0</v>
      </c>
      <c r="O29" s="75">
        <v>0</v>
      </c>
      <c r="P29" s="74">
        <f>SUM(J29:N29)</f>
        <v>1.37E-2</v>
      </c>
      <c r="Q29" s="76">
        <v>560104</v>
      </c>
      <c r="R29" s="71">
        <v>14661</v>
      </c>
      <c r="S29" s="42" t="s">
        <v>450</v>
      </c>
      <c r="T29" s="125">
        <f>+R29*J29</f>
        <v>200.85570000000001</v>
      </c>
      <c r="U29" s="77"/>
      <c r="V29" s="94">
        <v>254262</v>
      </c>
      <c r="W29" s="42"/>
      <c r="X29" s="78"/>
      <c r="Y29" s="78"/>
    </row>
    <row r="30" spans="2:25" s="79" customFormat="1" x14ac:dyDescent="0.2">
      <c r="B30" s="42" t="s">
        <v>184</v>
      </c>
      <c r="C30" s="71" t="s">
        <v>54</v>
      </c>
      <c r="D30" s="71" t="s">
        <v>452</v>
      </c>
      <c r="E30" s="72">
        <v>36678</v>
      </c>
      <c r="F30" s="72">
        <v>38807</v>
      </c>
      <c r="G30" s="42" t="s">
        <v>114</v>
      </c>
      <c r="H30" s="110"/>
      <c r="I30" s="71" t="s">
        <v>113</v>
      </c>
      <c r="J30" s="73">
        <f>1.8533/J$1</f>
        <v>6.1776666666666667E-2</v>
      </c>
      <c r="K30" s="74">
        <v>0</v>
      </c>
      <c r="L30" s="74">
        <v>0</v>
      </c>
      <c r="M30" s="74">
        <v>0</v>
      </c>
      <c r="N30" s="74">
        <v>0</v>
      </c>
      <c r="O30" s="75">
        <v>0</v>
      </c>
      <c r="P30" s="74">
        <f>SUM(J30:N30)</f>
        <v>6.1776666666666667E-2</v>
      </c>
      <c r="Q30" s="76">
        <v>560104</v>
      </c>
      <c r="R30" s="71">
        <v>-132</v>
      </c>
      <c r="S30" s="110" t="s">
        <v>451</v>
      </c>
      <c r="T30" s="125">
        <f>J30*J$1*R30</f>
        <v>-244.63559999999998</v>
      </c>
      <c r="U30" s="77"/>
      <c r="V30" s="159" t="s">
        <v>455</v>
      </c>
      <c r="W30" s="42"/>
      <c r="X30" s="78"/>
      <c r="Y30" s="78"/>
    </row>
    <row r="31" spans="2:25" s="79" customFormat="1" ht="13.5" customHeight="1" x14ac:dyDescent="0.2">
      <c r="B31" s="42" t="s">
        <v>184</v>
      </c>
      <c r="C31" s="71" t="s">
        <v>54</v>
      </c>
      <c r="D31" s="71" t="s">
        <v>452</v>
      </c>
      <c r="E31" s="72">
        <v>36678</v>
      </c>
      <c r="F31" s="72">
        <v>38807</v>
      </c>
      <c r="G31" s="42" t="s">
        <v>115</v>
      </c>
      <c r="H31" s="110"/>
      <c r="I31" s="71" t="s">
        <v>113</v>
      </c>
      <c r="J31" s="73">
        <v>1.37E-2</v>
      </c>
      <c r="K31" s="74">
        <v>0</v>
      </c>
      <c r="L31" s="74">
        <v>0</v>
      </c>
      <c r="M31" s="74">
        <v>0</v>
      </c>
      <c r="N31" s="74">
        <v>0</v>
      </c>
      <c r="O31" s="75">
        <v>0</v>
      </c>
      <c r="P31" s="74">
        <f>SUM(J31:N31)</f>
        <v>1.37E-2</v>
      </c>
      <c r="Q31" s="76">
        <v>560104</v>
      </c>
      <c r="R31" s="71">
        <v>-14661</v>
      </c>
      <c r="S31" s="110" t="s">
        <v>451</v>
      </c>
      <c r="T31" s="125">
        <f>+R31*J31</f>
        <v>-200.85570000000001</v>
      </c>
      <c r="U31" s="77"/>
      <c r="V31" s="159" t="s">
        <v>455</v>
      </c>
      <c r="W31" s="42"/>
      <c r="X31" s="78"/>
      <c r="Y31" s="78"/>
    </row>
    <row r="32" spans="2:25" s="79" customFormat="1" x14ac:dyDescent="0.2">
      <c r="B32" s="42" t="s">
        <v>184</v>
      </c>
      <c r="C32" s="71" t="s">
        <v>54</v>
      </c>
      <c r="D32" s="71" t="s">
        <v>48</v>
      </c>
      <c r="E32" s="72">
        <v>36617</v>
      </c>
      <c r="F32" s="72">
        <v>37711</v>
      </c>
      <c r="G32" s="42" t="s">
        <v>312</v>
      </c>
      <c r="H32" s="110"/>
      <c r="I32" s="71" t="s">
        <v>112</v>
      </c>
      <c r="J32" s="73">
        <f t="shared" ref="J32:J37" si="1">5.5901/$J$1</f>
        <v>0.18633666666666665</v>
      </c>
      <c r="K32" s="74"/>
      <c r="L32" s="74"/>
      <c r="M32" s="74"/>
      <c r="N32" s="74"/>
      <c r="O32" s="75"/>
      <c r="P32" s="74"/>
      <c r="Q32" s="76" t="s">
        <v>315</v>
      </c>
      <c r="R32" s="71">
        <v>15</v>
      </c>
      <c r="S32" s="42" t="s">
        <v>454</v>
      </c>
      <c r="T32" s="125">
        <f t="shared" ref="T32:T37" si="2">+R32*J32*$J$1</f>
        <v>83.851499999999987</v>
      </c>
      <c r="U32" s="77"/>
      <c r="V32" s="94">
        <v>231285</v>
      </c>
      <c r="W32" s="42"/>
      <c r="X32" s="78"/>
      <c r="Y32" s="78"/>
    </row>
    <row r="33" spans="2:25" s="79" customFormat="1" x14ac:dyDescent="0.2">
      <c r="B33" s="42" t="s">
        <v>184</v>
      </c>
      <c r="C33" s="71" t="s">
        <v>54</v>
      </c>
      <c r="D33" s="71" t="s">
        <v>48</v>
      </c>
      <c r="E33" s="72">
        <v>36617</v>
      </c>
      <c r="F33" s="72">
        <v>37711</v>
      </c>
      <c r="G33" s="42" t="s">
        <v>313</v>
      </c>
      <c r="H33" s="110"/>
      <c r="I33" s="71" t="s">
        <v>112</v>
      </c>
      <c r="J33" s="73">
        <f t="shared" si="1"/>
        <v>0.18633666666666665</v>
      </c>
      <c r="K33" s="74"/>
      <c r="L33" s="74"/>
      <c r="M33" s="74"/>
      <c r="N33" s="74"/>
      <c r="O33" s="75"/>
      <c r="P33" s="74"/>
      <c r="Q33" s="76" t="s">
        <v>315</v>
      </c>
      <c r="R33" s="71">
        <v>41</v>
      </c>
      <c r="S33" s="42" t="s">
        <v>454</v>
      </c>
      <c r="T33" s="125">
        <f t="shared" si="2"/>
        <v>229.19409999999999</v>
      </c>
      <c r="U33" s="77"/>
      <c r="V33" s="94">
        <v>231285</v>
      </c>
      <c r="W33" s="42"/>
      <c r="X33" s="78"/>
      <c r="Y33" s="78"/>
    </row>
    <row r="34" spans="2:25" s="79" customFormat="1" x14ac:dyDescent="0.2">
      <c r="B34" s="42" t="s">
        <v>184</v>
      </c>
      <c r="C34" s="71" t="s">
        <v>54</v>
      </c>
      <c r="D34" s="71" t="s">
        <v>48</v>
      </c>
      <c r="E34" s="72">
        <v>36617</v>
      </c>
      <c r="F34" s="72">
        <v>37711</v>
      </c>
      <c r="G34" s="42" t="s">
        <v>314</v>
      </c>
      <c r="H34" s="110"/>
      <c r="I34" s="71" t="s">
        <v>112</v>
      </c>
      <c r="J34" s="73">
        <f t="shared" si="1"/>
        <v>0.18633666666666665</v>
      </c>
      <c r="K34" s="74"/>
      <c r="L34" s="74"/>
      <c r="M34" s="74"/>
      <c r="N34" s="74"/>
      <c r="O34" s="75"/>
      <c r="P34" s="74"/>
      <c r="Q34" s="76" t="s">
        <v>315</v>
      </c>
      <c r="R34" s="71">
        <v>11</v>
      </c>
      <c r="S34" s="42" t="s">
        <v>454</v>
      </c>
      <c r="T34" s="125">
        <f t="shared" si="2"/>
        <v>61.491099999999989</v>
      </c>
      <c r="U34" s="77"/>
      <c r="V34" s="94">
        <v>231285</v>
      </c>
      <c r="W34" s="42"/>
      <c r="X34" s="78"/>
      <c r="Y34" s="78"/>
    </row>
    <row r="35" spans="2:25" s="79" customFormat="1" x14ac:dyDescent="0.2">
      <c r="B35" s="42" t="s">
        <v>184</v>
      </c>
      <c r="C35" s="71" t="s">
        <v>54</v>
      </c>
      <c r="D35" s="71" t="s">
        <v>452</v>
      </c>
      <c r="E35" s="72">
        <v>36678</v>
      </c>
      <c r="F35" s="72">
        <v>37711</v>
      </c>
      <c r="G35" s="42" t="s">
        <v>312</v>
      </c>
      <c r="H35" s="110"/>
      <c r="I35" s="71" t="s">
        <v>112</v>
      </c>
      <c r="J35" s="73">
        <f t="shared" si="1"/>
        <v>0.18633666666666665</v>
      </c>
      <c r="K35" s="74"/>
      <c r="L35" s="74"/>
      <c r="M35" s="74"/>
      <c r="N35" s="74"/>
      <c r="O35" s="75"/>
      <c r="P35" s="74"/>
      <c r="Q35" s="76" t="s">
        <v>315</v>
      </c>
      <c r="R35" s="71">
        <v>-15</v>
      </c>
      <c r="S35" s="110" t="s">
        <v>453</v>
      </c>
      <c r="T35" s="125">
        <f t="shared" si="2"/>
        <v>-83.851499999999987</v>
      </c>
      <c r="U35" s="77"/>
      <c r="V35" s="94">
        <v>286304</v>
      </c>
      <c r="W35" s="42"/>
      <c r="X35" s="78"/>
      <c r="Y35" s="78"/>
    </row>
    <row r="36" spans="2:25" s="79" customFormat="1" x14ac:dyDescent="0.2">
      <c r="B36" s="42" t="s">
        <v>184</v>
      </c>
      <c r="C36" s="71" t="s">
        <v>54</v>
      </c>
      <c r="D36" s="71" t="s">
        <v>452</v>
      </c>
      <c r="E36" s="72">
        <v>36678</v>
      </c>
      <c r="F36" s="72">
        <v>37711</v>
      </c>
      <c r="G36" s="42" t="s">
        <v>313</v>
      </c>
      <c r="H36" s="110"/>
      <c r="I36" s="71" t="s">
        <v>112</v>
      </c>
      <c r="J36" s="73">
        <f t="shared" si="1"/>
        <v>0.18633666666666665</v>
      </c>
      <c r="K36" s="74"/>
      <c r="L36" s="74"/>
      <c r="M36" s="74"/>
      <c r="N36" s="74"/>
      <c r="O36" s="75"/>
      <c r="P36" s="74"/>
      <c r="Q36" s="76" t="s">
        <v>315</v>
      </c>
      <c r="R36" s="71">
        <v>-41</v>
      </c>
      <c r="S36" s="110" t="s">
        <v>453</v>
      </c>
      <c r="T36" s="125">
        <f t="shared" si="2"/>
        <v>-229.19409999999999</v>
      </c>
      <c r="U36" s="77"/>
      <c r="V36" s="94">
        <v>286304</v>
      </c>
      <c r="W36" s="42"/>
      <c r="X36" s="78"/>
      <c r="Y36" s="78"/>
    </row>
    <row r="37" spans="2:25" s="79" customFormat="1" x14ac:dyDescent="0.2">
      <c r="B37" s="42" t="s">
        <v>184</v>
      </c>
      <c r="C37" s="71" t="s">
        <v>54</v>
      </c>
      <c r="D37" s="71" t="s">
        <v>452</v>
      </c>
      <c r="E37" s="72">
        <v>36678</v>
      </c>
      <c r="F37" s="72">
        <v>37711</v>
      </c>
      <c r="G37" s="42" t="s">
        <v>314</v>
      </c>
      <c r="H37" s="110"/>
      <c r="I37" s="71" t="s">
        <v>112</v>
      </c>
      <c r="J37" s="73">
        <f t="shared" si="1"/>
        <v>0.18633666666666665</v>
      </c>
      <c r="K37" s="74"/>
      <c r="L37" s="74"/>
      <c r="M37" s="74"/>
      <c r="N37" s="74"/>
      <c r="O37" s="75"/>
      <c r="P37" s="74"/>
      <c r="Q37" s="76" t="s">
        <v>315</v>
      </c>
      <c r="R37" s="71">
        <v>-11</v>
      </c>
      <c r="S37" s="110" t="s">
        <v>453</v>
      </c>
      <c r="T37" s="125">
        <f t="shared" si="2"/>
        <v>-61.491099999999989</v>
      </c>
      <c r="U37" s="77"/>
      <c r="V37" s="94">
        <v>286304</v>
      </c>
      <c r="W37" s="42"/>
      <c r="X37" s="78"/>
      <c r="Y37" s="78"/>
    </row>
    <row r="38" spans="2:25" s="79" customFormat="1" x14ac:dyDescent="0.2">
      <c r="B38" s="42" t="s">
        <v>184</v>
      </c>
      <c r="C38" s="71" t="s">
        <v>54</v>
      </c>
      <c r="D38" s="71" t="s">
        <v>125</v>
      </c>
      <c r="E38" s="72">
        <v>36678</v>
      </c>
      <c r="F38" s="72">
        <v>36707</v>
      </c>
      <c r="G38" s="93">
        <v>10001</v>
      </c>
      <c r="H38" s="93">
        <v>10001</v>
      </c>
      <c r="I38" s="71" t="s">
        <v>113</v>
      </c>
      <c r="J38" s="73">
        <v>1.37E-2</v>
      </c>
      <c r="K38" s="74"/>
      <c r="L38" s="74"/>
      <c r="M38" s="74"/>
      <c r="N38" s="74"/>
      <c r="O38" s="75"/>
      <c r="P38" s="74"/>
      <c r="Q38" s="76">
        <v>530669</v>
      </c>
      <c r="R38" s="71">
        <v>13471</v>
      </c>
      <c r="S38" s="42" t="s">
        <v>407</v>
      </c>
      <c r="T38" s="77">
        <f>J38*1*R38</f>
        <v>184.55270000000002</v>
      </c>
      <c r="U38" s="77"/>
      <c r="V38" s="94">
        <v>276543</v>
      </c>
      <c r="W38" s="42"/>
      <c r="X38" s="78"/>
      <c r="Y38" s="78"/>
    </row>
    <row r="39" spans="2:25" s="79" customFormat="1" x14ac:dyDescent="0.2">
      <c r="B39" s="42" t="s">
        <v>184</v>
      </c>
      <c r="C39" s="71" t="s">
        <v>54</v>
      </c>
      <c r="D39" s="71" t="s">
        <v>125</v>
      </c>
      <c r="E39" s="72">
        <v>36678</v>
      </c>
      <c r="F39" s="72">
        <v>36707</v>
      </c>
      <c r="G39" s="93">
        <v>10001</v>
      </c>
      <c r="H39" s="93">
        <v>10001</v>
      </c>
      <c r="I39" s="71" t="s">
        <v>113</v>
      </c>
      <c r="J39" s="73">
        <v>1.8372999999999999</v>
      </c>
      <c r="K39" s="74"/>
      <c r="L39" s="74"/>
      <c r="M39" s="74"/>
      <c r="N39" s="74"/>
      <c r="O39" s="75"/>
      <c r="P39" s="74"/>
      <c r="Q39" s="76">
        <v>530669</v>
      </c>
      <c r="R39" s="71">
        <v>220</v>
      </c>
      <c r="S39" s="42" t="s">
        <v>407</v>
      </c>
      <c r="T39" s="77">
        <f>J39*1*R39</f>
        <v>404.20599999999996</v>
      </c>
      <c r="U39" s="77"/>
      <c r="V39" s="94">
        <v>276543</v>
      </c>
      <c r="W39" s="42"/>
      <c r="X39" s="78"/>
      <c r="Y39" s="78"/>
    </row>
    <row r="40" spans="2:25" x14ac:dyDescent="0.2">
      <c r="B40" s="10" t="s">
        <v>31</v>
      </c>
      <c r="C40" s="11" t="s">
        <v>31</v>
      </c>
      <c r="D40" s="12" t="s">
        <v>31</v>
      </c>
      <c r="E40" s="13" t="s">
        <v>31</v>
      </c>
      <c r="F40" s="13"/>
      <c r="G40" s="10" t="s">
        <v>31</v>
      </c>
      <c r="H40" s="30" t="s">
        <v>31</v>
      </c>
      <c r="I40" s="11" t="s">
        <v>31</v>
      </c>
      <c r="J40" s="14"/>
      <c r="K40" s="15"/>
      <c r="L40" s="15"/>
      <c r="M40" s="15"/>
      <c r="N40" s="15"/>
      <c r="O40" s="45"/>
      <c r="P40" s="15"/>
      <c r="Q40" s="26" t="s">
        <v>31</v>
      </c>
      <c r="R40" s="11">
        <f>SUM(R28:R37)</f>
        <v>0</v>
      </c>
      <c r="S40" s="10" t="s">
        <v>31</v>
      </c>
      <c r="T40" s="22">
        <f>SUM(T28:T39)</f>
        <v>588.75869999999998</v>
      </c>
      <c r="U40" s="22">
        <f>SUM(U28:U37)</f>
        <v>0</v>
      </c>
      <c r="V40" s="55"/>
      <c r="W40" s="10"/>
      <c r="X40" s="36"/>
      <c r="Y40" s="36"/>
    </row>
    <row r="41" spans="2:25" x14ac:dyDescent="0.2">
      <c r="B41" s="16" t="s">
        <v>32</v>
      </c>
      <c r="C41" s="17" t="s">
        <v>33</v>
      </c>
      <c r="D41" s="17" t="s">
        <v>34</v>
      </c>
      <c r="E41" s="18" t="s">
        <v>35</v>
      </c>
      <c r="F41" s="18"/>
      <c r="G41" s="16" t="s">
        <v>36</v>
      </c>
      <c r="H41" s="16" t="s">
        <v>37</v>
      </c>
      <c r="I41" s="17" t="s">
        <v>77</v>
      </c>
      <c r="J41" s="19" t="s">
        <v>38</v>
      </c>
      <c r="K41" s="17" t="s">
        <v>39</v>
      </c>
      <c r="L41" s="17" t="s">
        <v>40</v>
      </c>
      <c r="M41" s="17" t="s">
        <v>41</v>
      </c>
      <c r="N41" s="17" t="s">
        <v>42</v>
      </c>
      <c r="O41" s="44" t="s">
        <v>43</v>
      </c>
      <c r="P41" s="17" t="s">
        <v>44</v>
      </c>
      <c r="Q41" s="20" t="s">
        <v>182</v>
      </c>
      <c r="R41" s="17" t="s">
        <v>45</v>
      </c>
      <c r="S41" s="16" t="s">
        <v>46</v>
      </c>
      <c r="T41" s="21" t="s">
        <v>76</v>
      </c>
      <c r="U41" s="21" t="s">
        <v>75</v>
      </c>
      <c r="V41" s="54" t="s">
        <v>183</v>
      </c>
      <c r="W41" s="59" t="str">
        <f>+W27</f>
        <v>Questions</v>
      </c>
      <c r="X41" s="36"/>
      <c r="Y41" s="36"/>
    </row>
    <row r="42" spans="2:25" s="123" customFormat="1" x14ac:dyDescent="0.2">
      <c r="B42" s="113" t="s">
        <v>184</v>
      </c>
      <c r="C42" s="114" t="s">
        <v>72</v>
      </c>
      <c r="D42" s="114" t="s">
        <v>85</v>
      </c>
      <c r="E42" s="115">
        <v>36617</v>
      </c>
      <c r="F42" s="115">
        <v>36830</v>
      </c>
      <c r="G42" s="113" t="s">
        <v>86</v>
      </c>
      <c r="H42" s="113" t="s">
        <v>88</v>
      </c>
      <c r="I42" s="114" t="s">
        <v>87</v>
      </c>
      <c r="J42" s="116">
        <f>6.238/J1</f>
        <v>0.20793333333333336</v>
      </c>
      <c r="K42" s="117">
        <v>0</v>
      </c>
      <c r="L42" s="117">
        <v>0</v>
      </c>
      <c r="M42" s="117">
        <v>0</v>
      </c>
      <c r="N42" s="117">
        <v>0</v>
      </c>
      <c r="O42" s="118">
        <v>0</v>
      </c>
      <c r="P42" s="117">
        <f t="shared" ref="P42:P72" si="3">SUM(J42:N42)</f>
        <v>0.20793333333333336</v>
      </c>
      <c r="Q42" s="119">
        <v>51407</v>
      </c>
      <c r="R42" s="114">
        <v>73754</v>
      </c>
      <c r="S42" s="113" t="s">
        <v>363</v>
      </c>
      <c r="T42" s="120"/>
      <c r="U42" s="120"/>
      <c r="V42" s="121">
        <v>156569</v>
      </c>
      <c r="W42" s="113"/>
      <c r="X42" s="122"/>
      <c r="Y42" s="122"/>
    </row>
    <row r="43" spans="2:25" s="123" customFormat="1" x14ac:dyDescent="0.2">
      <c r="B43" s="113" t="s">
        <v>184</v>
      </c>
      <c r="C43" s="114" t="s">
        <v>72</v>
      </c>
      <c r="D43" s="114" t="s">
        <v>85</v>
      </c>
      <c r="E43" s="115">
        <v>36617</v>
      </c>
      <c r="F43" s="115">
        <v>36830</v>
      </c>
      <c r="G43" s="113" t="s">
        <v>86</v>
      </c>
      <c r="H43" s="113" t="s">
        <v>89</v>
      </c>
      <c r="I43" s="114" t="s">
        <v>87</v>
      </c>
      <c r="J43" s="116">
        <f>1.512/J1</f>
        <v>5.04E-2</v>
      </c>
      <c r="K43" s="117">
        <v>0</v>
      </c>
      <c r="L43" s="117">
        <v>0</v>
      </c>
      <c r="M43" s="117">
        <v>0</v>
      </c>
      <c r="N43" s="117">
        <v>0</v>
      </c>
      <c r="O43" s="118">
        <v>0</v>
      </c>
      <c r="P43" s="117">
        <f t="shared" si="3"/>
        <v>5.04E-2</v>
      </c>
      <c r="Q43" s="119">
        <v>51407</v>
      </c>
      <c r="R43" s="114">
        <v>73754</v>
      </c>
      <c r="S43" s="113" t="s">
        <v>363</v>
      </c>
      <c r="T43" s="120"/>
      <c r="U43" s="120"/>
      <c r="V43" s="121">
        <v>156569</v>
      </c>
      <c r="W43" s="113"/>
      <c r="X43" s="122"/>
      <c r="Y43" s="122"/>
    </row>
    <row r="44" spans="2:25" s="79" customFormat="1" x14ac:dyDescent="0.2">
      <c r="B44" s="42" t="s">
        <v>184</v>
      </c>
      <c r="C44" s="71" t="s">
        <v>72</v>
      </c>
      <c r="D44" s="71"/>
      <c r="E44" s="72">
        <v>36100</v>
      </c>
      <c r="F44" s="72">
        <v>36830</v>
      </c>
      <c r="G44" s="110" t="s">
        <v>116</v>
      </c>
      <c r="H44" s="42" t="s">
        <v>117</v>
      </c>
      <c r="I44" s="71" t="s">
        <v>81</v>
      </c>
      <c r="J44" s="73">
        <f t="shared" ref="J44:J49" si="4">4.56/J$1</f>
        <v>0.152</v>
      </c>
      <c r="K44" s="74">
        <v>1.32E-2</v>
      </c>
      <c r="L44" s="74">
        <v>2.2000000000000001E-3</v>
      </c>
      <c r="M44" s="74">
        <v>7.1999999999999998E-3</v>
      </c>
      <c r="N44" s="74">
        <v>0</v>
      </c>
      <c r="O44" s="75">
        <v>2.1160000000000002E-2</v>
      </c>
      <c r="P44" s="74">
        <f t="shared" si="3"/>
        <v>0.17460000000000001</v>
      </c>
      <c r="Q44" s="76">
        <v>61822</v>
      </c>
      <c r="R44" s="71">
        <v>4000</v>
      </c>
      <c r="S44" s="42" t="s">
        <v>118</v>
      </c>
      <c r="T44" s="77">
        <f t="shared" ref="T44:T50" si="5">J44*J$1*R44</f>
        <v>18240</v>
      </c>
      <c r="U44" s="77">
        <v>18240</v>
      </c>
      <c r="V44" s="94">
        <v>162284</v>
      </c>
      <c r="W44" s="42"/>
      <c r="X44" s="78"/>
      <c r="Y44" s="78"/>
    </row>
    <row r="45" spans="2:25" s="79" customFormat="1" x14ac:dyDescent="0.2">
      <c r="B45" s="42" t="s">
        <v>184</v>
      </c>
      <c r="C45" s="71" t="s">
        <v>72</v>
      </c>
      <c r="D45" s="71" t="s">
        <v>63</v>
      </c>
      <c r="E45" s="72">
        <v>36526</v>
      </c>
      <c r="F45" s="72">
        <v>36830</v>
      </c>
      <c r="G45" s="42" t="s">
        <v>119</v>
      </c>
      <c r="H45" s="42" t="s">
        <v>168</v>
      </c>
      <c r="I45" s="71" t="s">
        <v>81</v>
      </c>
      <c r="J45" s="73">
        <f t="shared" si="4"/>
        <v>0.152</v>
      </c>
      <c r="K45" s="74">
        <v>1.32E-2</v>
      </c>
      <c r="L45" s="74">
        <v>2.2000000000000001E-3</v>
      </c>
      <c r="M45" s="74">
        <v>7.4999999999999997E-3</v>
      </c>
      <c r="N45" s="74">
        <v>0</v>
      </c>
      <c r="O45" s="75">
        <v>2.1160000000000002E-2</v>
      </c>
      <c r="P45" s="74">
        <f>SUM(J45:N45)</f>
        <v>0.1749</v>
      </c>
      <c r="Q45" s="76">
        <v>61825</v>
      </c>
      <c r="R45" s="71">
        <v>2000</v>
      </c>
      <c r="S45" s="110" t="s">
        <v>166</v>
      </c>
      <c r="T45" s="77">
        <f t="shared" si="5"/>
        <v>9120</v>
      </c>
      <c r="U45" s="77">
        <v>9120</v>
      </c>
      <c r="V45" s="94">
        <v>156570</v>
      </c>
      <c r="W45" s="77"/>
      <c r="X45" s="78"/>
      <c r="Y45" s="78"/>
    </row>
    <row r="46" spans="2:25" s="79" customFormat="1" x14ac:dyDescent="0.2">
      <c r="B46" s="42" t="s">
        <v>184</v>
      </c>
      <c r="C46" s="71" t="s">
        <v>72</v>
      </c>
      <c r="D46" s="71" t="s">
        <v>63</v>
      </c>
      <c r="E46" s="72">
        <v>36526</v>
      </c>
      <c r="F46" s="72">
        <v>36830</v>
      </c>
      <c r="G46" s="42" t="s">
        <v>122</v>
      </c>
      <c r="H46" s="42" t="s">
        <v>168</v>
      </c>
      <c r="I46" s="71" t="s">
        <v>81</v>
      </c>
      <c r="J46" s="73">
        <f t="shared" si="4"/>
        <v>0.152</v>
      </c>
      <c r="K46" s="74">
        <v>1.32E-2</v>
      </c>
      <c r="L46" s="74">
        <v>2.2000000000000001E-3</v>
      </c>
      <c r="M46" s="74">
        <v>7.4999999999999997E-3</v>
      </c>
      <c r="N46" s="74">
        <v>0</v>
      </c>
      <c r="O46" s="75">
        <v>2.1160000000000002E-2</v>
      </c>
      <c r="P46" s="74">
        <f>SUM(J46:N46)</f>
        <v>0.1749</v>
      </c>
      <c r="Q46" s="76">
        <v>61825</v>
      </c>
      <c r="R46" s="71">
        <v>5000</v>
      </c>
      <c r="S46" s="110" t="s">
        <v>166</v>
      </c>
      <c r="T46" s="77">
        <f t="shared" si="5"/>
        <v>22799.999999999996</v>
      </c>
      <c r="U46" s="77">
        <v>22800</v>
      </c>
      <c r="V46" s="94">
        <v>156570</v>
      </c>
      <c r="W46" s="77"/>
      <c r="X46" s="78"/>
      <c r="Y46" s="78"/>
    </row>
    <row r="47" spans="2:25" s="79" customFormat="1" x14ac:dyDescent="0.2">
      <c r="B47" s="42" t="s">
        <v>184</v>
      </c>
      <c r="C47" s="71" t="s">
        <v>72</v>
      </c>
      <c r="D47" s="71" t="s">
        <v>63</v>
      </c>
      <c r="E47" s="72">
        <v>36526</v>
      </c>
      <c r="F47" s="72">
        <v>36830</v>
      </c>
      <c r="G47" s="42" t="s">
        <v>167</v>
      </c>
      <c r="H47" s="42" t="s">
        <v>168</v>
      </c>
      <c r="I47" s="71" t="s">
        <v>81</v>
      </c>
      <c r="J47" s="73">
        <f t="shared" si="4"/>
        <v>0.152</v>
      </c>
      <c r="K47" s="74">
        <v>1.32E-2</v>
      </c>
      <c r="L47" s="74">
        <v>2.2000000000000001E-3</v>
      </c>
      <c r="M47" s="74">
        <v>7.4999999999999997E-3</v>
      </c>
      <c r="N47" s="74">
        <v>0</v>
      </c>
      <c r="O47" s="75">
        <v>2.1160000000000002E-2</v>
      </c>
      <c r="P47" s="74">
        <f>SUM(J47:N47)</f>
        <v>0.1749</v>
      </c>
      <c r="Q47" s="76">
        <v>61825</v>
      </c>
      <c r="R47" s="71">
        <v>1000</v>
      </c>
      <c r="S47" s="110" t="s">
        <v>166</v>
      </c>
      <c r="T47" s="77">
        <f t="shared" si="5"/>
        <v>4560</v>
      </c>
      <c r="U47" s="77">
        <v>4560</v>
      </c>
      <c r="V47" s="94">
        <v>156570</v>
      </c>
      <c r="W47" s="77"/>
      <c r="X47" s="78"/>
      <c r="Y47" s="78"/>
    </row>
    <row r="48" spans="2:25" s="79" customFormat="1" x14ac:dyDescent="0.2">
      <c r="B48" s="42" t="s">
        <v>184</v>
      </c>
      <c r="C48" s="71" t="s">
        <v>72</v>
      </c>
      <c r="D48" s="71"/>
      <c r="E48" s="72">
        <v>36100</v>
      </c>
      <c r="F48" s="72">
        <v>36830</v>
      </c>
      <c r="G48" s="42" t="s">
        <v>119</v>
      </c>
      <c r="H48" s="110" t="s">
        <v>120</v>
      </c>
      <c r="I48" s="71" t="s">
        <v>81</v>
      </c>
      <c r="J48" s="73">
        <f t="shared" si="4"/>
        <v>0.152</v>
      </c>
      <c r="K48" s="74">
        <v>1.32E-2</v>
      </c>
      <c r="L48" s="74">
        <v>2.2000000000000001E-3</v>
      </c>
      <c r="M48" s="74">
        <v>7.1999999999999998E-3</v>
      </c>
      <c r="N48" s="74">
        <v>0</v>
      </c>
      <c r="O48" s="75">
        <v>2.1160000000000002E-2</v>
      </c>
      <c r="P48" s="74">
        <f t="shared" si="3"/>
        <v>0.17460000000000001</v>
      </c>
      <c r="Q48" s="76">
        <v>61838</v>
      </c>
      <c r="R48" s="71">
        <v>1000</v>
      </c>
      <c r="S48" s="42" t="s">
        <v>121</v>
      </c>
      <c r="T48" s="77">
        <f t="shared" si="5"/>
        <v>4560</v>
      </c>
      <c r="U48" s="77">
        <v>4560</v>
      </c>
      <c r="V48" s="94">
        <v>156571</v>
      </c>
      <c r="W48" s="42"/>
      <c r="X48" s="78"/>
      <c r="Y48" s="78"/>
    </row>
    <row r="49" spans="2:25" s="79" customFormat="1" x14ac:dyDescent="0.2">
      <c r="B49" s="42" t="s">
        <v>184</v>
      </c>
      <c r="C49" s="71" t="s">
        <v>72</v>
      </c>
      <c r="D49" s="71" t="s">
        <v>63</v>
      </c>
      <c r="E49" s="72">
        <v>36526</v>
      </c>
      <c r="F49" s="72">
        <v>36830</v>
      </c>
      <c r="G49" s="42" t="s">
        <v>119</v>
      </c>
      <c r="H49" s="42" t="s">
        <v>170</v>
      </c>
      <c r="I49" s="71" t="s">
        <v>81</v>
      </c>
      <c r="J49" s="73">
        <f t="shared" si="4"/>
        <v>0.152</v>
      </c>
      <c r="K49" s="74">
        <v>1.32E-2</v>
      </c>
      <c r="L49" s="74">
        <v>2.2000000000000001E-3</v>
      </c>
      <c r="M49" s="74">
        <v>7.4999999999999997E-3</v>
      </c>
      <c r="N49" s="74">
        <v>0</v>
      </c>
      <c r="O49" s="75">
        <v>2.1160000000000002E-2</v>
      </c>
      <c r="P49" s="74">
        <f>SUM(J49:N49)</f>
        <v>0.1749</v>
      </c>
      <c r="Q49" s="76">
        <v>61990</v>
      </c>
      <c r="R49" s="71">
        <v>2000</v>
      </c>
      <c r="S49" s="110" t="s">
        <v>169</v>
      </c>
      <c r="T49" s="77">
        <f t="shared" si="5"/>
        <v>9120</v>
      </c>
      <c r="U49" s="77">
        <v>9120</v>
      </c>
      <c r="V49" s="94">
        <v>156573</v>
      </c>
      <c r="W49" s="77"/>
      <c r="X49" s="78"/>
      <c r="Y49" s="78"/>
    </row>
    <row r="50" spans="2:25" s="79" customFormat="1" x14ac:dyDescent="0.2">
      <c r="B50" s="42" t="s">
        <v>184</v>
      </c>
      <c r="C50" s="71" t="s">
        <v>72</v>
      </c>
      <c r="D50" s="71" t="s">
        <v>63</v>
      </c>
      <c r="E50" s="72">
        <v>36465</v>
      </c>
      <c r="F50" s="72">
        <v>36891</v>
      </c>
      <c r="G50" s="42"/>
      <c r="H50" s="42" t="s">
        <v>471</v>
      </c>
      <c r="I50" s="71" t="s">
        <v>81</v>
      </c>
      <c r="J50" s="73">
        <f>3.0417/30.417</f>
        <v>9.9999999999999992E-2</v>
      </c>
      <c r="K50" s="74">
        <v>1.32E-2</v>
      </c>
      <c r="L50" s="74">
        <v>2.2000000000000001E-3</v>
      </c>
      <c r="M50" s="74">
        <v>7.4999999999999997E-3</v>
      </c>
      <c r="N50" s="74">
        <v>0</v>
      </c>
      <c r="O50" s="75">
        <v>2.1160000000000002E-2</v>
      </c>
      <c r="P50" s="74">
        <f>SUM(J50:N50)</f>
        <v>0.12289999999999998</v>
      </c>
      <c r="Q50" s="76">
        <v>62164</v>
      </c>
      <c r="R50" s="169">
        <v>2000</v>
      </c>
      <c r="S50" s="110" t="s">
        <v>261</v>
      </c>
      <c r="T50" s="77">
        <f t="shared" si="5"/>
        <v>5999.9999999999991</v>
      </c>
      <c r="U50" s="94">
        <v>6083</v>
      </c>
      <c r="V50" s="78" t="s">
        <v>262</v>
      </c>
      <c r="W50" s="78"/>
    </row>
    <row r="51" spans="2:25" s="79" customFormat="1" x14ac:dyDescent="0.2">
      <c r="B51" s="42" t="s">
        <v>184</v>
      </c>
      <c r="C51" s="71" t="s">
        <v>72</v>
      </c>
      <c r="D51" s="71" t="s">
        <v>85</v>
      </c>
      <c r="E51" s="72">
        <v>36617</v>
      </c>
      <c r="F51" s="72">
        <v>36799</v>
      </c>
      <c r="G51" s="42" t="s">
        <v>86</v>
      </c>
      <c r="H51" s="42" t="s">
        <v>108</v>
      </c>
      <c r="I51" s="71" t="s">
        <v>107</v>
      </c>
      <c r="J51" s="73">
        <f>6.029/J$1</f>
        <v>0.20096666666666665</v>
      </c>
      <c r="K51" s="74">
        <v>1.2999999999999999E-2</v>
      </c>
      <c r="L51" s="74">
        <v>2.2000000000000001E-3</v>
      </c>
      <c r="M51" s="74">
        <v>7.1999999999999998E-3</v>
      </c>
      <c r="N51" s="74">
        <v>0</v>
      </c>
      <c r="O51" s="75">
        <v>2.1160000000000002E-2</v>
      </c>
      <c r="P51" s="74">
        <f t="shared" si="3"/>
        <v>0.22336666666666669</v>
      </c>
      <c r="Q51" s="76">
        <v>67693</v>
      </c>
      <c r="R51" s="71">
        <v>54327</v>
      </c>
      <c r="S51" s="42" t="s">
        <v>353</v>
      </c>
      <c r="T51" s="77">
        <f>J51*J$1*R51</f>
        <v>327537.48300000001</v>
      </c>
      <c r="U51" s="77">
        <v>327537</v>
      </c>
      <c r="V51" s="94">
        <v>231378</v>
      </c>
      <c r="W51" s="42"/>
      <c r="X51" s="78"/>
      <c r="Y51" s="78"/>
    </row>
    <row r="52" spans="2:25" s="79" customFormat="1" x14ac:dyDescent="0.2">
      <c r="B52" s="42" t="s">
        <v>184</v>
      </c>
      <c r="C52" s="71" t="s">
        <v>72</v>
      </c>
      <c r="D52" s="71" t="s">
        <v>85</v>
      </c>
      <c r="E52" s="72">
        <v>36678</v>
      </c>
      <c r="F52" s="72">
        <v>36707</v>
      </c>
      <c r="G52" s="42" t="s">
        <v>86</v>
      </c>
      <c r="H52" s="42" t="s">
        <v>414</v>
      </c>
      <c r="I52" s="71" t="s">
        <v>107</v>
      </c>
      <c r="J52" s="73">
        <v>0</v>
      </c>
      <c r="K52" s="74">
        <v>1.2999999999999999E-2</v>
      </c>
      <c r="L52" s="74">
        <v>2.2000000000000001E-3</v>
      </c>
      <c r="M52" s="74">
        <v>7.1999999999999998E-3</v>
      </c>
      <c r="N52" s="74">
        <v>0</v>
      </c>
      <c r="O52" s="75">
        <v>2.1160000000000002E-2</v>
      </c>
      <c r="P52" s="74">
        <f>SUM(J52:N52)</f>
        <v>2.24E-2</v>
      </c>
      <c r="Q52" s="76">
        <v>67693</v>
      </c>
      <c r="R52" s="71">
        <v>-15000</v>
      </c>
      <c r="S52" s="42" t="s">
        <v>472</v>
      </c>
      <c r="T52" s="77">
        <f>J52*J$1*R52</f>
        <v>0</v>
      </c>
      <c r="U52" s="77">
        <v>0</v>
      </c>
      <c r="V52" s="94"/>
      <c r="W52" s="42"/>
      <c r="X52" s="78"/>
      <c r="Y52" s="78"/>
    </row>
    <row r="53" spans="2:25" s="79" customFormat="1" x14ac:dyDescent="0.2">
      <c r="B53" s="42" t="s">
        <v>184</v>
      </c>
      <c r="C53" s="71" t="s">
        <v>72</v>
      </c>
      <c r="D53" s="71" t="s">
        <v>85</v>
      </c>
      <c r="E53" s="72">
        <v>36678</v>
      </c>
      <c r="F53" s="72">
        <v>36707</v>
      </c>
      <c r="G53" s="42" t="s">
        <v>86</v>
      </c>
      <c r="H53" s="42" t="s">
        <v>441</v>
      </c>
      <c r="I53" s="71" t="s">
        <v>107</v>
      </c>
      <c r="J53" s="73">
        <v>0</v>
      </c>
      <c r="K53" s="74">
        <v>1.2999999999999999E-2</v>
      </c>
      <c r="L53" s="74">
        <v>2.2000000000000001E-3</v>
      </c>
      <c r="M53" s="74">
        <v>7.1999999999999998E-3</v>
      </c>
      <c r="N53" s="74">
        <v>0</v>
      </c>
      <c r="O53" s="75">
        <v>2.1160000000000002E-2</v>
      </c>
      <c r="P53" s="74">
        <f>SUM(J53:N53)</f>
        <v>2.24E-2</v>
      </c>
      <c r="Q53" s="76">
        <v>67693</v>
      </c>
      <c r="R53" s="71">
        <v>-9500</v>
      </c>
      <c r="S53" s="42" t="s">
        <v>449</v>
      </c>
      <c r="T53" s="77">
        <f>J53*J$1*R53</f>
        <v>0</v>
      </c>
      <c r="U53" s="77">
        <v>0</v>
      </c>
      <c r="V53" s="94"/>
      <c r="W53" s="42"/>
      <c r="X53" s="78"/>
      <c r="Y53" s="78"/>
    </row>
    <row r="54" spans="2:25" s="79" customFormat="1" x14ac:dyDescent="0.2">
      <c r="B54" s="42" t="s">
        <v>184</v>
      </c>
      <c r="C54" s="71" t="s">
        <v>72</v>
      </c>
      <c r="D54" s="71" t="s">
        <v>85</v>
      </c>
      <c r="E54" s="72">
        <v>36617</v>
      </c>
      <c r="F54" s="72">
        <v>36981</v>
      </c>
      <c r="G54" s="42" t="s">
        <v>86</v>
      </c>
      <c r="H54" s="42" t="s">
        <v>88</v>
      </c>
      <c r="I54" s="71" t="s">
        <v>87</v>
      </c>
      <c r="J54" s="73">
        <v>2.93E-2</v>
      </c>
      <c r="K54" s="74">
        <v>0</v>
      </c>
      <c r="L54" s="74">
        <v>0</v>
      </c>
      <c r="M54" s="74">
        <v>0</v>
      </c>
      <c r="N54" s="74">
        <v>0</v>
      </c>
      <c r="O54" s="75">
        <v>0</v>
      </c>
      <c r="P54" s="74">
        <f>SUM(J54:N54)</f>
        <v>2.93E-2</v>
      </c>
      <c r="Q54" s="76">
        <v>67712</v>
      </c>
      <c r="R54" s="71">
        <v>6050607</v>
      </c>
      <c r="S54" s="42" t="s">
        <v>354</v>
      </c>
      <c r="T54" s="77">
        <f>J54*R54</f>
        <v>177282.78510000001</v>
      </c>
      <c r="U54" s="77">
        <v>177283</v>
      </c>
      <c r="V54" s="94">
        <v>235876</v>
      </c>
      <c r="W54" s="42">
        <v>231698</v>
      </c>
      <c r="X54" s="78"/>
      <c r="Y54" s="78"/>
    </row>
    <row r="55" spans="2:25" s="79" customFormat="1" x14ac:dyDescent="0.2">
      <c r="B55" s="42" t="s">
        <v>184</v>
      </c>
      <c r="C55" s="71" t="s">
        <v>72</v>
      </c>
      <c r="D55" s="71" t="s">
        <v>85</v>
      </c>
      <c r="E55" s="72">
        <v>36617</v>
      </c>
      <c r="F55" s="72">
        <v>36981</v>
      </c>
      <c r="G55" s="42" t="s">
        <v>86</v>
      </c>
      <c r="H55" s="42" t="s">
        <v>89</v>
      </c>
      <c r="I55" s="71" t="s">
        <v>87</v>
      </c>
      <c r="J55" s="73">
        <v>1.524</v>
      </c>
      <c r="K55" s="74">
        <v>0</v>
      </c>
      <c r="L55" s="74">
        <v>0</v>
      </c>
      <c r="M55" s="74">
        <v>0</v>
      </c>
      <c r="N55" s="74">
        <v>0</v>
      </c>
      <c r="O55" s="75">
        <v>0</v>
      </c>
      <c r="P55" s="74">
        <f>SUM(J55:N55)</f>
        <v>1.524</v>
      </c>
      <c r="Q55" s="76">
        <v>67712</v>
      </c>
      <c r="R55" s="71">
        <v>108648</v>
      </c>
      <c r="S55" s="42" t="s">
        <v>354</v>
      </c>
      <c r="T55" s="77">
        <f>J55*R55</f>
        <v>165579.552</v>
      </c>
      <c r="U55" s="77">
        <v>165580</v>
      </c>
      <c r="V55" s="94">
        <v>235876</v>
      </c>
      <c r="W55" s="42">
        <v>231698</v>
      </c>
      <c r="X55" s="78"/>
      <c r="Y55" s="78"/>
    </row>
    <row r="56" spans="2:25" s="79" customFormat="1" x14ac:dyDescent="0.2">
      <c r="B56" s="42" t="s">
        <v>184</v>
      </c>
      <c r="C56" s="71" t="s">
        <v>72</v>
      </c>
      <c r="D56" s="71" t="s">
        <v>85</v>
      </c>
      <c r="E56" s="72">
        <v>36617</v>
      </c>
      <c r="F56" s="72">
        <v>36981</v>
      </c>
      <c r="G56" s="42" t="s">
        <v>86</v>
      </c>
      <c r="H56" s="42" t="s">
        <v>88</v>
      </c>
      <c r="I56" s="71" t="s">
        <v>87</v>
      </c>
      <c r="J56" s="73">
        <v>0</v>
      </c>
      <c r="K56" s="74">
        <v>0</v>
      </c>
      <c r="L56" s="74">
        <v>0</v>
      </c>
      <c r="M56" s="74">
        <v>0</v>
      </c>
      <c r="N56" s="74">
        <v>0</v>
      </c>
      <c r="O56" s="75">
        <v>0</v>
      </c>
      <c r="P56" s="74">
        <f t="shared" si="3"/>
        <v>0</v>
      </c>
      <c r="Q56" s="76">
        <v>67713</v>
      </c>
      <c r="R56" s="71">
        <v>0</v>
      </c>
      <c r="S56" s="42" t="s">
        <v>473</v>
      </c>
      <c r="T56" s="77">
        <f>J56*R56</f>
        <v>0</v>
      </c>
      <c r="U56" s="77">
        <v>0</v>
      </c>
      <c r="V56" s="94">
        <v>235876</v>
      </c>
      <c r="W56" s="42"/>
      <c r="X56" s="78"/>
      <c r="Y56" s="78"/>
    </row>
    <row r="57" spans="2:25" s="79" customFormat="1" x14ac:dyDescent="0.2">
      <c r="B57" s="42" t="s">
        <v>184</v>
      </c>
      <c r="C57" s="71" t="s">
        <v>72</v>
      </c>
      <c r="D57" s="71" t="s">
        <v>85</v>
      </c>
      <c r="E57" s="72">
        <v>36617</v>
      </c>
      <c r="F57" s="72">
        <v>36981</v>
      </c>
      <c r="G57" s="42" t="s">
        <v>86</v>
      </c>
      <c r="H57" s="42" t="s">
        <v>89</v>
      </c>
      <c r="I57" s="71" t="s">
        <v>87</v>
      </c>
      <c r="J57" s="73">
        <v>0</v>
      </c>
      <c r="K57" s="74">
        <v>0</v>
      </c>
      <c r="L57" s="74">
        <v>0</v>
      </c>
      <c r="M57" s="74">
        <v>0</v>
      </c>
      <c r="N57" s="74">
        <v>0</v>
      </c>
      <c r="O57" s="75">
        <v>0</v>
      </c>
      <c r="P57" s="74">
        <f t="shared" si="3"/>
        <v>0</v>
      </c>
      <c r="Q57" s="76">
        <v>67713</v>
      </c>
      <c r="R57" s="71">
        <v>0</v>
      </c>
      <c r="S57" s="42" t="s">
        <v>473</v>
      </c>
      <c r="T57" s="77">
        <f>J57*R57</f>
        <v>0</v>
      </c>
      <c r="U57" s="77">
        <v>0</v>
      </c>
      <c r="V57" s="94">
        <v>235876</v>
      </c>
      <c r="W57" s="42"/>
      <c r="X57" s="78"/>
      <c r="Y57" s="78"/>
    </row>
    <row r="58" spans="2:25" s="79" customFormat="1" x14ac:dyDescent="0.2">
      <c r="B58" s="42" t="s">
        <v>184</v>
      </c>
      <c r="C58" s="71" t="s">
        <v>72</v>
      </c>
      <c r="D58" s="71" t="s">
        <v>79</v>
      </c>
      <c r="E58" s="72">
        <v>36678</v>
      </c>
      <c r="F58" s="72">
        <v>37042</v>
      </c>
      <c r="G58" s="42" t="s">
        <v>80</v>
      </c>
      <c r="H58" s="42" t="s">
        <v>83</v>
      </c>
      <c r="I58" s="71" t="s">
        <v>81</v>
      </c>
      <c r="J58" s="73">
        <f>6.401/J$1</f>
        <v>0.21336666666666665</v>
      </c>
      <c r="K58" s="74">
        <v>1.32E-2</v>
      </c>
      <c r="L58" s="74">
        <v>2.2000000000000001E-3</v>
      </c>
      <c r="M58" s="74">
        <v>7.1999999999999998E-3</v>
      </c>
      <c r="N58" s="74">
        <v>0</v>
      </c>
      <c r="O58" s="75">
        <v>2.1160000000000002E-2</v>
      </c>
      <c r="P58" s="74">
        <f t="shared" si="3"/>
        <v>0.23596666666666666</v>
      </c>
      <c r="Q58" s="76">
        <v>68359</v>
      </c>
      <c r="R58" s="71">
        <v>285</v>
      </c>
      <c r="S58" s="42" t="s">
        <v>411</v>
      </c>
      <c r="T58" s="77">
        <f t="shared" ref="T58:T74" si="6">J58*J$1*R58</f>
        <v>1824.2849999999999</v>
      </c>
      <c r="U58" s="77">
        <v>1824</v>
      </c>
      <c r="V58" s="94">
        <v>271307</v>
      </c>
      <c r="W58" s="42"/>
      <c r="X58" s="78"/>
      <c r="Y58" s="78"/>
    </row>
    <row r="59" spans="2:25" s="79" customFormat="1" x14ac:dyDescent="0.2">
      <c r="B59" s="42" t="s">
        <v>184</v>
      </c>
      <c r="C59" s="71" t="s">
        <v>72</v>
      </c>
      <c r="D59" s="71" t="s">
        <v>78</v>
      </c>
      <c r="E59" s="72">
        <v>36678</v>
      </c>
      <c r="F59" s="72">
        <v>37042</v>
      </c>
      <c r="G59" s="42" t="s">
        <v>80</v>
      </c>
      <c r="H59" s="42" t="s">
        <v>84</v>
      </c>
      <c r="I59" s="71" t="s">
        <v>81</v>
      </c>
      <c r="J59" s="73">
        <f>6.401/J$1</f>
        <v>0.21336666666666665</v>
      </c>
      <c r="K59" s="74">
        <v>1.32E-2</v>
      </c>
      <c r="L59" s="74">
        <v>2.2000000000000001E-3</v>
      </c>
      <c r="M59" s="74">
        <v>7.1999999999999998E-3</v>
      </c>
      <c r="N59" s="74">
        <v>0</v>
      </c>
      <c r="O59" s="75">
        <v>2.1160000000000002E-2</v>
      </c>
      <c r="P59" s="74">
        <f t="shared" si="3"/>
        <v>0.23596666666666666</v>
      </c>
      <c r="Q59" s="76">
        <v>68384</v>
      </c>
      <c r="R59" s="71">
        <v>218</v>
      </c>
      <c r="S59" s="42" t="s">
        <v>410</v>
      </c>
      <c r="T59" s="77">
        <f t="shared" si="6"/>
        <v>1395.4179999999999</v>
      </c>
      <c r="U59" s="77">
        <v>1395</v>
      </c>
      <c r="V59" s="94">
        <v>280570</v>
      </c>
      <c r="W59" s="42"/>
      <c r="X59" s="78"/>
      <c r="Y59" s="78"/>
    </row>
    <row r="60" spans="2:25" s="79" customFormat="1" x14ac:dyDescent="0.2">
      <c r="B60" s="42" t="s">
        <v>184</v>
      </c>
      <c r="C60" s="71" t="s">
        <v>72</v>
      </c>
      <c r="D60" s="71" t="s">
        <v>79</v>
      </c>
      <c r="E60" s="72">
        <v>36342</v>
      </c>
      <c r="F60" s="72">
        <v>36707</v>
      </c>
      <c r="G60" s="42" t="s">
        <v>80</v>
      </c>
      <c r="H60" s="42" t="s">
        <v>83</v>
      </c>
      <c r="I60" s="71" t="s">
        <v>81</v>
      </c>
      <c r="J60" s="73">
        <f t="shared" ref="J60:J65" si="7">6.449/J$1</f>
        <v>0.21496666666666667</v>
      </c>
      <c r="K60" s="74">
        <v>1.32E-2</v>
      </c>
      <c r="L60" s="74">
        <v>2.2000000000000001E-3</v>
      </c>
      <c r="M60" s="74">
        <v>7.1999999999999998E-3</v>
      </c>
      <c r="N60" s="74">
        <v>0</v>
      </c>
      <c r="O60" s="75">
        <v>2.1160000000000002E-2</v>
      </c>
      <c r="P60" s="74">
        <f t="shared" si="3"/>
        <v>0.23756666666666668</v>
      </c>
      <c r="Q60" s="76">
        <v>64034</v>
      </c>
      <c r="R60" s="71">
        <v>911</v>
      </c>
      <c r="S60" s="42" t="s">
        <v>90</v>
      </c>
      <c r="T60" s="77">
        <f t="shared" si="6"/>
        <v>5875.0389999999998</v>
      </c>
      <c r="U60" s="77">
        <v>5831</v>
      </c>
      <c r="V60" s="94">
        <v>156585</v>
      </c>
      <c r="W60" s="42"/>
      <c r="X60" s="78"/>
      <c r="Y60" s="78"/>
    </row>
    <row r="61" spans="2:25" s="79" customFormat="1" x14ac:dyDescent="0.2">
      <c r="B61" s="42" t="s">
        <v>184</v>
      </c>
      <c r="C61" s="71" t="s">
        <v>72</v>
      </c>
      <c r="D61" s="71" t="s">
        <v>78</v>
      </c>
      <c r="E61" s="72">
        <v>36342</v>
      </c>
      <c r="F61" s="72">
        <v>36707</v>
      </c>
      <c r="G61" s="42" t="s">
        <v>80</v>
      </c>
      <c r="H61" s="42" t="s">
        <v>82</v>
      </c>
      <c r="I61" s="71" t="s">
        <v>81</v>
      </c>
      <c r="J61" s="73">
        <f t="shared" si="7"/>
        <v>0.21496666666666667</v>
      </c>
      <c r="K61" s="74">
        <v>1.32E-2</v>
      </c>
      <c r="L61" s="74">
        <v>2.2000000000000001E-3</v>
      </c>
      <c r="M61" s="74">
        <v>7.1999999999999998E-3</v>
      </c>
      <c r="N61" s="74">
        <v>0</v>
      </c>
      <c r="O61" s="75">
        <v>2.1160000000000002E-2</v>
      </c>
      <c r="P61" s="74">
        <f t="shared" si="3"/>
        <v>0.23756666666666668</v>
      </c>
      <c r="Q61" s="76">
        <v>64036</v>
      </c>
      <c r="R61" s="71">
        <v>1</v>
      </c>
      <c r="S61" s="42" t="s">
        <v>91</v>
      </c>
      <c r="T61" s="77">
        <f t="shared" si="6"/>
        <v>6.4489999999999998</v>
      </c>
      <c r="U61" s="77">
        <v>6</v>
      </c>
      <c r="V61" s="94">
        <v>156586</v>
      </c>
      <c r="W61" s="42"/>
      <c r="X61" s="78"/>
      <c r="Y61" s="78"/>
    </row>
    <row r="62" spans="2:25" s="79" customFormat="1" x14ac:dyDescent="0.2">
      <c r="B62" s="42" t="s">
        <v>184</v>
      </c>
      <c r="C62" s="71" t="s">
        <v>72</v>
      </c>
      <c r="D62" s="71" t="s">
        <v>79</v>
      </c>
      <c r="E62" s="72">
        <v>36373</v>
      </c>
      <c r="F62" s="72">
        <v>36738</v>
      </c>
      <c r="G62" s="42" t="s">
        <v>80</v>
      </c>
      <c r="H62" s="42" t="s">
        <v>83</v>
      </c>
      <c r="I62" s="71" t="s">
        <v>81</v>
      </c>
      <c r="J62" s="73">
        <f t="shared" si="7"/>
        <v>0.21496666666666667</v>
      </c>
      <c r="K62" s="74">
        <v>1.32E-2</v>
      </c>
      <c r="L62" s="74">
        <v>2.2000000000000001E-3</v>
      </c>
      <c r="M62" s="74">
        <v>7.1999999999999998E-3</v>
      </c>
      <c r="N62" s="74">
        <v>0</v>
      </c>
      <c r="O62" s="75">
        <v>2.1160000000000002E-2</v>
      </c>
      <c r="P62" s="74">
        <f t="shared" si="3"/>
        <v>0.23756666666666668</v>
      </c>
      <c r="Q62" s="76">
        <v>64328</v>
      </c>
      <c r="R62" s="71">
        <v>51</v>
      </c>
      <c r="S62" s="42" t="s">
        <v>92</v>
      </c>
      <c r="T62" s="77">
        <f t="shared" si="6"/>
        <v>328.899</v>
      </c>
      <c r="U62" s="77">
        <v>326</v>
      </c>
      <c r="V62" s="94">
        <v>156588</v>
      </c>
      <c r="W62" s="42"/>
      <c r="X62" s="78"/>
      <c r="Y62" s="78"/>
    </row>
    <row r="63" spans="2:25" s="79" customFormat="1" x14ac:dyDescent="0.2">
      <c r="B63" s="42" t="s">
        <v>184</v>
      </c>
      <c r="C63" s="71" t="s">
        <v>72</v>
      </c>
      <c r="D63" s="71" t="s">
        <v>78</v>
      </c>
      <c r="E63" s="72">
        <v>36373</v>
      </c>
      <c r="F63" s="72">
        <v>36738</v>
      </c>
      <c r="G63" s="42" t="s">
        <v>80</v>
      </c>
      <c r="H63" s="42" t="s">
        <v>84</v>
      </c>
      <c r="I63" s="71" t="s">
        <v>81</v>
      </c>
      <c r="J63" s="73">
        <f t="shared" si="7"/>
        <v>0.21496666666666667</v>
      </c>
      <c r="K63" s="74">
        <v>1.32E-2</v>
      </c>
      <c r="L63" s="74">
        <v>2.2000000000000001E-3</v>
      </c>
      <c r="M63" s="74">
        <v>7.1999999999999998E-3</v>
      </c>
      <c r="N63" s="74">
        <v>0</v>
      </c>
      <c r="O63" s="75">
        <v>2.1160000000000002E-2</v>
      </c>
      <c r="P63" s="74">
        <f t="shared" si="3"/>
        <v>0.23756666666666668</v>
      </c>
      <c r="Q63" s="76">
        <v>64329</v>
      </c>
      <c r="R63" s="71">
        <v>12</v>
      </c>
      <c r="S63" s="42" t="s">
        <v>93</v>
      </c>
      <c r="T63" s="77">
        <f t="shared" si="6"/>
        <v>77.388000000000005</v>
      </c>
      <c r="U63" s="77">
        <v>77</v>
      </c>
      <c r="V63" s="94">
        <v>156590</v>
      </c>
      <c r="W63" s="42"/>
      <c r="X63" s="78"/>
      <c r="Y63" s="78"/>
    </row>
    <row r="64" spans="2:25" s="79" customFormat="1" x14ac:dyDescent="0.2">
      <c r="B64" s="42" t="s">
        <v>184</v>
      </c>
      <c r="C64" s="71" t="s">
        <v>72</v>
      </c>
      <c r="D64" s="71" t="s">
        <v>78</v>
      </c>
      <c r="E64" s="72">
        <v>36404</v>
      </c>
      <c r="F64" s="72">
        <v>36769</v>
      </c>
      <c r="G64" s="42" t="s">
        <v>80</v>
      </c>
      <c r="H64" s="42" t="s">
        <v>84</v>
      </c>
      <c r="I64" s="71" t="s">
        <v>81</v>
      </c>
      <c r="J64" s="73">
        <f t="shared" si="7"/>
        <v>0.21496666666666667</v>
      </c>
      <c r="K64" s="74">
        <v>1.32E-2</v>
      </c>
      <c r="L64" s="74">
        <v>2.2000000000000001E-3</v>
      </c>
      <c r="M64" s="74">
        <v>7.1999999999999998E-3</v>
      </c>
      <c r="N64" s="74">
        <v>0</v>
      </c>
      <c r="O64" s="75">
        <v>2.1160000000000002E-2</v>
      </c>
      <c r="P64" s="74">
        <f t="shared" si="3"/>
        <v>0.23756666666666668</v>
      </c>
      <c r="Q64" s="76">
        <v>64651</v>
      </c>
      <c r="R64" s="71">
        <v>64</v>
      </c>
      <c r="S64" s="42" t="s">
        <v>94</v>
      </c>
      <c r="T64" s="77">
        <f t="shared" si="6"/>
        <v>412.73599999999999</v>
      </c>
      <c r="U64" s="77">
        <v>410</v>
      </c>
      <c r="V64" s="94">
        <v>156591</v>
      </c>
      <c r="W64" s="42"/>
      <c r="X64" s="78"/>
      <c r="Y64" s="78"/>
    </row>
    <row r="65" spans="2:25" s="79" customFormat="1" x14ac:dyDescent="0.2">
      <c r="B65" s="42" t="s">
        <v>184</v>
      </c>
      <c r="C65" s="71" t="s">
        <v>72</v>
      </c>
      <c r="D65" s="71" t="s">
        <v>78</v>
      </c>
      <c r="E65" s="72">
        <v>36434</v>
      </c>
      <c r="F65" s="72">
        <v>36799</v>
      </c>
      <c r="G65" s="42" t="s">
        <v>80</v>
      </c>
      <c r="H65" s="42" t="s">
        <v>82</v>
      </c>
      <c r="I65" s="71" t="s">
        <v>81</v>
      </c>
      <c r="J65" s="73">
        <f t="shared" si="7"/>
        <v>0.21496666666666667</v>
      </c>
      <c r="K65" s="74">
        <v>1.32E-2</v>
      </c>
      <c r="L65" s="74">
        <v>2.2000000000000001E-3</v>
      </c>
      <c r="M65" s="74">
        <v>7.1999999999999998E-3</v>
      </c>
      <c r="N65" s="74">
        <v>0</v>
      </c>
      <c r="O65" s="75">
        <v>2.1160000000000002E-2</v>
      </c>
      <c r="P65" s="74">
        <f t="shared" si="3"/>
        <v>0.23756666666666668</v>
      </c>
      <c r="Q65" s="76">
        <v>64862</v>
      </c>
      <c r="R65" s="71">
        <v>13</v>
      </c>
      <c r="S65" s="42" t="s">
        <v>95</v>
      </c>
      <c r="T65" s="77">
        <f t="shared" si="6"/>
        <v>83.837000000000003</v>
      </c>
      <c r="U65" s="77">
        <v>83</v>
      </c>
      <c r="V65" s="94">
        <v>156592</v>
      </c>
      <c r="W65" s="42"/>
      <c r="X65" s="78"/>
      <c r="Y65" s="78"/>
    </row>
    <row r="66" spans="2:25" s="79" customFormat="1" x14ac:dyDescent="0.2">
      <c r="B66" s="42" t="s">
        <v>184</v>
      </c>
      <c r="C66" s="71" t="s">
        <v>72</v>
      </c>
      <c r="D66" s="71" t="s">
        <v>85</v>
      </c>
      <c r="E66" s="72">
        <v>36434</v>
      </c>
      <c r="F66" s="72">
        <v>36799</v>
      </c>
      <c r="G66" s="42" t="s">
        <v>80</v>
      </c>
      <c r="H66" s="42" t="s">
        <v>96</v>
      </c>
      <c r="I66" s="71" t="s">
        <v>81</v>
      </c>
      <c r="J66" s="73">
        <f>6.372/J$1</f>
        <v>0.21240000000000001</v>
      </c>
      <c r="K66" s="74">
        <v>1.32E-2</v>
      </c>
      <c r="L66" s="74">
        <v>2.2000000000000001E-3</v>
      </c>
      <c r="M66" s="74">
        <v>7.1999999999999998E-3</v>
      </c>
      <c r="N66" s="74">
        <v>0</v>
      </c>
      <c r="O66" s="75">
        <v>2.1160000000000002E-2</v>
      </c>
      <c r="P66" s="74">
        <f t="shared" si="3"/>
        <v>0.23500000000000001</v>
      </c>
      <c r="Q66" s="76">
        <v>64939</v>
      </c>
      <c r="R66" s="71">
        <v>2300</v>
      </c>
      <c r="S66" s="42" t="s">
        <v>97</v>
      </c>
      <c r="T66" s="77">
        <f t="shared" si="6"/>
        <v>14655.6</v>
      </c>
      <c r="U66" s="77">
        <v>14773</v>
      </c>
      <c r="V66" s="94">
        <v>156593</v>
      </c>
      <c r="W66" s="42"/>
      <c r="X66" s="78"/>
      <c r="Y66" s="78"/>
    </row>
    <row r="67" spans="2:25" s="79" customFormat="1" x14ac:dyDescent="0.2">
      <c r="B67" s="42" t="s">
        <v>184</v>
      </c>
      <c r="C67" s="71" t="s">
        <v>72</v>
      </c>
      <c r="D67" s="71" t="s">
        <v>78</v>
      </c>
      <c r="E67" s="72">
        <v>36465</v>
      </c>
      <c r="F67" s="72">
        <v>36830</v>
      </c>
      <c r="G67" s="42" t="s">
        <v>80</v>
      </c>
      <c r="H67" s="42" t="s">
        <v>84</v>
      </c>
      <c r="I67" s="71" t="s">
        <v>81</v>
      </c>
      <c r="J67" s="73">
        <f>6.449/J$1</f>
        <v>0.21496666666666667</v>
      </c>
      <c r="K67" s="74">
        <v>1.32E-2</v>
      </c>
      <c r="L67" s="74">
        <v>2.2000000000000001E-3</v>
      </c>
      <c r="M67" s="74">
        <v>7.1999999999999998E-3</v>
      </c>
      <c r="N67" s="74">
        <v>0</v>
      </c>
      <c r="O67" s="75">
        <v>2.1160000000000002E-2</v>
      </c>
      <c r="P67" s="74">
        <f t="shared" si="3"/>
        <v>0.23756666666666668</v>
      </c>
      <c r="Q67" s="76">
        <v>65026</v>
      </c>
      <c r="R67" s="71">
        <v>128</v>
      </c>
      <c r="S67" s="42" t="s">
        <v>98</v>
      </c>
      <c r="T67" s="77">
        <f t="shared" si="6"/>
        <v>825.47199999999998</v>
      </c>
      <c r="U67" s="77">
        <v>819</v>
      </c>
      <c r="V67" s="94">
        <v>162286</v>
      </c>
      <c r="W67" s="42"/>
      <c r="X67" s="78"/>
      <c r="Y67" s="78"/>
    </row>
    <row r="68" spans="2:25" s="79" customFormat="1" x14ac:dyDescent="0.2">
      <c r="B68" s="42" t="s">
        <v>184</v>
      </c>
      <c r="C68" s="71" t="s">
        <v>72</v>
      </c>
      <c r="D68" s="71" t="s">
        <v>99</v>
      </c>
      <c r="E68" s="72">
        <v>36465</v>
      </c>
      <c r="F68" s="72">
        <v>36830</v>
      </c>
      <c r="G68" s="42" t="s">
        <v>80</v>
      </c>
      <c r="H68" s="42" t="s">
        <v>100</v>
      </c>
      <c r="I68" s="71" t="s">
        <v>81</v>
      </c>
      <c r="J68" s="73">
        <f>6.449/J$1</f>
        <v>0.21496666666666667</v>
      </c>
      <c r="K68" s="74">
        <v>1.32E-2</v>
      </c>
      <c r="L68" s="74">
        <v>2.2000000000000001E-3</v>
      </c>
      <c r="M68" s="74">
        <v>7.1999999999999998E-3</v>
      </c>
      <c r="N68" s="74">
        <v>0</v>
      </c>
      <c r="O68" s="75">
        <v>2.1160000000000002E-2</v>
      </c>
      <c r="P68" s="74">
        <f t="shared" si="3"/>
        <v>0.23756666666666668</v>
      </c>
      <c r="Q68" s="76">
        <v>65041</v>
      </c>
      <c r="R68" s="71">
        <v>9619</v>
      </c>
      <c r="S68" s="42" t="s">
        <v>101</v>
      </c>
      <c r="T68" s="77">
        <f t="shared" si="6"/>
        <v>62032.930999999997</v>
      </c>
      <c r="U68" s="77">
        <v>61571</v>
      </c>
      <c r="V68" s="94">
        <v>162285</v>
      </c>
      <c r="W68" s="42"/>
      <c r="X68" s="78"/>
      <c r="Y68" s="78"/>
    </row>
    <row r="69" spans="2:25" s="79" customFormat="1" x14ac:dyDescent="0.2">
      <c r="B69" s="42" t="s">
        <v>184</v>
      </c>
      <c r="C69" s="71" t="s">
        <v>72</v>
      </c>
      <c r="D69" s="71" t="s">
        <v>99</v>
      </c>
      <c r="E69" s="72">
        <v>36465</v>
      </c>
      <c r="F69" s="72">
        <v>36830</v>
      </c>
      <c r="G69" s="42" t="s">
        <v>80</v>
      </c>
      <c r="H69" s="42" t="s">
        <v>103</v>
      </c>
      <c r="I69" s="71" t="s">
        <v>81</v>
      </c>
      <c r="J69" s="73">
        <f>6.449/J$1</f>
        <v>0.21496666666666667</v>
      </c>
      <c r="K69" s="74">
        <v>1.32E-2</v>
      </c>
      <c r="L69" s="74">
        <v>2.2000000000000001E-3</v>
      </c>
      <c r="M69" s="74">
        <v>7.1999999999999998E-3</v>
      </c>
      <c r="N69" s="74">
        <v>0</v>
      </c>
      <c r="O69" s="75">
        <v>2.1160000000000002E-2</v>
      </c>
      <c r="P69" s="74">
        <f t="shared" si="3"/>
        <v>0.23756666666666668</v>
      </c>
      <c r="Q69" s="76">
        <v>65042</v>
      </c>
      <c r="R69" s="71">
        <v>4427</v>
      </c>
      <c r="S69" s="42" t="s">
        <v>102</v>
      </c>
      <c r="T69" s="77">
        <f t="shared" si="6"/>
        <v>28549.722999999998</v>
      </c>
      <c r="U69" s="77">
        <v>28337</v>
      </c>
      <c r="V69" s="94">
        <v>162287</v>
      </c>
      <c r="W69" s="42"/>
      <c r="X69" s="78"/>
      <c r="Y69" s="78"/>
    </row>
    <row r="70" spans="2:25" s="79" customFormat="1" x14ac:dyDescent="0.2">
      <c r="B70" s="42" t="s">
        <v>184</v>
      </c>
      <c r="C70" s="71" t="s">
        <v>72</v>
      </c>
      <c r="D70" s="71" t="s">
        <v>104</v>
      </c>
      <c r="E70" s="72">
        <v>36465</v>
      </c>
      <c r="F70" s="72">
        <v>37011</v>
      </c>
      <c r="G70" s="42" t="s">
        <v>80</v>
      </c>
      <c r="H70" s="42" t="s">
        <v>105</v>
      </c>
      <c r="I70" s="71" t="s">
        <v>81</v>
      </c>
      <c r="J70" s="73">
        <f>6.449/J$1</f>
        <v>0.21496666666666667</v>
      </c>
      <c r="K70" s="74">
        <v>1.32E-2</v>
      </c>
      <c r="L70" s="74">
        <v>2.2000000000000001E-3</v>
      </c>
      <c r="M70" s="74">
        <v>7.1999999999999998E-3</v>
      </c>
      <c r="N70" s="74">
        <v>0</v>
      </c>
      <c r="O70" s="75">
        <v>2.1160000000000002E-2</v>
      </c>
      <c r="P70" s="74">
        <f t="shared" si="3"/>
        <v>0.23756666666666668</v>
      </c>
      <c r="Q70" s="76">
        <v>65108</v>
      </c>
      <c r="R70" s="71">
        <v>5000</v>
      </c>
      <c r="S70" s="42" t="s">
        <v>234</v>
      </c>
      <c r="T70" s="77">
        <f t="shared" si="6"/>
        <v>32245</v>
      </c>
      <c r="U70" s="77">
        <v>32005</v>
      </c>
      <c r="V70" s="94">
        <v>163001</v>
      </c>
      <c r="W70" s="42"/>
      <c r="X70" s="78"/>
      <c r="Y70" s="78"/>
    </row>
    <row r="71" spans="2:25" s="79" customFormat="1" x14ac:dyDescent="0.2">
      <c r="B71" s="42" t="s">
        <v>184</v>
      </c>
      <c r="C71" s="71" t="s">
        <v>72</v>
      </c>
      <c r="D71" s="71"/>
      <c r="E71" s="72">
        <v>36557</v>
      </c>
      <c r="F71" s="72">
        <v>36830</v>
      </c>
      <c r="G71" s="42" t="s">
        <v>122</v>
      </c>
      <c r="H71" s="42" t="s">
        <v>117</v>
      </c>
      <c r="I71" s="71" t="s">
        <v>81</v>
      </c>
      <c r="J71" s="73">
        <f>4.563/J$1</f>
        <v>0.15209999999999999</v>
      </c>
      <c r="K71" s="74">
        <v>1.32E-2</v>
      </c>
      <c r="L71" s="74">
        <v>2.2000000000000001E-3</v>
      </c>
      <c r="M71" s="74">
        <v>7.1999999999999998E-3</v>
      </c>
      <c r="N71" s="74">
        <v>0</v>
      </c>
      <c r="O71" s="75">
        <v>2.1160000000000002E-2</v>
      </c>
      <c r="P71" s="74">
        <f t="shared" si="3"/>
        <v>0.17469999999999999</v>
      </c>
      <c r="Q71" s="76">
        <v>65418</v>
      </c>
      <c r="R71" s="71">
        <v>500</v>
      </c>
      <c r="S71" s="42" t="s">
        <v>123</v>
      </c>
      <c r="T71" s="77">
        <f t="shared" si="6"/>
        <v>2281.5</v>
      </c>
      <c r="U71" s="77">
        <v>2282</v>
      </c>
      <c r="V71" s="94">
        <v>156599</v>
      </c>
      <c r="W71" s="42"/>
      <c r="X71" s="78"/>
      <c r="Y71" s="78"/>
    </row>
    <row r="72" spans="2:25" s="79" customFormat="1" x14ac:dyDescent="0.2">
      <c r="B72" s="42" t="s">
        <v>184</v>
      </c>
      <c r="C72" s="71" t="s">
        <v>72</v>
      </c>
      <c r="D72" s="71" t="s">
        <v>78</v>
      </c>
      <c r="E72" s="72">
        <v>36557</v>
      </c>
      <c r="F72" s="72">
        <v>36860</v>
      </c>
      <c r="G72" s="42" t="s">
        <v>80</v>
      </c>
      <c r="H72" s="42" t="s">
        <v>84</v>
      </c>
      <c r="I72" s="71" t="s">
        <v>81</v>
      </c>
      <c r="J72" s="73">
        <f>6.449/J$1</f>
        <v>0.21496666666666667</v>
      </c>
      <c r="K72" s="74">
        <v>1.32E-2</v>
      </c>
      <c r="L72" s="74">
        <v>2.2000000000000001E-3</v>
      </c>
      <c r="M72" s="74">
        <v>7.1999999999999998E-3</v>
      </c>
      <c r="N72" s="74">
        <v>0</v>
      </c>
      <c r="O72" s="75">
        <v>2.1160000000000002E-2</v>
      </c>
      <c r="P72" s="74">
        <f t="shared" si="3"/>
        <v>0.23756666666666668</v>
      </c>
      <c r="Q72" s="76">
        <v>65556</v>
      </c>
      <c r="R72" s="71">
        <v>3</v>
      </c>
      <c r="S72" s="42" t="s">
        <v>106</v>
      </c>
      <c r="T72" s="77">
        <f t="shared" si="6"/>
        <v>19.347000000000001</v>
      </c>
      <c r="U72" s="77">
        <v>19</v>
      </c>
      <c r="V72" s="94">
        <v>156602</v>
      </c>
      <c r="W72" s="42"/>
      <c r="X72" s="78"/>
      <c r="Y72" s="78"/>
    </row>
    <row r="73" spans="2:25" s="79" customFormat="1" x14ac:dyDescent="0.2">
      <c r="B73" s="42" t="s">
        <v>184</v>
      </c>
      <c r="C73" s="71" t="s">
        <v>72</v>
      </c>
      <c r="D73" s="71" t="s">
        <v>74</v>
      </c>
      <c r="E73" s="72">
        <v>36557</v>
      </c>
      <c r="F73" s="72">
        <v>36922</v>
      </c>
      <c r="G73" s="42" t="s">
        <v>186</v>
      </c>
      <c r="H73" s="42" t="s">
        <v>187</v>
      </c>
      <c r="I73" s="71" t="s">
        <v>81</v>
      </c>
      <c r="J73" s="73">
        <f>6.449/J$1</f>
        <v>0.21496666666666667</v>
      </c>
      <c r="K73" s="74"/>
      <c r="L73" s="74"/>
      <c r="M73" s="74"/>
      <c r="N73" s="74"/>
      <c r="O73" s="75"/>
      <c r="P73" s="74"/>
      <c r="Q73" s="76">
        <v>66280</v>
      </c>
      <c r="R73" s="71">
        <v>1</v>
      </c>
      <c r="S73" s="42" t="s">
        <v>189</v>
      </c>
      <c r="T73" s="77">
        <f t="shared" si="6"/>
        <v>6.4489999999999998</v>
      </c>
      <c r="U73" s="77">
        <v>6</v>
      </c>
      <c r="V73" s="94">
        <v>156606</v>
      </c>
      <c r="W73" s="42"/>
      <c r="X73" s="78"/>
      <c r="Y73" s="78"/>
    </row>
    <row r="74" spans="2:25" s="79" customFormat="1" x14ac:dyDescent="0.2">
      <c r="B74" s="42" t="s">
        <v>184</v>
      </c>
      <c r="C74" s="71" t="s">
        <v>72</v>
      </c>
      <c r="D74" s="71" t="s">
        <v>74</v>
      </c>
      <c r="E74" s="72">
        <v>36557</v>
      </c>
      <c r="F74" s="72">
        <v>36922</v>
      </c>
      <c r="G74" s="42" t="s">
        <v>186</v>
      </c>
      <c r="H74" s="42" t="s">
        <v>188</v>
      </c>
      <c r="I74" s="71" t="s">
        <v>81</v>
      </c>
      <c r="J74" s="73">
        <f>6.449/J$1</f>
        <v>0.21496666666666667</v>
      </c>
      <c r="K74" s="74"/>
      <c r="L74" s="74"/>
      <c r="M74" s="74"/>
      <c r="N74" s="74"/>
      <c r="O74" s="75"/>
      <c r="P74" s="74"/>
      <c r="Q74" s="76">
        <v>66280</v>
      </c>
      <c r="R74" s="71">
        <v>4</v>
      </c>
      <c r="S74" s="42" t="s">
        <v>189</v>
      </c>
      <c r="T74" s="77">
        <f t="shared" si="6"/>
        <v>25.795999999999999</v>
      </c>
      <c r="U74" s="77">
        <v>26</v>
      </c>
      <c r="V74" s="94">
        <v>156606</v>
      </c>
      <c r="W74" s="42"/>
      <c r="X74" s="78"/>
      <c r="Y74" s="78"/>
    </row>
    <row r="75" spans="2:25" s="79" customFormat="1" x14ac:dyDescent="0.2">
      <c r="B75" s="42" t="s">
        <v>184</v>
      </c>
      <c r="C75" s="71" t="s">
        <v>72</v>
      </c>
      <c r="D75" s="71" t="s">
        <v>74</v>
      </c>
      <c r="E75" s="72">
        <v>36656</v>
      </c>
      <c r="F75" s="72">
        <v>36950</v>
      </c>
      <c r="G75" s="42" t="s">
        <v>186</v>
      </c>
      <c r="H75" s="110" t="s">
        <v>187</v>
      </c>
      <c r="I75" s="71" t="s">
        <v>81</v>
      </c>
      <c r="J75" s="73">
        <v>6.4489999999999998</v>
      </c>
      <c r="K75" s="74"/>
      <c r="L75" s="74"/>
      <c r="M75" s="74"/>
      <c r="N75" s="74"/>
      <c r="O75" s="75"/>
      <c r="P75" s="74"/>
      <c r="Q75" s="76">
        <v>68308</v>
      </c>
      <c r="R75" s="71">
        <v>5</v>
      </c>
      <c r="S75" s="42" t="s">
        <v>374</v>
      </c>
      <c r="T75" s="77">
        <f>+R75*J75</f>
        <v>32.244999999999997</v>
      </c>
      <c r="U75" s="77">
        <v>32</v>
      </c>
      <c r="V75" s="94">
        <v>262094</v>
      </c>
      <c r="W75" s="42"/>
      <c r="X75" s="78"/>
      <c r="Y75" s="78"/>
    </row>
    <row r="76" spans="2:25" s="79" customFormat="1" x14ac:dyDescent="0.2">
      <c r="B76" s="42" t="s">
        <v>184</v>
      </c>
      <c r="C76" s="71" t="s">
        <v>72</v>
      </c>
      <c r="D76" s="71" t="s">
        <v>74</v>
      </c>
      <c r="E76" s="72">
        <v>36656</v>
      </c>
      <c r="F76" s="72">
        <v>36950</v>
      </c>
      <c r="G76" s="42" t="s">
        <v>186</v>
      </c>
      <c r="H76" s="110" t="s">
        <v>188</v>
      </c>
      <c r="I76" s="71" t="s">
        <v>81</v>
      </c>
      <c r="J76" s="73">
        <v>6.4489999999999998</v>
      </c>
      <c r="K76" s="74"/>
      <c r="L76" s="74"/>
      <c r="M76" s="74"/>
      <c r="N76" s="74"/>
      <c r="O76" s="75"/>
      <c r="P76" s="74"/>
      <c r="Q76" s="76">
        <v>68308</v>
      </c>
      <c r="R76" s="71">
        <v>4</v>
      </c>
      <c r="S76" s="42" t="s">
        <v>374</v>
      </c>
      <c r="T76" s="77">
        <f>+R76*J76</f>
        <v>25.795999999999999</v>
      </c>
      <c r="U76" s="77">
        <v>26</v>
      </c>
      <c r="V76" s="94">
        <v>262094</v>
      </c>
      <c r="W76" s="42"/>
      <c r="X76" s="78"/>
      <c r="Y76" s="78"/>
    </row>
    <row r="77" spans="2:25" s="79" customFormat="1" x14ac:dyDescent="0.2">
      <c r="B77" s="42" t="s">
        <v>184</v>
      </c>
      <c r="C77" s="71" t="s">
        <v>72</v>
      </c>
      <c r="D77" s="71" t="s">
        <v>264</v>
      </c>
      <c r="E77" s="72">
        <v>36617</v>
      </c>
      <c r="F77" s="72" t="s">
        <v>265</v>
      </c>
      <c r="G77" s="42" t="s">
        <v>266</v>
      </c>
      <c r="H77" s="42"/>
      <c r="I77" s="71" t="s">
        <v>267</v>
      </c>
      <c r="J77" s="73"/>
      <c r="K77" s="74"/>
      <c r="L77" s="74"/>
      <c r="M77" s="74"/>
      <c r="N77" s="74"/>
      <c r="O77" s="75"/>
      <c r="P77" s="74"/>
      <c r="Q77" s="76">
        <v>66917</v>
      </c>
      <c r="R77" s="71"/>
      <c r="S77" s="42"/>
      <c r="T77" s="77"/>
      <c r="U77" s="77"/>
      <c r="V77" s="94">
        <v>228085</v>
      </c>
      <c r="W77" s="42"/>
      <c r="X77" s="78"/>
      <c r="Y77" s="78"/>
    </row>
    <row r="78" spans="2:25" s="79" customFormat="1" x14ac:dyDescent="0.2">
      <c r="B78" s="42" t="s">
        <v>184</v>
      </c>
      <c r="C78" s="71" t="s">
        <v>72</v>
      </c>
      <c r="D78" s="71" t="s">
        <v>74</v>
      </c>
      <c r="E78" s="72">
        <v>36617</v>
      </c>
      <c r="F78" s="72">
        <v>36981</v>
      </c>
      <c r="G78" s="42" t="s">
        <v>186</v>
      </c>
      <c r="H78" s="42" t="s">
        <v>187</v>
      </c>
      <c r="I78" s="71" t="s">
        <v>81</v>
      </c>
      <c r="J78" s="73">
        <v>6.4009999999999998</v>
      </c>
      <c r="K78" s="74"/>
      <c r="L78" s="74"/>
      <c r="M78" s="74"/>
      <c r="N78" s="74"/>
      <c r="O78" s="75"/>
      <c r="P78" s="74"/>
      <c r="Q78" s="76">
        <v>66939</v>
      </c>
      <c r="R78" s="71">
        <v>5</v>
      </c>
      <c r="S78" s="42" t="s">
        <v>27</v>
      </c>
      <c r="T78" s="77">
        <f t="shared" ref="T78:T89" si="8">+R78*J78</f>
        <v>32.004999999999995</v>
      </c>
      <c r="U78" s="77">
        <v>32</v>
      </c>
      <c r="V78" s="94"/>
      <c r="W78" s="42"/>
      <c r="X78" s="78"/>
      <c r="Y78" s="78"/>
    </row>
    <row r="79" spans="2:25" s="79" customFormat="1" x14ac:dyDescent="0.2">
      <c r="B79" s="42" t="s">
        <v>184</v>
      </c>
      <c r="C79" s="71" t="s">
        <v>72</v>
      </c>
      <c r="D79" s="71" t="s">
        <v>74</v>
      </c>
      <c r="E79" s="72">
        <v>36617</v>
      </c>
      <c r="F79" s="72">
        <v>36981</v>
      </c>
      <c r="G79" s="42" t="s">
        <v>186</v>
      </c>
      <c r="H79" s="42" t="s">
        <v>188</v>
      </c>
      <c r="I79" s="71" t="s">
        <v>81</v>
      </c>
      <c r="J79" s="73">
        <v>6.4009999999999998</v>
      </c>
      <c r="K79" s="74"/>
      <c r="L79" s="74"/>
      <c r="M79" s="74"/>
      <c r="N79" s="74"/>
      <c r="O79" s="75"/>
      <c r="P79" s="74"/>
      <c r="Q79" s="76">
        <v>66939</v>
      </c>
      <c r="R79" s="71">
        <v>27</v>
      </c>
      <c r="S79" s="42" t="s">
        <v>27</v>
      </c>
      <c r="T79" s="77">
        <f t="shared" si="8"/>
        <v>172.827</v>
      </c>
      <c r="U79" s="77">
        <v>173</v>
      </c>
      <c r="V79" s="94"/>
      <c r="W79" s="42"/>
      <c r="X79" s="78"/>
      <c r="Y79" s="78"/>
    </row>
    <row r="80" spans="2:25" s="79" customFormat="1" x14ac:dyDescent="0.2">
      <c r="B80" s="42" t="s">
        <v>184</v>
      </c>
      <c r="C80" s="71" t="s">
        <v>72</v>
      </c>
      <c r="D80" s="71" t="s">
        <v>74</v>
      </c>
      <c r="E80" s="72">
        <v>36617</v>
      </c>
      <c r="F80" s="72">
        <v>36981</v>
      </c>
      <c r="G80" s="42" t="s">
        <v>186</v>
      </c>
      <c r="H80" s="42" t="s">
        <v>316</v>
      </c>
      <c r="I80" s="71" t="s">
        <v>81</v>
      </c>
      <c r="J80" s="73">
        <v>6.4009999999999998</v>
      </c>
      <c r="K80" s="74"/>
      <c r="L80" s="74"/>
      <c r="M80" s="74"/>
      <c r="N80" s="74"/>
      <c r="O80" s="75"/>
      <c r="P80" s="74"/>
      <c r="Q80" s="76">
        <v>66939</v>
      </c>
      <c r="R80" s="71">
        <v>3</v>
      </c>
      <c r="S80" s="42" t="s">
        <v>27</v>
      </c>
      <c r="T80" s="77">
        <f t="shared" si="8"/>
        <v>19.202999999999999</v>
      </c>
      <c r="U80" s="77">
        <v>19</v>
      </c>
      <c r="V80" s="94"/>
      <c r="W80" s="42"/>
      <c r="X80" s="78"/>
      <c r="Y80" s="78"/>
    </row>
    <row r="81" spans="1:25" s="79" customFormat="1" x14ac:dyDescent="0.2">
      <c r="B81" s="42" t="s">
        <v>184</v>
      </c>
      <c r="C81" s="71" t="s">
        <v>72</v>
      </c>
      <c r="D81" s="71" t="s">
        <v>74</v>
      </c>
      <c r="E81" s="72">
        <v>36617</v>
      </c>
      <c r="F81" s="72">
        <v>36981</v>
      </c>
      <c r="G81" s="42" t="s">
        <v>186</v>
      </c>
      <c r="H81" s="42" t="s">
        <v>317</v>
      </c>
      <c r="I81" s="71" t="s">
        <v>81</v>
      </c>
      <c r="J81" s="73">
        <v>6.4009999999999998</v>
      </c>
      <c r="K81" s="74"/>
      <c r="L81" s="74"/>
      <c r="M81" s="74"/>
      <c r="N81" s="74"/>
      <c r="O81" s="75"/>
      <c r="P81" s="74"/>
      <c r="Q81" s="76">
        <v>66939</v>
      </c>
      <c r="R81" s="71">
        <v>17</v>
      </c>
      <c r="S81" s="42" t="s">
        <v>27</v>
      </c>
      <c r="T81" s="77">
        <f t="shared" si="8"/>
        <v>108.81699999999999</v>
      </c>
      <c r="U81" s="77">
        <v>109</v>
      </c>
      <c r="V81" s="94"/>
      <c r="W81" s="42"/>
      <c r="X81" s="78"/>
      <c r="Y81" s="78"/>
    </row>
    <row r="82" spans="1:25" s="79" customFormat="1" x14ac:dyDescent="0.2">
      <c r="B82" s="42" t="s">
        <v>184</v>
      </c>
      <c r="C82" s="71" t="s">
        <v>72</v>
      </c>
      <c r="D82" s="71" t="s">
        <v>73</v>
      </c>
      <c r="E82" s="72">
        <v>36617</v>
      </c>
      <c r="F82" s="72">
        <v>36981</v>
      </c>
      <c r="G82" s="42" t="s">
        <v>186</v>
      </c>
      <c r="H82" s="42" t="s">
        <v>318</v>
      </c>
      <c r="I82" s="71" t="s">
        <v>81</v>
      </c>
      <c r="J82" s="73">
        <v>6.4009999999999998</v>
      </c>
      <c r="K82" s="74"/>
      <c r="L82" s="74"/>
      <c r="M82" s="74"/>
      <c r="N82" s="74"/>
      <c r="O82" s="75"/>
      <c r="P82" s="74"/>
      <c r="Q82" s="76">
        <v>66940</v>
      </c>
      <c r="R82" s="71">
        <v>1</v>
      </c>
      <c r="S82" s="110" t="s">
        <v>269</v>
      </c>
      <c r="T82" s="77">
        <f t="shared" si="8"/>
        <v>6.4009999999999998</v>
      </c>
      <c r="U82" s="77">
        <v>6</v>
      </c>
      <c r="V82" s="94">
        <v>228134</v>
      </c>
      <c r="W82" s="42"/>
      <c r="X82" s="78"/>
      <c r="Y82" s="78"/>
    </row>
    <row r="83" spans="1:25" s="79" customFormat="1" x14ac:dyDescent="0.2">
      <c r="B83" s="42" t="s">
        <v>184</v>
      </c>
      <c r="C83" s="71" t="s">
        <v>72</v>
      </c>
      <c r="D83" s="71" t="s">
        <v>73</v>
      </c>
      <c r="E83" s="72">
        <v>36617</v>
      </c>
      <c r="F83" s="72">
        <v>36981</v>
      </c>
      <c r="G83" s="42" t="s">
        <v>186</v>
      </c>
      <c r="H83" s="42" t="s">
        <v>319</v>
      </c>
      <c r="I83" s="71" t="s">
        <v>81</v>
      </c>
      <c r="J83" s="73">
        <v>6.4009999999999998</v>
      </c>
      <c r="K83" s="74"/>
      <c r="L83" s="74"/>
      <c r="M83" s="74"/>
      <c r="N83" s="74"/>
      <c r="O83" s="75"/>
      <c r="P83" s="74"/>
      <c r="Q83" s="76">
        <v>66940</v>
      </c>
      <c r="R83" s="71">
        <v>1</v>
      </c>
      <c r="S83" s="110" t="s">
        <v>269</v>
      </c>
      <c r="T83" s="77">
        <f t="shared" si="8"/>
        <v>6.4009999999999998</v>
      </c>
      <c r="U83" s="77">
        <v>7</v>
      </c>
      <c r="V83" s="94">
        <v>228134</v>
      </c>
      <c r="W83" s="42"/>
      <c r="X83" s="78"/>
      <c r="Y83" s="78"/>
    </row>
    <row r="84" spans="1:25" s="79" customFormat="1" x14ac:dyDescent="0.2">
      <c r="B84" s="42" t="s">
        <v>184</v>
      </c>
      <c r="C84" s="71" t="s">
        <v>72</v>
      </c>
      <c r="D84" s="71" t="s">
        <v>73</v>
      </c>
      <c r="E84" s="72">
        <v>36647</v>
      </c>
      <c r="F84" s="72">
        <v>37011</v>
      </c>
      <c r="G84" s="42" t="s">
        <v>350</v>
      </c>
      <c r="H84" s="42" t="s">
        <v>351</v>
      </c>
      <c r="I84" s="71" t="s">
        <v>81</v>
      </c>
      <c r="J84" s="73">
        <f>6.401/J1</f>
        <v>0.21336666666666665</v>
      </c>
      <c r="K84" s="74"/>
      <c r="L84" s="74"/>
      <c r="M84" s="74"/>
      <c r="N84" s="74"/>
      <c r="O84" s="75"/>
      <c r="P84" s="74"/>
      <c r="Q84" s="76">
        <v>68188</v>
      </c>
      <c r="R84" s="71">
        <v>1</v>
      </c>
      <c r="S84" s="42" t="s">
        <v>352</v>
      </c>
      <c r="T84" s="77">
        <f>+J84*R84*13</f>
        <v>2.7737666666666665</v>
      </c>
      <c r="U84" s="77">
        <v>6</v>
      </c>
      <c r="V84" s="94">
        <v>253195</v>
      </c>
      <c r="W84" s="42"/>
      <c r="X84" s="78"/>
      <c r="Y84" s="78"/>
    </row>
    <row r="85" spans="1:25" s="79" customFormat="1" ht="13.5" thickBot="1" x14ac:dyDescent="0.25">
      <c r="B85" s="42" t="s">
        <v>184</v>
      </c>
      <c r="C85" s="71" t="s">
        <v>72</v>
      </c>
      <c r="D85" s="71" t="s">
        <v>130</v>
      </c>
      <c r="E85" s="72">
        <v>36647</v>
      </c>
      <c r="F85" s="72">
        <v>37011</v>
      </c>
      <c r="G85" s="42" t="s">
        <v>186</v>
      </c>
      <c r="H85" s="42" t="s">
        <v>358</v>
      </c>
      <c r="I85" s="71" t="s">
        <v>81</v>
      </c>
      <c r="J85" s="73">
        <v>6.4009999999999998</v>
      </c>
      <c r="K85" s="74"/>
      <c r="L85" s="74"/>
      <c r="M85" s="74"/>
      <c r="N85" s="74"/>
      <c r="O85" s="75"/>
      <c r="P85" s="74"/>
      <c r="Q85" s="76">
        <v>68109</v>
      </c>
      <c r="R85" s="71">
        <v>21</v>
      </c>
      <c r="S85" s="42" t="s">
        <v>359</v>
      </c>
      <c r="T85" s="77">
        <f>+R85*J85</f>
        <v>134.42099999999999</v>
      </c>
      <c r="U85" s="77">
        <v>134</v>
      </c>
      <c r="V85" s="94">
        <v>254718</v>
      </c>
      <c r="W85" s="42"/>
      <c r="X85" s="78"/>
      <c r="Y85" s="78"/>
    </row>
    <row r="86" spans="1:25" s="227" customFormat="1" ht="13.5" thickBot="1" x14ac:dyDescent="0.25">
      <c r="A86" s="253"/>
      <c r="B86" s="254" t="s">
        <v>184</v>
      </c>
      <c r="C86" s="255" t="s">
        <v>72</v>
      </c>
      <c r="D86" s="255" t="s">
        <v>181</v>
      </c>
      <c r="E86" s="256">
        <v>36465</v>
      </c>
      <c r="F86" s="256">
        <v>37011</v>
      </c>
      <c r="G86" s="257" t="s">
        <v>80</v>
      </c>
      <c r="H86" s="257" t="s">
        <v>389</v>
      </c>
      <c r="I86" s="255" t="s">
        <v>81</v>
      </c>
      <c r="J86" s="258">
        <f>4.8621/+J$1</f>
        <v>0.16206999999999999</v>
      </c>
      <c r="K86" s="259"/>
      <c r="L86" s="259"/>
      <c r="M86" s="259"/>
      <c r="N86" s="259"/>
      <c r="O86" s="260"/>
      <c r="P86" s="259"/>
      <c r="Q86" s="261">
        <v>65403</v>
      </c>
      <c r="R86" s="255"/>
      <c r="S86" s="257" t="s">
        <v>233</v>
      </c>
      <c r="T86" s="262">
        <f>J86*J$1*R86</f>
        <v>0</v>
      </c>
      <c r="U86" s="262"/>
      <c r="V86" s="263" t="s">
        <v>260</v>
      </c>
      <c r="W86" s="264" t="s">
        <v>525</v>
      </c>
      <c r="X86" s="226"/>
      <c r="Y86" s="226"/>
    </row>
    <row r="87" spans="1:25" s="227" customFormat="1" x14ac:dyDescent="0.2">
      <c r="A87" s="228"/>
      <c r="B87" s="229" t="s">
        <v>184</v>
      </c>
      <c r="C87" s="230" t="s">
        <v>72</v>
      </c>
      <c r="D87" s="230" t="s">
        <v>181</v>
      </c>
      <c r="E87" s="231">
        <v>36465</v>
      </c>
      <c r="F87" s="231">
        <v>36830</v>
      </c>
      <c r="G87" s="229" t="s">
        <v>119</v>
      </c>
      <c r="H87" s="232" t="s">
        <v>231</v>
      </c>
      <c r="I87" s="230" t="s">
        <v>81</v>
      </c>
      <c r="J87" s="233">
        <f>3.65/J$1</f>
        <v>0.12166666666666666</v>
      </c>
      <c r="K87" s="234">
        <v>1.32E-2</v>
      </c>
      <c r="L87" s="234">
        <v>2.2000000000000001E-3</v>
      </c>
      <c r="M87" s="234">
        <v>7.4999999999999997E-3</v>
      </c>
      <c r="N87" s="234">
        <v>0</v>
      </c>
      <c r="O87" s="235">
        <v>2.1160000000000002E-2</v>
      </c>
      <c r="P87" s="234">
        <f>SUM(J87:N87)</f>
        <v>0.14456666666666668</v>
      </c>
      <c r="Q87" s="236">
        <v>65402</v>
      </c>
      <c r="R87" s="230"/>
      <c r="S87" s="232" t="s">
        <v>232</v>
      </c>
      <c r="T87" s="237">
        <f>J87*J$1*R87</f>
        <v>0</v>
      </c>
      <c r="U87" s="237" t="s">
        <v>522</v>
      </c>
      <c r="V87" s="238">
        <v>156596</v>
      </c>
      <c r="W87" s="239" t="s">
        <v>524</v>
      </c>
      <c r="X87" s="226"/>
      <c r="Y87" s="226"/>
    </row>
    <row r="88" spans="1:25" s="227" customFormat="1" ht="13.5" thickBot="1" x14ac:dyDescent="0.25">
      <c r="A88" s="240"/>
      <c r="B88" s="241" t="s">
        <v>184</v>
      </c>
      <c r="C88" s="242" t="s">
        <v>72</v>
      </c>
      <c r="D88" s="242" t="s">
        <v>181</v>
      </c>
      <c r="E88" s="243">
        <v>36678</v>
      </c>
      <c r="F88" s="243">
        <v>36830</v>
      </c>
      <c r="G88" s="241" t="s">
        <v>119</v>
      </c>
      <c r="H88" s="244" t="s">
        <v>231</v>
      </c>
      <c r="I88" s="242" t="s">
        <v>81</v>
      </c>
      <c r="J88" s="245">
        <v>0.03</v>
      </c>
      <c r="K88" s="246">
        <v>1.32E-2</v>
      </c>
      <c r="L88" s="246">
        <v>2.2000000000000001E-3</v>
      </c>
      <c r="M88" s="246">
        <v>7.4999999999999997E-3</v>
      </c>
      <c r="N88" s="246">
        <v>0</v>
      </c>
      <c r="O88" s="247">
        <v>2.1160000000000002E-2</v>
      </c>
      <c r="P88" s="246">
        <f>SUM(J88:N88)</f>
        <v>5.2900000000000003E-2</v>
      </c>
      <c r="Q88" s="248">
        <v>65402</v>
      </c>
      <c r="R88" s="242"/>
      <c r="S88" s="241" t="s">
        <v>412</v>
      </c>
      <c r="T88" s="249">
        <f>J88*J$1*R88</f>
        <v>0</v>
      </c>
      <c r="U88" s="250" t="s">
        <v>523</v>
      </c>
      <c r="V88" s="251">
        <v>280583</v>
      </c>
      <c r="W88" s="252" t="s">
        <v>413</v>
      </c>
      <c r="X88" s="226"/>
      <c r="Y88" s="226"/>
    </row>
    <row r="89" spans="1:25" x14ac:dyDescent="0.2">
      <c r="T89" s="9">
        <f t="shared" si="8"/>
        <v>0</v>
      </c>
    </row>
    <row r="90" spans="1:25" x14ac:dyDescent="0.2">
      <c r="B90" s="10" t="s">
        <v>31</v>
      </c>
      <c r="C90" s="11" t="s">
        <v>31</v>
      </c>
      <c r="D90" s="11" t="s">
        <v>31</v>
      </c>
      <c r="E90" s="13" t="s">
        <v>31</v>
      </c>
      <c r="F90" s="13" t="s">
        <v>31</v>
      </c>
      <c r="G90" s="10" t="s">
        <v>31</v>
      </c>
      <c r="H90" s="30" t="s">
        <v>31</v>
      </c>
      <c r="I90" s="11" t="s">
        <v>31</v>
      </c>
      <c r="J90" s="14"/>
      <c r="K90" s="15"/>
      <c r="L90" s="15"/>
      <c r="M90" s="15"/>
      <c r="N90" s="15"/>
      <c r="O90" s="45"/>
      <c r="P90" s="15"/>
      <c r="Q90" s="26" t="s">
        <v>31</v>
      </c>
      <c r="R90" s="11">
        <f>SUM(R56:R86)</f>
        <v>23622</v>
      </c>
      <c r="S90" s="10" t="s">
        <v>31</v>
      </c>
      <c r="T90" s="22">
        <f>SUM(T42:T86)</f>
        <v>895986.57886666653</v>
      </c>
      <c r="U90" s="22">
        <f>SUM(U42:U85)</f>
        <v>895217</v>
      </c>
      <c r="V90" s="55"/>
      <c r="W90" s="30"/>
      <c r="X90" s="36"/>
      <c r="Y90" s="36"/>
    </row>
    <row r="91" spans="1:25" x14ac:dyDescent="0.2">
      <c r="B91" s="16" t="s">
        <v>32</v>
      </c>
      <c r="C91" s="17" t="s">
        <v>33</v>
      </c>
      <c r="D91" s="17" t="s">
        <v>34</v>
      </c>
      <c r="E91" s="18" t="s">
        <v>35</v>
      </c>
      <c r="F91" s="18"/>
      <c r="G91" s="16" t="s">
        <v>36</v>
      </c>
      <c r="H91" s="16" t="s">
        <v>37</v>
      </c>
      <c r="I91" s="17" t="s">
        <v>77</v>
      </c>
      <c r="J91" s="19" t="s">
        <v>38</v>
      </c>
      <c r="K91" s="17" t="s">
        <v>39</v>
      </c>
      <c r="L91" s="17" t="s">
        <v>40</v>
      </c>
      <c r="M91" s="17" t="s">
        <v>41</v>
      </c>
      <c r="N91" s="17" t="s">
        <v>42</v>
      </c>
      <c r="O91" s="44" t="s">
        <v>43</v>
      </c>
      <c r="P91" s="17" t="s">
        <v>44</v>
      </c>
      <c r="Q91" s="20" t="s">
        <v>182</v>
      </c>
      <c r="R91" s="17" t="s">
        <v>45</v>
      </c>
      <c r="S91" s="16" t="s">
        <v>46</v>
      </c>
      <c r="T91" s="21" t="s">
        <v>76</v>
      </c>
      <c r="U91" s="21" t="s">
        <v>75</v>
      </c>
      <c r="V91" s="54" t="s">
        <v>183</v>
      </c>
      <c r="W91" s="59">
        <f>+W63</f>
        <v>0</v>
      </c>
      <c r="X91" s="36"/>
      <c r="Y91" s="36"/>
    </row>
    <row r="92" spans="1:25" s="79" customFormat="1" ht="12" customHeight="1" x14ac:dyDescent="0.2">
      <c r="B92" s="42" t="s">
        <v>184</v>
      </c>
      <c r="C92" s="71" t="s">
        <v>228</v>
      </c>
      <c r="D92" s="71" t="s">
        <v>372</v>
      </c>
      <c r="E92" s="72">
        <v>35612</v>
      </c>
      <c r="F92" s="72">
        <v>37437</v>
      </c>
      <c r="G92" s="110" t="s">
        <v>229</v>
      </c>
      <c r="H92" s="42" t="s">
        <v>230</v>
      </c>
      <c r="I92" s="71" t="s">
        <v>81</v>
      </c>
      <c r="J92" s="73">
        <f>+(5.6195+1.3875+0.2)/J$1</f>
        <v>0.24023333333333335</v>
      </c>
      <c r="K92" s="74">
        <v>0</v>
      </c>
      <c r="L92" s="74">
        <v>2.2000000000000001E-3</v>
      </c>
      <c r="M92" s="74">
        <v>7.1999999999999998E-3</v>
      </c>
      <c r="N92" s="74">
        <v>0</v>
      </c>
      <c r="O92" s="75">
        <v>0</v>
      </c>
      <c r="P92" s="74">
        <f>SUM(J92:N92)</f>
        <v>0.24963333333333337</v>
      </c>
      <c r="Q92" s="76">
        <v>270</v>
      </c>
      <c r="R92" s="71">
        <v>1000</v>
      </c>
      <c r="S92" s="42"/>
      <c r="T92" s="77">
        <f>J92*J$1*R92</f>
        <v>7207.0000000000009</v>
      </c>
      <c r="U92" s="77">
        <v>6453</v>
      </c>
      <c r="V92" s="94">
        <v>149901</v>
      </c>
      <c r="W92" s="42" t="s">
        <v>373</v>
      </c>
      <c r="X92" s="78"/>
      <c r="Y92" s="78"/>
    </row>
    <row r="93" spans="1:25" s="62" customFormat="1" ht="12" customHeight="1" x14ac:dyDescent="0.2">
      <c r="B93" s="1"/>
      <c r="C93" s="3"/>
      <c r="D93" s="3"/>
      <c r="E93" s="4"/>
      <c r="F93" s="4"/>
      <c r="G93" s="29"/>
      <c r="H93" s="29"/>
      <c r="I93" s="3"/>
      <c r="J93" s="8"/>
      <c r="K93" s="5"/>
      <c r="L93" s="5"/>
      <c r="M93" s="5"/>
      <c r="N93" s="5"/>
      <c r="O93" s="43"/>
      <c r="P93" s="5"/>
      <c r="Q93" s="24"/>
      <c r="R93" s="3"/>
      <c r="S93" s="1"/>
      <c r="T93" s="9">
        <f>SUM(T92)</f>
        <v>7207.0000000000009</v>
      </c>
      <c r="U93" s="9">
        <f>SUM(U92)</f>
        <v>6453</v>
      </c>
      <c r="V93" s="56"/>
      <c r="W93" s="1"/>
      <c r="X93" s="36"/>
      <c r="Y93" s="36"/>
    </row>
    <row r="94" spans="1:25" x14ac:dyDescent="0.2">
      <c r="B94" s="27"/>
      <c r="C94" s="3"/>
      <c r="D94" s="3"/>
      <c r="E94" s="4"/>
      <c r="F94" s="4"/>
      <c r="G94" s="1"/>
      <c r="H94" s="1"/>
      <c r="I94" s="3"/>
      <c r="J94" s="5"/>
      <c r="K94" s="5"/>
      <c r="L94" s="5"/>
      <c r="M94" s="5"/>
      <c r="N94" s="5"/>
      <c r="O94" s="43"/>
      <c r="P94" s="5"/>
      <c r="Q94" s="49"/>
      <c r="R94" s="50"/>
      <c r="S94" s="28"/>
      <c r="T94" s="28"/>
      <c r="U94" s="28"/>
      <c r="V94" s="52"/>
      <c r="W94" s="58"/>
      <c r="X94" s="35"/>
      <c r="Y94" s="35"/>
    </row>
    <row r="95" spans="1:25" x14ac:dyDescent="0.2">
      <c r="B95" s="27"/>
      <c r="C95" s="3"/>
      <c r="D95" s="3"/>
      <c r="E95" s="4"/>
      <c r="F95" s="4"/>
      <c r="G95" s="1"/>
      <c r="H95" s="1"/>
      <c r="I95" s="3"/>
      <c r="J95" s="8"/>
      <c r="K95" s="5"/>
      <c r="L95" s="5"/>
      <c r="M95" s="5"/>
      <c r="N95" s="5"/>
      <c r="O95" s="43"/>
      <c r="P95" s="5"/>
      <c r="Q95" s="49"/>
      <c r="R95" s="50"/>
      <c r="S95" s="28"/>
      <c r="T95" s="28"/>
      <c r="U95" s="28"/>
      <c r="V95" s="52"/>
      <c r="W95" s="58"/>
      <c r="X95" s="35"/>
      <c r="Y95" s="35"/>
    </row>
    <row r="96" spans="1:25" ht="13.5" thickBot="1" x14ac:dyDescent="0.25">
      <c r="B96" s="27"/>
      <c r="C96" s="3"/>
      <c r="D96" s="3"/>
      <c r="E96" s="4"/>
      <c r="F96" s="4"/>
      <c r="G96" s="1"/>
      <c r="H96" s="1"/>
      <c r="I96" s="3"/>
      <c r="J96" s="5"/>
      <c r="K96" s="5"/>
      <c r="L96" s="5"/>
      <c r="M96" s="5"/>
      <c r="N96" s="5"/>
      <c r="O96" s="43"/>
      <c r="P96" s="5"/>
      <c r="Q96" s="49"/>
      <c r="R96" s="50"/>
      <c r="S96" s="28"/>
      <c r="T96" s="82">
        <f>SUM(T93,T90,T40,T26)</f>
        <v>903782.33756666654</v>
      </c>
      <c r="U96" s="82">
        <f>SUM(U93,U90,U40,U26)</f>
        <v>901670</v>
      </c>
      <c r="V96" s="28" t="s">
        <v>526</v>
      </c>
      <c r="W96" s="58"/>
      <c r="X96" s="35"/>
      <c r="Y96" s="35"/>
    </row>
    <row r="97" spans="2:25" ht="13.5" thickTop="1" x14ac:dyDescent="0.2">
      <c r="B97" s="27"/>
      <c r="C97" s="3"/>
      <c r="D97" s="3"/>
      <c r="E97" s="4"/>
      <c r="F97" s="4"/>
      <c r="G97" s="1"/>
      <c r="H97" s="1"/>
      <c r="I97" s="3"/>
      <c r="J97" s="5"/>
      <c r="K97" s="5"/>
      <c r="L97" s="5"/>
      <c r="M97" s="5"/>
      <c r="N97" s="5"/>
      <c r="O97" s="43"/>
      <c r="P97" s="5"/>
      <c r="Q97" s="49"/>
      <c r="R97" s="50"/>
      <c r="S97" s="28"/>
      <c r="T97" s="28"/>
      <c r="U97" s="58" t="s">
        <v>31</v>
      </c>
      <c r="V97" s="58" t="s">
        <v>235</v>
      </c>
      <c r="W97" s="58"/>
      <c r="X97" s="40"/>
      <c r="Y97" s="35"/>
    </row>
    <row r="98" spans="2:25" x14ac:dyDescent="0.2">
      <c r="B98" s="27"/>
      <c r="C98" s="3"/>
      <c r="D98" s="3"/>
      <c r="E98" s="4"/>
      <c r="F98" s="4"/>
      <c r="G98" s="1"/>
      <c r="H98" s="1"/>
      <c r="I98" s="3"/>
      <c r="J98" s="5"/>
      <c r="K98" s="5"/>
      <c r="L98" s="5"/>
      <c r="M98" s="5"/>
      <c r="N98" s="5"/>
      <c r="O98" s="43"/>
      <c r="P98" s="5"/>
      <c r="Q98" s="49"/>
      <c r="R98" s="50"/>
      <c r="S98" s="28"/>
      <c r="T98" s="28"/>
      <c r="U98" s="28"/>
      <c r="V98" s="28"/>
      <c r="W98" s="58"/>
      <c r="X98" s="35"/>
      <c r="Y98" s="35"/>
    </row>
    <row r="99" spans="2:25" x14ac:dyDescent="0.2">
      <c r="B99" s="27"/>
      <c r="C99" s="3"/>
      <c r="D99" s="3"/>
      <c r="E99" s="4"/>
      <c r="F99" s="4"/>
      <c r="G99" s="1"/>
      <c r="H99" s="1"/>
      <c r="I99" s="3"/>
      <c r="J99" s="5"/>
      <c r="K99" s="5"/>
      <c r="L99" s="5"/>
      <c r="M99" s="5"/>
      <c r="N99" s="5"/>
      <c r="O99" s="43"/>
      <c r="P99" s="5"/>
      <c r="Q99" s="49"/>
      <c r="R99" s="50"/>
      <c r="S99" s="28"/>
      <c r="T99" s="28"/>
      <c r="U99" s="28"/>
      <c r="V99" s="52"/>
      <c r="W99" s="58"/>
      <c r="X99" s="35"/>
      <c r="Y99" s="35"/>
    </row>
    <row r="100" spans="2:25" x14ac:dyDescent="0.2">
      <c r="B100" s="27"/>
      <c r="C100" s="3"/>
      <c r="D100" s="3"/>
      <c r="E100" s="4"/>
      <c r="F100" s="4"/>
      <c r="G100" s="1"/>
      <c r="H100" s="1"/>
      <c r="I100" s="3"/>
      <c r="J100" s="8"/>
      <c r="K100" s="5"/>
      <c r="L100" s="5"/>
      <c r="M100" s="5"/>
      <c r="N100" s="5"/>
      <c r="O100" s="43"/>
      <c r="P100" s="5"/>
      <c r="Q100" s="49"/>
      <c r="R100" s="50"/>
      <c r="S100" s="40"/>
      <c r="T100" s="28"/>
      <c r="U100" s="28"/>
      <c r="V100" s="52"/>
      <c r="W100" s="58"/>
      <c r="X100" s="35"/>
      <c r="Y100" s="35"/>
    </row>
    <row r="101" spans="2:25" x14ac:dyDescent="0.2">
      <c r="B101" s="27"/>
      <c r="C101" s="3"/>
      <c r="D101" s="3"/>
      <c r="E101" s="4"/>
      <c r="F101" s="4"/>
      <c r="G101" s="1"/>
      <c r="H101" s="1"/>
      <c r="I101" s="3"/>
      <c r="J101" s="8"/>
      <c r="K101" s="5"/>
      <c r="L101" s="5"/>
      <c r="M101" s="5"/>
      <c r="N101" s="5"/>
      <c r="O101" s="43"/>
      <c r="P101" s="5"/>
      <c r="Q101" s="49"/>
      <c r="R101" s="50"/>
      <c r="S101" s="40"/>
      <c r="T101" s="28"/>
      <c r="U101" s="28"/>
      <c r="V101" s="52"/>
      <c r="W101" s="58"/>
      <c r="X101" s="35"/>
      <c r="Y101" s="35"/>
    </row>
    <row r="102" spans="2:25" x14ac:dyDescent="0.2">
      <c r="Q102" s="34"/>
      <c r="R102" s="34"/>
      <c r="S102" s="34"/>
      <c r="T102" s="34"/>
      <c r="U102" s="34"/>
      <c r="V102" s="51"/>
      <c r="W102" s="61"/>
      <c r="X102" s="51"/>
    </row>
    <row r="103" spans="2:25" x14ac:dyDescent="0.2">
      <c r="Q103" s="34"/>
      <c r="R103" s="34"/>
      <c r="S103" s="34"/>
      <c r="T103" s="34"/>
      <c r="U103" s="34"/>
      <c r="V103" s="51"/>
      <c r="W103" s="61"/>
      <c r="X103" s="51"/>
    </row>
  </sheetData>
  <pageMargins left="0.75" right="0.75" top="1" bottom="1" header="0.5" footer="0.5"/>
  <pageSetup paperSize="5" scale="62" fitToHeight="0" orientation="landscape" r:id="rId1"/>
  <headerFooter alignWithMargins="0">
    <oddFooter>&amp;L&amp;F  &amp;A&amp;R&amp;D  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41"/>
  <sheetViews>
    <sheetView topLeftCell="A13" workbookViewId="0">
      <selection activeCell="K28" sqref="K28"/>
    </sheetView>
  </sheetViews>
  <sheetFormatPr defaultRowHeight="12.75" x14ac:dyDescent="0.2"/>
  <cols>
    <col min="1" max="1" width="1.7109375" customWidth="1"/>
    <col min="2" max="2" width="7.5703125" customWidth="1"/>
    <col min="3" max="3" width="2.5703125" customWidth="1"/>
    <col min="4" max="5" width="8.85546875" customWidth="1"/>
    <col min="6" max="6" width="3.140625" customWidth="1"/>
    <col min="8" max="8" width="3.140625" customWidth="1"/>
    <col min="9" max="9" width="10.28515625" customWidth="1"/>
    <col min="10" max="10" width="3.42578125" customWidth="1"/>
    <col min="11" max="11" width="11" customWidth="1"/>
    <col min="12" max="12" width="3.42578125" customWidth="1"/>
    <col min="13" max="13" width="11" bestFit="1" customWidth="1"/>
    <col min="14" max="14" width="2.7109375" customWidth="1"/>
    <col min="15" max="15" width="11.42578125" customWidth="1"/>
    <col min="16" max="16" width="2.5703125" customWidth="1"/>
    <col min="17" max="17" width="12.42578125" bestFit="1" customWidth="1"/>
    <col min="18" max="18" width="3.42578125" customWidth="1"/>
    <col min="19" max="19" width="12.42578125" bestFit="1" customWidth="1"/>
  </cols>
  <sheetData>
    <row r="2" spans="2:19" ht="15.75" x14ac:dyDescent="0.25">
      <c r="B2" s="135" t="s">
        <v>419</v>
      </c>
      <c r="C2" s="136"/>
      <c r="D2" s="136"/>
      <c r="E2" s="136"/>
      <c r="F2" s="136"/>
    </row>
    <row r="3" spans="2:19" ht="15.75" x14ac:dyDescent="0.25">
      <c r="B3" s="137" t="s">
        <v>420</v>
      </c>
    </row>
    <row r="4" spans="2:19" ht="15.75" x14ac:dyDescent="0.25">
      <c r="B4" s="137" t="s">
        <v>421</v>
      </c>
    </row>
    <row r="5" spans="2:19" x14ac:dyDescent="0.2">
      <c r="B5" t="s">
        <v>447</v>
      </c>
      <c r="S5" s="152" t="s">
        <v>448</v>
      </c>
    </row>
    <row r="6" spans="2:19" x14ac:dyDescent="0.2">
      <c r="S6" s="158">
        <v>36676</v>
      </c>
    </row>
    <row r="7" spans="2:19" ht="15.75" x14ac:dyDescent="0.25">
      <c r="B7" s="138"/>
      <c r="C7" s="138"/>
      <c r="D7" s="138"/>
      <c r="E7" s="138"/>
      <c r="F7" s="138"/>
      <c r="G7" s="138"/>
      <c r="H7" s="138"/>
      <c r="I7" s="138"/>
      <c r="J7" s="138"/>
      <c r="K7" s="139" t="s">
        <v>422</v>
      </c>
      <c r="L7" s="138"/>
      <c r="M7" s="139" t="s">
        <v>422</v>
      </c>
      <c r="N7" s="139" t="s">
        <v>31</v>
      </c>
      <c r="O7" s="139" t="s">
        <v>422</v>
      </c>
      <c r="P7" s="140"/>
      <c r="Q7" s="139" t="s">
        <v>422</v>
      </c>
      <c r="S7" s="153" t="s">
        <v>422</v>
      </c>
    </row>
    <row r="8" spans="2:19" ht="13.5" x14ac:dyDescent="0.25">
      <c r="B8" s="138"/>
      <c r="C8" s="138"/>
      <c r="D8" s="138"/>
      <c r="E8" s="138"/>
      <c r="F8" s="138"/>
      <c r="G8" s="139" t="s">
        <v>422</v>
      </c>
      <c r="H8" s="138"/>
      <c r="I8" s="139" t="s">
        <v>422</v>
      </c>
      <c r="J8" s="138"/>
      <c r="K8" s="139" t="s">
        <v>423</v>
      </c>
      <c r="L8" s="138"/>
      <c r="M8" s="139" t="s">
        <v>424</v>
      </c>
      <c r="N8" s="139" t="s">
        <v>31</v>
      </c>
      <c r="O8" s="139" t="s">
        <v>423</v>
      </c>
      <c r="Q8" s="139" t="s">
        <v>424</v>
      </c>
      <c r="S8" s="153" t="s">
        <v>423</v>
      </c>
    </row>
    <row r="9" spans="2:19" ht="13.5" x14ac:dyDescent="0.25">
      <c r="B9" s="139" t="s">
        <v>425</v>
      </c>
      <c r="C9" s="138"/>
      <c r="D9" s="139" t="s">
        <v>426</v>
      </c>
      <c r="E9" s="139"/>
      <c r="F9" s="139"/>
      <c r="G9" s="139" t="s">
        <v>427</v>
      </c>
      <c r="H9" s="139"/>
      <c r="I9" s="139" t="s">
        <v>427</v>
      </c>
      <c r="J9" s="138"/>
      <c r="K9" s="139" t="s">
        <v>428</v>
      </c>
      <c r="L9" s="138"/>
      <c r="M9" s="139" t="s">
        <v>428</v>
      </c>
      <c r="N9" s="139" t="s">
        <v>31</v>
      </c>
      <c r="O9" s="139" t="s">
        <v>429</v>
      </c>
      <c r="Q9" s="139" t="s">
        <v>429</v>
      </c>
      <c r="S9" s="153" t="s">
        <v>429</v>
      </c>
    </row>
    <row r="10" spans="2:19" ht="15.75" x14ac:dyDescent="0.25">
      <c r="B10" s="141" t="s">
        <v>430</v>
      </c>
      <c r="C10" s="138"/>
      <c r="D10" s="141" t="s">
        <v>431</v>
      </c>
      <c r="E10" s="141" t="s">
        <v>432</v>
      </c>
      <c r="F10" s="138"/>
      <c r="G10" s="142" t="s">
        <v>433</v>
      </c>
      <c r="H10" s="138"/>
      <c r="I10" s="142" t="s">
        <v>434</v>
      </c>
      <c r="J10" s="138"/>
      <c r="K10" s="142" t="s">
        <v>435</v>
      </c>
      <c r="L10" s="138"/>
      <c r="M10" s="142" t="s">
        <v>435</v>
      </c>
      <c r="N10" s="139" t="s">
        <v>31</v>
      </c>
      <c r="O10" s="142" t="s">
        <v>436</v>
      </c>
      <c r="P10" s="137" t="s">
        <v>31</v>
      </c>
      <c r="Q10" s="142" t="s">
        <v>436</v>
      </c>
      <c r="S10" s="154" t="s">
        <v>436</v>
      </c>
    </row>
    <row r="11" spans="2:19" ht="13.5" x14ac:dyDescent="0.25">
      <c r="B11" s="141"/>
      <c r="C11" s="143"/>
      <c r="D11" s="141"/>
      <c r="E11" s="141"/>
      <c r="F11" s="143"/>
      <c r="G11" s="144"/>
      <c r="H11" s="143"/>
      <c r="I11" s="144"/>
      <c r="J11" s="143"/>
      <c r="K11" s="144"/>
      <c r="L11" s="143"/>
      <c r="M11" s="143"/>
      <c r="N11" s="143"/>
      <c r="O11" s="143"/>
      <c r="S11" s="155"/>
    </row>
    <row r="12" spans="2:19" x14ac:dyDescent="0.2">
      <c r="B12">
        <v>3</v>
      </c>
      <c r="D12">
        <v>15</v>
      </c>
      <c r="E12" s="151">
        <v>22</v>
      </c>
      <c r="G12">
        <v>8</v>
      </c>
      <c r="I12">
        <f>G12*30</f>
        <v>240</v>
      </c>
      <c r="K12">
        <v>0</v>
      </c>
      <c r="M12">
        <v>0</v>
      </c>
      <c r="N12" t="s">
        <v>31</v>
      </c>
      <c r="O12">
        <f>G12-K12</f>
        <v>8</v>
      </c>
      <c r="Q12">
        <f>I12-M12</f>
        <v>240</v>
      </c>
      <c r="S12" s="152">
        <v>0</v>
      </c>
    </row>
    <row r="13" spans="2:19" x14ac:dyDescent="0.2">
      <c r="B13">
        <v>5</v>
      </c>
      <c r="D13">
        <v>2</v>
      </c>
      <c r="E13" t="s">
        <v>437</v>
      </c>
      <c r="G13">
        <v>1577</v>
      </c>
      <c r="I13">
        <f t="shared" ref="I13:I22" si="0">G13*30</f>
        <v>47310</v>
      </c>
      <c r="K13">
        <f>ROUND(M13/30,0)</f>
        <v>552</v>
      </c>
      <c r="M13" s="145">
        <v>16560</v>
      </c>
      <c r="O13">
        <f t="shared" ref="O13:O22" si="1">G13-K13</f>
        <v>1025</v>
      </c>
      <c r="Q13">
        <f t="shared" ref="Q13:Q22" si="2">I13-M13</f>
        <v>30750</v>
      </c>
      <c r="S13" s="152">
        <v>1505</v>
      </c>
    </row>
    <row r="14" spans="2:19" x14ac:dyDescent="0.2">
      <c r="B14">
        <v>5</v>
      </c>
      <c r="D14">
        <v>7</v>
      </c>
      <c r="E14" t="s">
        <v>438</v>
      </c>
      <c r="G14">
        <v>3</v>
      </c>
      <c r="I14">
        <f t="shared" si="0"/>
        <v>90</v>
      </c>
      <c r="K14">
        <f t="shared" ref="K14:K22" si="3">ROUND(M14/30,0)</f>
        <v>0</v>
      </c>
      <c r="M14">
        <v>0</v>
      </c>
      <c r="O14">
        <f t="shared" si="1"/>
        <v>3</v>
      </c>
      <c r="Q14">
        <f t="shared" si="2"/>
        <v>90</v>
      </c>
      <c r="S14" s="152">
        <v>475</v>
      </c>
    </row>
    <row r="15" spans="2:19" x14ac:dyDescent="0.2">
      <c r="B15">
        <v>7</v>
      </c>
      <c r="D15">
        <v>1</v>
      </c>
      <c r="E15" s="151" t="s">
        <v>414</v>
      </c>
      <c r="G15">
        <v>627</v>
      </c>
      <c r="I15">
        <f t="shared" si="0"/>
        <v>18810</v>
      </c>
      <c r="K15">
        <f t="shared" si="3"/>
        <v>333</v>
      </c>
      <c r="M15" s="145">
        <v>9990</v>
      </c>
      <c r="O15">
        <f t="shared" si="1"/>
        <v>294</v>
      </c>
      <c r="Q15">
        <f t="shared" si="2"/>
        <v>8820</v>
      </c>
      <c r="S15" s="152">
        <v>794</v>
      </c>
    </row>
    <row r="16" spans="2:19" x14ac:dyDescent="0.2">
      <c r="B16">
        <v>7</v>
      </c>
      <c r="D16">
        <v>3</v>
      </c>
      <c r="E16" s="151" t="s">
        <v>439</v>
      </c>
      <c r="G16">
        <v>88</v>
      </c>
      <c r="I16">
        <f t="shared" si="0"/>
        <v>2640</v>
      </c>
      <c r="K16">
        <f t="shared" si="3"/>
        <v>0</v>
      </c>
      <c r="M16" s="145">
        <v>0</v>
      </c>
      <c r="O16">
        <f t="shared" si="1"/>
        <v>88</v>
      </c>
      <c r="Q16">
        <f t="shared" si="2"/>
        <v>2640</v>
      </c>
      <c r="S16" s="152">
        <v>0</v>
      </c>
    </row>
    <row r="17" spans="2:19" x14ac:dyDescent="0.2">
      <c r="B17">
        <v>7</v>
      </c>
      <c r="D17">
        <v>4</v>
      </c>
      <c r="E17" t="s">
        <v>440</v>
      </c>
      <c r="G17">
        <v>1280</v>
      </c>
      <c r="I17">
        <f t="shared" si="0"/>
        <v>38400</v>
      </c>
      <c r="K17">
        <f t="shared" si="3"/>
        <v>127</v>
      </c>
      <c r="M17" s="145">
        <v>3810</v>
      </c>
      <c r="O17">
        <f t="shared" si="1"/>
        <v>1153</v>
      </c>
      <c r="Q17">
        <f t="shared" si="2"/>
        <v>34590</v>
      </c>
      <c r="S17" s="152">
        <v>1153</v>
      </c>
    </row>
    <row r="18" spans="2:19" x14ac:dyDescent="0.2">
      <c r="B18">
        <v>7</v>
      </c>
      <c r="D18">
        <v>5</v>
      </c>
      <c r="E18" t="s">
        <v>441</v>
      </c>
      <c r="G18">
        <v>1689</v>
      </c>
      <c r="I18">
        <f t="shared" si="0"/>
        <v>50670</v>
      </c>
      <c r="K18">
        <f t="shared" si="3"/>
        <v>667</v>
      </c>
      <c r="M18" s="145">
        <v>20010</v>
      </c>
      <c r="O18">
        <f t="shared" si="1"/>
        <v>1022</v>
      </c>
      <c r="Q18">
        <f t="shared" si="2"/>
        <v>30660</v>
      </c>
      <c r="S18" s="152">
        <v>0</v>
      </c>
    </row>
    <row r="19" spans="2:19" x14ac:dyDescent="0.2">
      <c r="B19">
        <v>7</v>
      </c>
      <c r="D19">
        <v>6</v>
      </c>
      <c r="E19" t="s">
        <v>442</v>
      </c>
      <c r="G19">
        <v>101</v>
      </c>
      <c r="I19">
        <f t="shared" si="0"/>
        <v>3030</v>
      </c>
      <c r="K19">
        <f t="shared" si="3"/>
        <v>101</v>
      </c>
      <c r="M19" s="145">
        <v>3030</v>
      </c>
      <c r="O19">
        <f t="shared" si="1"/>
        <v>0</v>
      </c>
      <c r="Q19">
        <f t="shared" si="2"/>
        <v>0</v>
      </c>
      <c r="S19" s="152">
        <v>101</v>
      </c>
    </row>
    <row r="20" spans="2:19" x14ac:dyDescent="0.2">
      <c r="B20">
        <v>7</v>
      </c>
      <c r="D20">
        <v>8</v>
      </c>
      <c r="E20" t="s">
        <v>443</v>
      </c>
      <c r="G20">
        <v>772</v>
      </c>
      <c r="I20">
        <f t="shared" si="0"/>
        <v>23160</v>
      </c>
      <c r="K20">
        <f t="shared" si="3"/>
        <v>301</v>
      </c>
      <c r="M20" s="145">
        <v>9030</v>
      </c>
      <c r="O20">
        <f t="shared" si="1"/>
        <v>471</v>
      </c>
      <c r="Q20">
        <f t="shared" si="2"/>
        <v>14130</v>
      </c>
      <c r="S20" s="152">
        <v>1002</v>
      </c>
    </row>
    <row r="21" spans="2:19" x14ac:dyDescent="0.2">
      <c r="B21">
        <v>7</v>
      </c>
      <c r="D21">
        <v>9</v>
      </c>
      <c r="E21" t="s">
        <v>444</v>
      </c>
      <c r="G21">
        <v>3605</v>
      </c>
      <c r="I21">
        <f t="shared" si="0"/>
        <v>108150</v>
      </c>
      <c r="K21">
        <f t="shared" si="3"/>
        <v>1253</v>
      </c>
      <c r="M21" s="145">
        <v>37590</v>
      </c>
      <c r="O21">
        <f t="shared" si="1"/>
        <v>2352</v>
      </c>
      <c r="Q21">
        <f t="shared" si="2"/>
        <v>70560</v>
      </c>
      <c r="S21" s="152">
        <v>2992</v>
      </c>
    </row>
    <row r="22" spans="2:19" x14ac:dyDescent="0.2">
      <c r="B22">
        <v>8</v>
      </c>
      <c r="D22">
        <v>35</v>
      </c>
      <c r="E22" t="s">
        <v>445</v>
      </c>
      <c r="G22" s="146">
        <f>1500+870</f>
        <v>2370</v>
      </c>
      <c r="I22" s="147">
        <f t="shared" si="0"/>
        <v>71100</v>
      </c>
      <c r="K22" s="147">
        <f t="shared" si="3"/>
        <v>0</v>
      </c>
      <c r="M22" s="148">
        <v>0</v>
      </c>
      <c r="O22" s="147">
        <f t="shared" si="1"/>
        <v>2370</v>
      </c>
      <c r="Q22" s="146">
        <f t="shared" si="2"/>
        <v>71100</v>
      </c>
      <c r="S22" s="156">
        <v>1430</v>
      </c>
    </row>
    <row r="23" spans="2:19" x14ac:dyDescent="0.2">
      <c r="K23" t="s">
        <v>31</v>
      </c>
      <c r="Q23" s="149"/>
      <c r="S23" s="152"/>
    </row>
    <row r="24" spans="2:19" ht="13.5" thickBot="1" x14ac:dyDescent="0.25">
      <c r="G24" s="150">
        <f>SUM(G12:G23)</f>
        <v>12120</v>
      </c>
      <c r="I24" s="150">
        <f>SUM(I12:I23)</f>
        <v>363600</v>
      </c>
      <c r="K24" s="150">
        <f>SUM(K12:K23)</f>
        <v>3334</v>
      </c>
      <c r="M24" s="150">
        <f>SUM(M12:M23)</f>
        <v>100020</v>
      </c>
      <c r="O24" s="150">
        <f>SUM(O12:O23)</f>
        <v>8786</v>
      </c>
      <c r="Q24" s="150">
        <f>SUM(Q12:Q23)</f>
        <v>263580</v>
      </c>
      <c r="S24" s="157">
        <f>SUM(S12:S23)</f>
        <v>9452</v>
      </c>
    </row>
    <row r="25" spans="2:19" ht="13.5" thickTop="1" x14ac:dyDescent="0.2"/>
    <row r="26" spans="2:19" x14ac:dyDescent="0.2">
      <c r="K26" t="s">
        <v>31</v>
      </c>
    </row>
    <row r="27" spans="2:19" x14ac:dyDescent="0.2">
      <c r="D27" t="s">
        <v>446</v>
      </c>
    </row>
    <row r="28" spans="2:19" x14ac:dyDescent="0.2">
      <c r="K28" t="s">
        <v>31</v>
      </c>
    </row>
    <row r="29" spans="2:19" x14ac:dyDescent="0.2">
      <c r="D29" t="s">
        <v>530</v>
      </c>
    </row>
    <row r="30" spans="2:19" x14ac:dyDescent="0.2">
      <c r="K30" t="s">
        <v>31</v>
      </c>
    </row>
    <row r="31" spans="2:19" x14ac:dyDescent="0.2">
      <c r="K31" t="s">
        <v>31</v>
      </c>
    </row>
    <row r="32" spans="2:19" x14ac:dyDescent="0.2">
      <c r="D32" s="187" t="s">
        <v>181</v>
      </c>
      <c r="E32" s="184"/>
      <c r="F32" s="184"/>
      <c r="H32" s="184" t="s">
        <v>31</v>
      </c>
      <c r="I32" s="184" t="s">
        <v>390</v>
      </c>
      <c r="K32" t="s">
        <v>31</v>
      </c>
    </row>
    <row r="33" spans="4:15" x14ac:dyDescent="0.2">
      <c r="D33" s="184" t="s">
        <v>172</v>
      </c>
      <c r="E33" s="184" t="s">
        <v>181</v>
      </c>
      <c r="F33" s="127"/>
      <c r="G33" s="184"/>
      <c r="I33" s="127">
        <v>4.53</v>
      </c>
      <c r="O33" s="81"/>
    </row>
    <row r="34" spans="4:15" x14ac:dyDescent="0.2">
      <c r="D34" s="184" t="s">
        <v>180</v>
      </c>
      <c r="E34" s="184"/>
      <c r="F34" s="127"/>
      <c r="G34" s="184"/>
      <c r="I34" s="127">
        <f>0.0175</f>
        <v>1.7500000000000002E-2</v>
      </c>
      <c r="O34" s="81"/>
    </row>
    <row r="35" spans="4:15" x14ac:dyDescent="0.2">
      <c r="D35" s="184" t="s">
        <v>173</v>
      </c>
      <c r="E35" s="184"/>
      <c r="F35" s="127"/>
      <c r="G35" s="184"/>
      <c r="I35" s="127">
        <v>1.3299999999999999E-2</v>
      </c>
      <c r="O35" s="289"/>
    </row>
    <row r="36" spans="4:15" x14ac:dyDescent="0.2">
      <c r="D36" s="184" t="s">
        <v>174</v>
      </c>
      <c r="E36" s="184"/>
      <c r="F36" s="127"/>
      <c r="G36" s="184"/>
      <c r="I36" s="127">
        <v>9.4000000000000004E-3</v>
      </c>
      <c r="O36" s="289"/>
    </row>
    <row r="37" spans="4:15" x14ac:dyDescent="0.2">
      <c r="D37" s="184" t="s">
        <v>175</v>
      </c>
      <c r="E37" s="184"/>
      <c r="F37" s="131"/>
      <c r="G37" s="184"/>
      <c r="I37" s="131">
        <v>2.1839999999999998E-2</v>
      </c>
    </row>
    <row r="38" spans="4:15" x14ac:dyDescent="0.2">
      <c r="D38" s="184" t="s">
        <v>176</v>
      </c>
      <c r="E38" s="184"/>
      <c r="F38" s="129"/>
      <c r="G38" s="184"/>
      <c r="I38" s="129">
        <f>ROUND((+I33)/(1-I37)+(I35+I36),4)-I33</f>
        <v>0.12380000000000013</v>
      </c>
    </row>
    <row r="39" spans="4:15" ht="13.5" thickBot="1" x14ac:dyDescent="0.25">
      <c r="D39" s="184"/>
      <c r="E39" s="184"/>
      <c r="F39" s="130"/>
      <c r="G39" s="184"/>
      <c r="I39" s="129">
        <v>0.02</v>
      </c>
      <c r="O39" s="289"/>
    </row>
    <row r="40" spans="4:15" ht="14.25" thickTop="1" thickBot="1" x14ac:dyDescent="0.25">
      <c r="D40" s="184"/>
      <c r="E40" s="184"/>
      <c r="F40" s="184"/>
      <c r="G40" s="184"/>
      <c r="I40" s="130">
        <f>SUM(I33,I34,I38,I39)</f>
        <v>4.6913</v>
      </c>
      <c r="K40" s="288" t="s">
        <v>531</v>
      </c>
      <c r="O40" s="81"/>
    </row>
    <row r="41" spans="4:15" ht="13.5" thickTop="1" x14ac:dyDescent="0.2"/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78"/>
  <sheetViews>
    <sheetView topLeftCell="C1" workbookViewId="0">
      <selection activeCell="C1" sqref="A1:IV1"/>
    </sheetView>
  </sheetViews>
  <sheetFormatPr defaultRowHeight="12.75" x14ac:dyDescent="0.2"/>
  <cols>
    <col min="9" max="9" width="11.28515625" customWidth="1"/>
    <col min="11" max="11" width="11.28515625" customWidth="1"/>
    <col min="13" max="13" width="12.5703125" customWidth="1"/>
  </cols>
  <sheetData>
    <row r="1" spans="2:17" x14ac:dyDescent="0.2"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</row>
    <row r="2" spans="2:17" x14ac:dyDescent="0.2">
      <c r="B2" s="163"/>
      <c r="C2" s="163" t="s">
        <v>0</v>
      </c>
      <c r="D2" s="163">
        <v>37147</v>
      </c>
      <c r="E2" s="163" t="s">
        <v>1</v>
      </c>
      <c r="F2" s="163" t="s">
        <v>2</v>
      </c>
      <c r="G2" s="163" t="s">
        <v>2</v>
      </c>
      <c r="H2" s="164">
        <v>35582</v>
      </c>
      <c r="I2" s="163" t="s">
        <v>2</v>
      </c>
      <c r="J2" s="163" t="s">
        <v>2</v>
      </c>
      <c r="K2" s="163">
        <v>0</v>
      </c>
      <c r="L2" s="163">
        <v>0</v>
      </c>
      <c r="M2" s="163">
        <v>0</v>
      </c>
      <c r="N2" s="163">
        <v>0</v>
      </c>
      <c r="O2" s="163">
        <v>0</v>
      </c>
      <c r="P2" s="163">
        <v>0</v>
      </c>
      <c r="Q2" s="163" t="s">
        <v>2</v>
      </c>
    </row>
    <row r="3" spans="2:17" x14ac:dyDescent="0.2">
      <c r="B3" s="165"/>
      <c r="C3" s="165" t="s">
        <v>0</v>
      </c>
      <c r="D3" s="165">
        <v>39149</v>
      </c>
      <c r="E3" s="165" t="s">
        <v>267</v>
      </c>
      <c r="F3" s="165" t="s">
        <v>2</v>
      </c>
      <c r="G3" s="165" t="s">
        <v>2</v>
      </c>
      <c r="H3" s="166">
        <v>35582</v>
      </c>
      <c r="I3" s="165" t="s">
        <v>2</v>
      </c>
      <c r="J3" s="165" t="s">
        <v>2</v>
      </c>
      <c r="K3" s="167">
        <v>500000</v>
      </c>
      <c r="L3" s="165">
        <v>0</v>
      </c>
      <c r="M3" s="167">
        <v>500000</v>
      </c>
      <c r="N3" s="165">
        <v>0</v>
      </c>
      <c r="O3" s="165">
        <v>0</v>
      </c>
      <c r="P3" s="165">
        <v>0</v>
      </c>
      <c r="Q3" s="165" t="s">
        <v>2</v>
      </c>
    </row>
    <row r="4" spans="2:17" x14ac:dyDescent="0.2">
      <c r="B4" s="163"/>
      <c r="C4" s="163" t="s">
        <v>0</v>
      </c>
      <c r="D4" s="163">
        <v>39607</v>
      </c>
      <c r="E4" s="163" t="s">
        <v>3</v>
      </c>
      <c r="F4" s="163" t="s">
        <v>2</v>
      </c>
      <c r="G4" s="163" t="s">
        <v>2</v>
      </c>
      <c r="H4" s="164">
        <v>35582</v>
      </c>
      <c r="I4" s="163" t="s">
        <v>2</v>
      </c>
      <c r="J4" s="163" t="s">
        <v>2</v>
      </c>
      <c r="K4" s="168">
        <v>10000000</v>
      </c>
      <c r="L4" s="163">
        <v>0</v>
      </c>
      <c r="M4" s="168">
        <v>10000000</v>
      </c>
      <c r="N4" s="163">
        <v>0</v>
      </c>
      <c r="O4" s="163">
        <v>0</v>
      </c>
      <c r="P4" s="163">
        <v>0</v>
      </c>
      <c r="Q4" s="163" t="s">
        <v>2</v>
      </c>
    </row>
    <row r="5" spans="2:17" x14ac:dyDescent="0.2">
      <c r="B5" s="165"/>
      <c r="C5" s="165" t="s">
        <v>0</v>
      </c>
      <c r="D5" s="165">
        <v>39764</v>
      </c>
      <c r="E5" s="165" t="s">
        <v>4</v>
      </c>
      <c r="F5" s="165" t="s">
        <v>2</v>
      </c>
      <c r="G5" s="165" t="s">
        <v>2</v>
      </c>
      <c r="H5" s="166">
        <v>35582</v>
      </c>
      <c r="I5" s="165" t="s">
        <v>2</v>
      </c>
      <c r="J5" s="165" t="s">
        <v>2</v>
      </c>
      <c r="K5" s="167">
        <v>60000</v>
      </c>
      <c r="L5" s="165">
        <v>0</v>
      </c>
      <c r="M5" s="167">
        <v>60000</v>
      </c>
      <c r="N5" s="165">
        <v>0</v>
      </c>
      <c r="O5" s="165">
        <v>0</v>
      </c>
      <c r="P5" s="165">
        <v>0</v>
      </c>
      <c r="Q5" s="165" t="s">
        <v>2</v>
      </c>
    </row>
    <row r="6" spans="2:17" x14ac:dyDescent="0.2">
      <c r="B6" s="163"/>
      <c r="C6" s="163" t="s">
        <v>0</v>
      </c>
      <c r="D6" s="163">
        <v>40998</v>
      </c>
      <c r="E6" s="163" t="s">
        <v>5</v>
      </c>
      <c r="F6" s="163" t="s">
        <v>2</v>
      </c>
      <c r="G6" s="163" t="s">
        <v>2</v>
      </c>
      <c r="H6" s="164">
        <v>34393</v>
      </c>
      <c r="I6" s="163" t="s">
        <v>2</v>
      </c>
      <c r="J6" s="163" t="s">
        <v>2</v>
      </c>
      <c r="K6" s="168">
        <v>250000</v>
      </c>
      <c r="L6" s="163">
        <v>0</v>
      </c>
      <c r="M6" s="168">
        <v>250000</v>
      </c>
      <c r="N6" s="163">
        <v>0</v>
      </c>
      <c r="O6" s="163">
        <v>0</v>
      </c>
      <c r="P6" s="163">
        <v>0</v>
      </c>
      <c r="Q6" s="163" t="s">
        <v>2</v>
      </c>
    </row>
    <row r="7" spans="2:17" x14ac:dyDescent="0.2">
      <c r="B7" s="165"/>
      <c r="C7" s="165" t="s">
        <v>0</v>
      </c>
      <c r="D7" s="165">
        <v>60094</v>
      </c>
      <c r="E7" s="165" t="s">
        <v>6</v>
      </c>
      <c r="F7" s="165" t="s">
        <v>2</v>
      </c>
      <c r="G7" s="165" t="s">
        <v>2</v>
      </c>
      <c r="H7" s="166">
        <v>35916</v>
      </c>
      <c r="I7" s="165" t="s">
        <v>2</v>
      </c>
      <c r="J7" s="165" t="s">
        <v>2</v>
      </c>
      <c r="K7" s="165">
        <v>0</v>
      </c>
      <c r="L7" s="165">
        <v>0</v>
      </c>
      <c r="M7" s="165">
        <v>0</v>
      </c>
      <c r="N7" s="165">
        <v>0</v>
      </c>
      <c r="O7" s="165">
        <v>0</v>
      </c>
      <c r="P7" s="165">
        <v>0</v>
      </c>
      <c r="Q7" s="165" t="s">
        <v>2</v>
      </c>
    </row>
    <row r="8" spans="2:17" x14ac:dyDescent="0.2">
      <c r="B8" s="163"/>
      <c r="C8" s="163" t="s">
        <v>0</v>
      </c>
      <c r="D8" s="163">
        <v>61822</v>
      </c>
      <c r="E8" s="163" t="s">
        <v>81</v>
      </c>
      <c r="F8" s="163" t="s">
        <v>2</v>
      </c>
      <c r="G8" s="163" t="s">
        <v>2</v>
      </c>
      <c r="H8" s="164">
        <v>36557</v>
      </c>
      <c r="I8" s="163" t="s">
        <v>2</v>
      </c>
      <c r="J8" s="163">
        <v>22429</v>
      </c>
      <c r="K8" s="168">
        <v>4000</v>
      </c>
      <c r="L8" s="163">
        <v>0</v>
      </c>
      <c r="M8" s="168">
        <v>4000</v>
      </c>
      <c r="N8" s="163">
        <v>0</v>
      </c>
      <c r="O8" s="163">
        <v>0</v>
      </c>
      <c r="P8" s="163">
        <v>0</v>
      </c>
      <c r="Q8" s="163" t="s">
        <v>2</v>
      </c>
    </row>
    <row r="9" spans="2:17" x14ac:dyDescent="0.2">
      <c r="B9" s="165"/>
      <c r="C9" s="165" t="s">
        <v>0</v>
      </c>
      <c r="D9" s="165">
        <v>61825</v>
      </c>
      <c r="E9" s="165" t="s">
        <v>81</v>
      </c>
      <c r="F9" s="165" t="s">
        <v>2</v>
      </c>
      <c r="G9" s="165" t="s">
        <v>2</v>
      </c>
      <c r="H9" s="166">
        <v>36557</v>
      </c>
      <c r="I9" s="166">
        <v>36830</v>
      </c>
      <c r="J9" s="165">
        <v>22428</v>
      </c>
      <c r="K9" s="167">
        <v>8000</v>
      </c>
      <c r="L9" s="165">
        <v>0</v>
      </c>
      <c r="M9" s="167">
        <v>8000</v>
      </c>
      <c r="N9" s="165">
        <v>0</v>
      </c>
      <c r="O9" s="165">
        <v>0</v>
      </c>
      <c r="P9" s="165">
        <v>0</v>
      </c>
      <c r="Q9" s="165" t="s">
        <v>2</v>
      </c>
    </row>
    <row r="10" spans="2:17" x14ac:dyDescent="0.2">
      <c r="B10" s="163"/>
      <c r="C10" s="163" t="s">
        <v>0</v>
      </c>
      <c r="D10" s="163">
        <v>61838</v>
      </c>
      <c r="E10" s="163" t="s">
        <v>81</v>
      </c>
      <c r="F10" s="163" t="s">
        <v>2</v>
      </c>
      <c r="G10" s="163" t="s">
        <v>2</v>
      </c>
      <c r="H10" s="164">
        <v>36557</v>
      </c>
      <c r="I10" s="163" t="s">
        <v>2</v>
      </c>
      <c r="J10" s="163">
        <v>22422</v>
      </c>
      <c r="K10" s="168">
        <v>1000</v>
      </c>
      <c r="L10" s="163">
        <v>0</v>
      </c>
      <c r="M10" s="168">
        <v>1000</v>
      </c>
      <c r="N10" s="163">
        <v>0</v>
      </c>
      <c r="O10" s="163">
        <v>0</v>
      </c>
      <c r="P10" s="163">
        <v>0</v>
      </c>
      <c r="Q10" s="163" t="s">
        <v>2</v>
      </c>
    </row>
    <row r="11" spans="2:17" x14ac:dyDescent="0.2">
      <c r="B11" s="165"/>
      <c r="C11" s="165" t="s">
        <v>0</v>
      </c>
      <c r="D11" s="165">
        <v>61990</v>
      </c>
      <c r="E11" s="165" t="s">
        <v>81</v>
      </c>
      <c r="F11" s="165" t="s">
        <v>2</v>
      </c>
      <c r="G11" s="165" t="s">
        <v>2</v>
      </c>
      <c r="H11" s="166">
        <v>36557</v>
      </c>
      <c r="I11" s="165" t="s">
        <v>2</v>
      </c>
      <c r="J11" s="165">
        <v>22747</v>
      </c>
      <c r="K11" s="167">
        <v>2000</v>
      </c>
      <c r="L11" s="165">
        <v>0</v>
      </c>
      <c r="M11" s="167">
        <v>2000</v>
      </c>
      <c r="N11" s="165">
        <v>0</v>
      </c>
      <c r="O11" s="165">
        <v>0</v>
      </c>
      <c r="P11" s="165">
        <v>0</v>
      </c>
      <c r="Q11" s="165" t="s">
        <v>2</v>
      </c>
    </row>
    <row r="12" spans="2:17" x14ac:dyDescent="0.2">
      <c r="B12" s="163"/>
      <c r="C12" s="163" t="s">
        <v>0</v>
      </c>
      <c r="D12" s="163">
        <v>62164</v>
      </c>
      <c r="E12" s="163" t="s">
        <v>81</v>
      </c>
      <c r="F12" s="163" t="s">
        <v>2</v>
      </c>
      <c r="G12" s="163" t="s">
        <v>2</v>
      </c>
      <c r="H12" s="164">
        <v>36557</v>
      </c>
      <c r="I12" s="164">
        <v>36891</v>
      </c>
      <c r="J12" s="163">
        <v>23652</v>
      </c>
      <c r="K12" s="168">
        <v>2000</v>
      </c>
      <c r="L12" s="163">
        <v>0</v>
      </c>
      <c r="M12" s="168">
        <v>2000</v>
      </c>
      <c r="N12" s="163">
        <v>0</v>
      </c>
      <c r="O12" s="163">
        <v>0</v>
      </c>
      <c r="P12" s="163">
        <v>0</v>
      </c>
      <c r="Q12" s="163" t="s">
        <v>2</v>
      </c>
    </row>
    <row r="13" spans="2:17" x14ac:dyDescent="0.2">
      <c r="B13" s="165"/>
      <c r="C13" s="165" t="s">
        <v>0</v>
      </c>
      <c r="D13" s="165">
        <v>64034</v>
      </c>
      <c r="E13" s="165" t="s">
        <v>81</v>
      </c>
      <c r="F13" s="165" t="s">
        <v>2</v>
      </c>
      <c r="G13" s="165" t="s">
        <v>2</v>
      </c>
      <c r="H13" s="166">
        <v>36557</v>
      </c>
      <c r="I13" s="166">
        <v>36707</v>
      </c>
      <c r="J13" s="165">
        <v>25699</v>
      </c>
      <c r="K13" s="165">
        <v>911</v>
      </c>
      <c r="L13" s="165">
        <v>0</v>
      </c>
      <c r="M13" s="165">
        <v>911</v>
      </c>
      <c r="N13" s="165">
        <v>0</v>
      </c>
      <c r="O13" s="165">
        <v>0</v>
      </c>
      <c r="P13" s="165">
        <v>0</v>
      </c>
      <c r="Q13" s="165" t="s">
        <v>2</v>
      </c>
    </row>
    <row r="14" spans="2:17" x14ac:dyDescent="0.2">
      <c r="B14" s="163"/>
      <c r="C14" s="163" t="s">
        <v>0</v>
      </c>
      <c r="D14" s="163">
        <v>64036</v>
      </c>
      <c r="E14" s="163" t="s">
        <v>81</v>
      </c>
      <c r="F14" s="163" t="s">
        <v>2</v>
      </c>
      <c r="G14" s="163" t="s">
        <v>2</v>
      </c>
      <c r="H14" s="164">
        <v>36557</v>
      </c>
      <c r="I14" s="164">
        <v>36707</v>
      </c>
      <c r="J14" s="163">
        <v>25712</v>
      </c>
      <c r="K14" s="163">
        <v>1</v>
      </c>
      <c r="L14" s="163">
        <v>0</v>
      </c>
      <c r="M14" s="163">
        <v>1</v>
      </c>
      <c r="N14" s="163">
        <v>0</v>
      </c>
      <c r="O14" s="163">
        <v>0</v>
      </c>
      <c r="P14" s="163">
        <v>0</v>
      </c>
      <c r="Q14" s="163" t="s">
        <v>2</v>
      </c>
    </row>
    <row r="15" spans="2:17" x14ac:dyDescent="0.2">
      <c r="B15" s="165"/>
      <c r="C15" s="165" t="s">
        <v>0</v>
      </c>
      <c r="D15" s="165">
        <v>64328</v>
      </c>
      <c r="E15" s="165" t="s">
        <v>81</v>
      </c>
      <c r="F15" s="165" t="s">
        <v>2</v>
      </c>
      <c r="G15" s="165" t="s">
        <v>2</v>
      </c>
      <c r="H15" s="166">
        <v>36557</v>
      </c>
      <c r="I15" s="166">
        <v>36738</v>
      </c>
      <c r="J15" s="165">
        <v>25955</v>
      </c>
      <c r="K15" s="165">
        <v>51</v>
      </c>
      <c r="L15" s="165">
        <v>0</v>
      </c>
      <c r="M15" s="165">
        <v>51</v>
      </c>
      <c r="N15" s="165">
        <v>0</v>
      </c>
      <c r="O15" s="165">
        <v>0</v>
      </c>
      <c r="P15" s="165">
        <v>0</v>
      </c>
      <c r="Q15" s="165" t="s">
        <v>2</v>
      </c>
    </row>
    <row r="16" spans="2:17" x14ac:dyDescent="0.2">
      <c r="B16" s="163"/>
      <c r="C16" s="163" t="s">
        <v>0</v>
      </c>
      <c r="D16" s="163">
        <v>64329</v>
      </c>
      <c r="E16" s="163" t="s">
        <v>81</v>
      </c>
      <c r="F16" s="163" t="s">
        <v>2</v>
      </c>
      <c r="G16" s="163" t="s">
        <v>2</v>
      </c>
      <c r="H16" s="164">
        <v>36557</v>
      </c>
      <c r="I16" s="164">
        <v>36738</v>
      </c>
      <c r="J16" s="163">
        <v>25965</v>
      </c>
      <c r="K16" s="163">
        <v>12</v>
      </c>
      <c r="L16" s="163">
        <v>0</v>
      </c>
      <c r="M16" s="163">
        <v>12</v>
      </c>
      <c r="N16" s="163">
        <v>0</v>
      </c>
      <c r="O16" s="163">
        <v>0</v>
      </c>
      <c r="P16" s="163">
        <v>0</v>
      </c>
      <c r="Q16" s="163" t="s">
        <v>2</v>
      </c>
    </row>
    <row r="17" spans="2:17" x14ac:dyDescent="0.2">
      <c r="B17" s="165"/>
      <c r="C17" s="165" t="s">
        <v>0</v>
      </c>
      <c r="D17" s="165">
        <v>64356</v>
      </c>
      <c r="E17" s="165" t="s">
        <v>7</v>
      </c>
      <c r="F17" s="165" t="s">
        <v>8</v>
      </c>
      <c r="G17" s="165" t="s">
        <v>2</v>
      </c>
      <c r="H17" s="166">
        <v>36526</v>
      </c>
      <c r="I17" s="166">
        <v>36707</v>
      </c>
      <c r="J17" s="165" t="s">
        <v>2</v>
      </c>
      <c r="K17" s="167">
        <v>310000</v>
      </c>
      <c r="L17" s="165">
        <v>0</v>
      </c>
      <c r="M17" s="167">
        <v>310000</v>
      </c>
      <c r="N17" s="165">
        <v>0</v>
      </c>
      <c r="O17" s="165">
        <v>0</v>
      </c>
      <c r="P17" s="165">
        <v>0</v>
      </c>
      <c r="Q17" s="165"/>
    </row>
    <row r="18" spans="2:17" x14ac:dyDescent="0.2">
      <c r="B18" s="163"/>
      <c r="C18" s="163" t="s">
        <v>0</v>
      </c>
      <c r="D18" s="163">
        <v>64651</v>
      </c>
      <c r="E18" s="163" t="s">
        <v>81</v>
      </c>
      <c r="F18" s="163" t="s">
        <v>2</v>
      </c>
      <c r="G18" s="163" t="s">
        <v>2</v>
      </c>
      <c r="H18" s="164">
        <v>36557</v>
      </c>
      <c r="I18" s="164">
        <v>36769</v>
      </c>
      <c r="J18" s="163">
        <v>26150</v>
      </c>
      <c r="K18" s="163">
        <v>64</v>
      </c>
      <c r="L18" s="163">
        <v>0</v>
      </c>
      <c r="M18" s="163">
        <v>64</v>
      </c>
      <c r="N18" s="163">
        <v>0</v>
      </c>
      <c r="O18" s="163">
        <v>0</v>
      </c>
      <c r="P18" s="163">
        <v>0</v>
      </c>
      <c r="Q18" s="163" t="s">
        <v>2</v>
      </c>
    </row>
    <row r="19" spans="2:17" x14ac:dyDescent="0.2">
      <c r="B19" s="165"/>
      <c r="C19" s="165" t="s">
        <v>0</v>
      </c>
      <c r="D19" s="165">
        <v>64862</v>
      </c>
      <c r="E19" s="165" t="s">
        <v>81</v>
      </c>
      <c r="F19" s="165" t="s">
        <v>2</v>
      </c>
      <c r="G19" s="165" t="s">
        <v>2</v>
      </c>
      <c r="H19" s="166">
        <v>36557</v>
      </c>
      <c r="I19" s="166">
        <v>36799</v>
      </c>
      <c r="J19" s="165">
        <v>26503</v>
      </c>
      <c r="K19" s="165">
        <v>13</v>
      </c>
      <c r="L19" s="165">
        <v>0</v>
      </c>
      <c r="M19" s="165">
        <v>13</v>
      </c>
      <c r="N19" s="165">
        <v>0</v>
      </c>
      <c r="O19" s="165">
        <v>0</v>
      </c>
      <c r="P19" s="165">
        <v>0</v>
      </c>
      <c r="Q19" s="165" t="s">
        <v>2</v>
      </c>
    </row>
    <row r="20" spans="2:17" x14ac:dyDescent="0.2">
      <c r="B20" s="163"/>
      <c r="C20" s="163" t="s">
        <v>0</v>
      </c>
      <c r="D20" s="163">
        <v>64939</v>
      </c>
      <c r="E20" s="163" t="s">
        <v>81</v>
      </c>
      <c r="F20" s="163" t="s">
        <v>2</v>
      </c>
      <c r="G20" s="163" t="s">
        <v>2</v>
      </c>
      <c r="H20" s="164">
        <v>36557</v>
      </c>
      <c r="I20" s="164">
        <v>36799</v>
      </c>
      <c r="J20" s="163">
        <v>26577</v>
      </c>
      <c r="K20" s="168">
        <v>2300</v>
      </c>
      <c r="L20" s="163">
        <v>0</v>
      </c>
      <c r="M20" s="168">
        <v>2300</v>
      </c>
      <c r="N20" s="163">
        <v>0</v>
      </c>
      <c r="O20" s="163">
        <v>0</v>
      </c>
      <c r="P20" s="163">
        <v>0</v>
      </c>
      <c r="Q20" s="163" t="s">
        <v>2</v>
      </c>
    </row>
    <row r="21" spans="2:17" x14ac:dyDescent="0.2">
      <c r="B21" s="165"/>
      <c r="C21" s="165" t="s">
        <v>0</v>
      </c>
      <c r="D21" s="165">
        <v>65026</v>
      </c>
      <c r="E21" s="165" t="s">
        <v>81</v>
      </c>
      <c r="F21" s="165" t="s">
        <v>2</v>
      </c>
      <c r="G21" s="165" t="s">
        <v>2</v>
      </c>
      <c r="H21" s="166">
        <v>36557</v>
      </c>
      <c r="I21" s="166">
        <v>36830</v>
      </c>
      <c r="J21" s="165">
        <v>26726</v>
      </c>
      <c r="K21" s="165">
        <v>128</v>
      </c>
      <c r="L21" s="165">
        <v>0</v>
      </c>
      <c r="M21" s="165">
        <v>128</v>
      </c>
      <c r="N21" s="165">
        <v>0</v>
      </c>
      <c r="O21" s="165">
        <v>0</v>
      </c>
      <c r="P21" s="165">
        <v>0</v>
      </c>
      <c r="Q21" s="165" t="s">
        <v>2</v>
      </c>
    </row>
    <row r="22" spans="2:17" x14ac:dyDescent="0.2">
      <c r="B22" s="163"/>
      <c r="C22" s="163" t="s">
        <v>0</v>
      </c>
      <c r="D22" s="163">
        <v>65041</v>
      </c>
      <c r="E22" s="163" t="s">
        <v>81</v>
      </c>
      <c r="F22" s="163" t="s">
        <v>2</v>
      </c>
      <c r="G22" s="163" t="s">
        <v>2</v>
      </c>
      <c r="H22" s="164">
        <v>36557</v>
      </c>
      <c r="I22" s="164">
        <v>36830</v>
      </c>
      <c r="J22" s="163">
        <v>26754</v>
      </c>
      <c r="K22" s="168">
        <v>9619</v>
      </c>
      <c r="L22" s="163">
        <v>0</v>
      </c>
      <c r="M22" s="168">
        <v>9619</v>
      </c>
      <c r="N22" s="163">
        <v>0</v>
      </c>
      <c r="O22" s="163">
        <v>0</v>
      </c>
      <c r="P22" s="163">
        <v>0</v>
      </c>
      <c r="Q22" s="163" t="s">
        <v>2</v>
      </c>
    </row>
    <row r="23" spans="2:17" x14ac:dyDescent="0.2">
      <c r="B23" s="165"/>
      <c r="C23" s="165" t="s">
        <v>0</v>
      </c>
      <c r="D23" s="165">
        <v>65042</v>
      </c>
      <c r="E23" s="165" t="s">
        <v>81</v>
      </c>
      <c r="F23" s="165" t="s">
        <v>2</v>
      </c>
      <c r="G23" s="165" t="s">
        <v>2</v>
      </c>
      <c r="H23" s="166">
        <v>36557</v>
      </c>
      <c r="I23" s="166">
        <v>36830</v>
      </c>
      <c r="J23" s="165">
        <v>26753</v>
      </c>
      <c r="K23" s="167">
        <v>4427</v>
      </c>
      <c r="L23" s="165">
        <v>0</v>
      </c>
      <c r="M23" s="167">
        <v>4427</v>
      </c>
      <c r="N23" s="165">
        <v>0</v>
      </c>
      <c r="O23" s="165">
        <v>0</v>
      </c>
      <c r="P23" s="165">
        <v>0</v>
      </c>
      <c r="Q23" s="165" t="s">
        <v>2</v>
      </c>
    </row>
    <row r="24" spans="2:17" x14ac:dyDescent="0.2">
      <c r="B24" s="163"/>
      <c r="C24" s="163" t="s">
        <v>0</v>
      </c>
      <c r="D24" s="163">
        <v>65071</v>
      </c>
      <c r="E24" s="163" t="s">
        <v>81</v>
      </c>
      <c r="F24" s="163" t="s">
        <v>2</v>
      </c>
      <c r="G24" s="163" t="s">
        <v>2</v>
      </c>
      <c r="H24" s="164">
        <v>36557</v>
      </c>
      <c r="I24" s="164">
        <v>36830</v>
      </c>
      <c r="J24" s="163">
        <v>26782</v>
      </c>
      <c r="K24" s="168">
        <v>7429</v>
      </c>
      <c r="L24" s="163">
        <v>0</v>
      </c>
      <c r="M24" s="168">
        <v>7035</v>
      </c>
      <c r="N24" s="163">
        <v>394</v>
      </c>
      <c r="O24" s="163">
        <v>0</v>
      </c>
      <c r="P24" s="163">
        <v>0</v>
      </c>
      <c r="Q24" s="163" t="s">
        <v>2</v>
      </c>
    </row>
    <row r="25" spans="2:17" x14ac:dyDescent="0.2">
      <c r="B25" s="165"/>
      <c r="C25" s="165" t="s">
        <v>0</v>
      </c>
      <c r="D25" s="165">
        <v>65108</v>
      </c>
      <c r="E25" s="165" t="s">
        <v>81</v>
      </c>
      <c r="F25" s="165" t="s">
        <v>2</v>
      </c>
      <c r="G25" s="165" t="s">
        <v>2</v>
      </c>
      <c r="H25" s="166">
        <v>36557</v>
      </c>
      <c r="I25" s="166">
        <v>37011</v>
      </c>
      <c r="J25" s="165" t="s">
        <v>2</v>
      </c>
      <c r="K25" s="167">
        <v>5000</v>
      </c>
      <c r="L25" s="165">
        <v>0</v>
      </c>
      <c r="M25" s="167">
        <v>5000</v>
      </c>
      <c r="N25" s="165">
        <v>0</v>
      </c>
      <c r="O25" s="165">
        <v>0</v>
      </c>
      <c r="P25" s="165">
        <v>0</v>
      </c>
      <c r="Q25" s="165" t="s">
        <v>2</v>
      </c>
    </row>
    <row r="26" spans="2:17" x14ac:dyDescent="0.2">
      <c r="B26" s="163"/>
      <c r="C26" s="163" t="s">
        <v>0</v>
      </c>
      <c r="D26" s="163">
        <v>65402</v>
      </c>
      <c r="E26" s="163" t="s">
        <v>81</v>
      </c>
      <c r="F26" s="163" t="s">
        <v>2</v>
      </c>
      <c r="G26" s="163" t="s">
        <v>2</v>
      </c>
      <c r="H26" s="164">
        <v>36557</v>
      </c>
      <c r="I26" s="164">
        <v>36830</v>
      </c>
      <c r="J26" s="163">
        <v>26694</v>
      </c>
      <c r="K26" s="168">
        <v>20000</v>
      </c>
      <c r="L26" s="163">
        <v>0</v>
      </c>
      <c r="M26" s="163">
        <v>0</v>
      </c>
      <c r="N26" s="168">
        <v>20000</v>
      </c>
      <c r="O26" s="163">
        <v>0</v>
      </c>
      <c r="P26" s="163">
        <v>0</v>
      </c>
      <c r="Q26" s="163" t="s">
        <v>2</v>
      </c>
    </row>
    <row r="27" spans="2:17" x14ac:dyDescent="0.2">
      <c r="B27" s="165"/>
      <c r="C27" s="165" t="s">
        <v>0</v>
      </c>
      <c r="D27" s="165">
        <v>65403</v>
      </c>
      <c r="E27" s="165" t="s">
        <v>81</v>
      </c>
      <c r="F27" s="165" t="s">
        <v>2</v>
      </c>
      <c r="G27" s="165" t="s">
        <v>2</v>
      </c>
      <c r="H27" s="166">
        <v>36557</v>
      </c>
      <c r="I27" s="166">
        <v>37011</v>
      </c>
      <c r="J27" s="165">
        <v>26714</v>
      </c>
      <c r="K27" s="167">
        <v>19293</v>
      </c>
      <c r="L27" s="165">
        <v>0</v>
      </c>
      <c r="M27" s="167">
        <v>19293</v>
      </c>
      <c r="N27" s="165">
        <v>0</v>
      </c>
      <c r="O27" s="165">
        <v>0</v>
      </c>
      <c r="P27" s="165">
        <v>0</v>
      </c>
      <c r="Q27" s="165" t="s">
        <v>2</v>
      </c>
    </row>
    <row r="28" spans="2:17" x14ac:dyDescent="0.2">
      <c r="B28" s="163"/>
      <c r="C28" s="163" t="s">
        <v>0</v>
      </c>
      <c r="D28" s="163">
        <v>65418</v>
      </c>
      <c r="E28" s="163" t="s">
        <v>81</v>
      </c>
      <c r="F28" s="163" t="s">
        <v>2</v>
      </c>
      <c r="G28" s="163" t="s">
        <v>2</v>
      </c>
      <c r="H28" s="164">
        <v>36557</v>
      </c>
      <c r="I28" s="163" t="s">
        <v>2</v>
      </c>
      <c r="J28" s="163">
        <v>26722</v>
      </c>
      <c r="K28" s="163">
        <v>500</v>
      </c>
      <c r="L28" s="163">
        <v>0</v>
      </c>
      <c r="M28" s="163">
        <v>500</v>
      </c>
      <c r="N28" s="163">
        <v>0</v>
      </c>
      <c r="O28" s="163">
        <v>0</v>
      </c>
      <c r="P28" s="163">
        <v>0</v>
      </c>
      <c r="Q28" s="163" t="s">
        <v>2</v>
      </c>
    </row>
    <row r="29" spans="2:17" x14ac:dyDescent="0.2">
      <c r="B29" s="165"/>
      <c r="C29" s="165" t="s">
        <v>0</v>
      </c>
      <c r="D29" s="165">
        <v>65556</v>
      </c>
      <c r="E29" s="165" t="s">
        <v>81</v>
      </c>
      <c r="F29" s="165" t="s">
        <v>2</v>
      </c>
      <c r="G29" s="165" t="s">
        <v>2</v>
      </c>
      <c r="H29" s="166">
        <v>36557</v>
      </c>
      <c r="I29" s="166">
        <v>36860</v>
      </c>
      <c r="J29" s="165">
        <v>27127</v>
      </c>
      <c r="K29" s="165">
        <v>3</v>
      </c>
      <c r="L29" s="165">
        <v>0</v>
      </c>
      <c r="M29" s="165">
        <v>3</v>
      </c>
      <c r="N29" s="165">
        <v>0</v>
      </c>
      <c r="O29" s="165">
        <v>0</v>
      </c>
      <c r="P29" s="165">
        <v>0</v>
      </c>
      <c r="Q29" s="165" t="s">
        <v>2</v>
      </c>
    </row>
    <row r="30" spans="2:17" x14ac:dyDescent="0.2">
      <c r="B30" s="163"/>
      <c r="C30" s="163" t="s">
        <v>0</v>
      </c>
      <c r="D30" s="163">
        <v>66280</v>
      </c>
      <c r="E30" s="163" t="s">
        <v>81</v>
      </c>
      <c r="F30" s="163" t="s">
        <v>2</v>
      </c>
      <c r="G30" s="163" t="s">
        <v>2</v>
      </c>
      <c r="H30" s="164">
        <v>36557</v>
      </c>
      <c r="I30" s="164">
        <v>36922</v>
      </c>
      <c r="J30" s="163">
        <v>27772</v>
      </c>
      <c r="K30" s="163">
        <v>5</v>
      </c>
      <c r="L30" s="163">
        <v>0</v>
      </c>
      <c r="M30" s="163">
        <v>5</v>
      </c>
      <c r="N30" s="163">
        <v>0</v>
      </c>
      <c r="O30" s="163">
        <v>0</v>
      </c>
      <c r="P30" s="163">
        <v>0</v>
      </c>
      <c r="Q30" s="163" t="s">
        <v>2</v>
      </c>
    </row>
    <row r="31" spans="2:17" x14ac:dyDescent="0.2">
      <c r="B31" s="165"/>
      <c r="C31" s="165" t="s">
        <v>0</v>
      </c>
      <c r="D31" s="165">
        <v>66917</v>
      </c>
      <c r="E31" s="165" t="s">
        <v>267</v>
      </c>
      <c r="F31" s="165" t="s">
        <v>2</v>
      </c>
      <c r="G31" s="165" t="s">
        <v>2</v>
      </c>
      <c r="H31" s="166">
        <v>36617</v>
      </c>
      <c r="I31" s="165" t="s">
        <v>2</v>
      </c>
      <c r="J31" s="165" t="s">
        <v>2</v>
      </c>
      <c r="K31" s="167">
        <v>50000</v>
      </c>
      <c r="L31" s="165">
        <v>0</v>
      </c>
      <c r="M31" s="167">
        <v>50000</v>
      </c>
      <c r="N31" s="165">
        <v>0</v>
      </c>
      <c r="O31" s="165">
        <v>0</v>
      </c>
      <c r="P31" s="165">
        <v>0</v>
      </c>
      <c r="Q31" s="165" t="s">
        <v>2</v>
      </c>
    </row>
    <row r="32" spans="2:17" x14ac:dyDescent="0.2">
      <c r="B32" s="163"/>
      <c r="C32" s="163" t="s">
        <v>0</v>
      </c>
      <c r="D32" s="163">
        <v>66930</v>
      </c>
      <c r="E32" s="163" t="s">
        <v>81</v>
      </c>
      <c r="F32" s="163" t="s">
        <v>2</v>
      </c>
      <c r="G32" s="163" t="s">
        <v>2</v>
      </c>
      <c r="H32" s="164">
        <v>36617</v>
      </c>
      <c r="I32" s="164">
        <v>36981</v>
      </c>
      <c r="J32" s="163">
        <v>28188</v>
      </c>
      <c r="K32" s="168">
        <v>4000</v>
      </c>
      <c r="L32" s="163">
        <v>0</v>
      </c>
      <c r="M32" s="168">
        <v>4000</v>
      </c>
      <c r="N32" s="163">
        <v>0</v>
      </c>
      <c r="O32" s="163">
        <v>0</v>
      </c>
      <c r="P32" s="163">
        <v>0</v>
      </c>
      <c r="Q32" s="163" t="s">
        <v>2</v>
      </c>
    </row>
    <row r="33" spans="2:17" x14ac:dyDescent="0.2">
      <c r="B33" s="165"/>
      <c r="C33" s="165" t="s">
        <v>0</v>
      </c>
      <c r="D33" s="165">
        <v>66931</v>
      </c>
      <c r="E33" s="165" t="s">
        <v>81</v>
      </c>
      <c r="F33" s="165" t="s">
        <v>2</v>
      </c>
      <c r="G33" s="165" t="s">
        <v>2</v>
      </c>
      <c r="H33" s="166">
        <v>36617</v>
      </c>
      <c r="I33" s="166">
        <v>36981</v>
      </c>
      <c r="J33" s="165">
        <v>28189</v>
      </c>
      <c r="K33" s="167">
        <v>4000</v>
      </c>
      <c r="L33" s="165">
        <v>0</v>
      </c>
      <c r="M33" s="167">
        <v>4000</v>
      </c>
      <c r="N33" s="165">
        <v>0</v>
      </c>
      <c r="O33" s="165">
        <v>0</v>
      </c>
      <c r="P33" s="165">
        <v>0</v>
      </c>
      <c r="Q33" s="165" t="s">
        <v>2</v>
      </c>
    </row>
    <row r="34" spans="2:17" x14ac:dyDescent="0.2">
      <c r="B34" s="163"/>
      <c r="C34" s="163" t="s">
        <v>0</v>
      </c>
      <c r="D34" s="163">
        <v>66932</v>
      </c>
      <c r="E34" s="163" t="s">
        <v>81</v>
      </c>
      <c r="F34" s="163" t="s">
        <v>2</v>
      </c>
      <c r="G34" s="163" t="s">
        <v>2</v>
      </c>
      <c r="H34" s="164">
        <v>36617</v>
      </c>
      <c r="I34" s="164">
        <v>36981</v>
      </c>
      <c r="J34" s="163">
        <v>28176</v>
      </c>
      <c r="K34" s="168">
        <v>4000</v>
      </c>
      <c r="L34" s="163">
        <v>0</v>
      </c>
      <c r="M34" s="168">
        <v>4000</v>
      </c>
      <c r="N34" s="163">
        <v>0</v>
      </c>
      <c r="O34" s="163">
        <v>0</v>
      </c>
      <c r="P34" s="163">
        <v>0</v>
      </c>
      <c r="Q34" s="163" t="s">
        <v>2</v>
      </c>
    </row>
    <row r="35" spans="2:17" x14ac:dyDescent="0.2">
      <c r="B35" s="165"/>
      <c r="C35" s="165" t="s">
        <v>0</v>
      </c>
      <c r="D35" s="165">
        <v>66939</v>
      </c>
      <c r="E35" s="165" t="s">
        <v>81</v>
      </c>
      <c r="F35" s="165" t="s">
        <v>2</v>
      </c>
      <c r="G35" s="165" t="s">
        <v>2</v>
      </c>
      <c r="H35" s="166">
        <v>36617</v>
      </c>
      <c r="I35" s="166">
        <v>36981</v>
      </c>
      <c r="J35" s="165">
        <v>28332</v>
      </c>
      <c r="K35" s="165">
        <v>52</v>
      </c>
      <c r="L35" s="165">
        <v>0</v>
      </c>
      <c r="M35" s="165">
        <v>52</v>
      </c>
      <c r="N35" s="165">
        <v>0</v>
      </c>
      <c r="O35" s="165">
        <v>0</v>
      </c>
      <c r="P35" s="165">
        <v>0</v>
      </c>
      <c r="Q35" s="165" t="s">
        <v>2</v>
      </c>
    </row>
    <row r="36" spans="2:17" x14ac:dyDescent="0.2">
      <c r="B36" s="163"/>
      <c r="C36" s="163" t="s">
        <v>0</v>
      </c>
      <c r="D36" s="163">
        <v>66940</v>
      </c>
      <c r="E36" s="163" t="s">
        <v>81</v>
      </c>
      <c r="F36" s="163" t="s">
        <v>2</v>
      </c>
      <c r="G36" s="163" t="s">
        <v>2</v>
      </c>
      <c r="H36" s="164">
        <v>36617</v>
      </c>
      <c r="I36" s="164">
        <v>36981</v>
      </c>
      <c r="J36" s="163">
        <v>28331</v>
      </c>
      <c r="K36" s="163">
        <v>2</v>
      </c>
      <c r="L36" s="163">
        <v>0</v>
      </c>
      <c r="M36" s="163">
        <v>2</v>
      </c>
      <c r="N36" s="163">
        <v>0</v>
      </c>
      <c r="O36" s="163">
        <v>0</v>
      </c>
      <c r="P36" s="163">
        <v>0</v>
      </c>
      <c r="Q36" s="163" t="s">
        <v>2</v>
      </c>
    </row>
    <row r="37" spans="2:17" x14ac:dyDescent="0.2">
      <c r="B37" s="165"/>
      <c r="C37" s="165" t="s">
        <v>0</v>
      </c>
      <c r="D37" s="165">
        <v>66965</v>
      </c>
      <c r="E37" s="165" t="s">
        <v>107</v>
      </c>
      <c r="F37" s="165" t="s">
        <v>2</v>
      </c>
      <c r="G37" s="165" t="s">
        <v>2</v>
      </c>
      <c r="H37" s="166">
        <v>36617</v>
      </c>
      <c r="I37" s="166">
        <v>36830</v>
      </c>
      <c r="J37" s="165">
        <v>28226</v>
      </c>
      <c r="K37" s="167">
        <v>20000</v>
      </c>
      <c r="L37" s="165">
        <v>0</v>
      </c>
      <c r="M37" s="167">
        <v>20000</v>
      </c>
      <c r="N37" s="165">
        <v>0</v>
      </c>
      <c r="O37" s="165">
        <v>0</v>
      </c>
      <c r="P37" s="165">
        <v>0</v>
      </c>
      <c r="Q37" s="165" t="s">
        <v>2</v>
      </c>
    </row>
    <row r="38" spans="2:17" x14ac:dyDescent="0.2">
      <c r="B38" s="163"/>
      <c r="C38" s="163" t="s">
        <v>0</v>
      </c>
      <c r="D38" s="163">
        <v>67693</v>
      </c>
      <c r="E38" s="163" t="s">
        <v>107</v>
      </c>
      <c r="F38" s="163" t="s">
        <v>2</v>
      </c>
      <c r="G38" s="163" t="s">
        <v>2</v>
      </c>
      <c r="H38" s="164">
        <v>36617</v>
      </c>
      <c r="I38" s="164">
        <v>36799</v>
      </c>
      <c r="J38" s="163">
        <v>28390</v>
      </c>
      <c r="K38" s="168">
        <v>54327</v>
      </c>
      <c r="L38" s="163">
        <v>0</v>
      </c>
      <c r="M38" s="168">
        <v>29827</v>
      </c>
      <c r="N38" s="168">
        <v>24500</v>
      </c>
      <c r="O38" s="163">
        <v>0</v>
      </c>
      <c r="P38" s="163">
        <v>0</v>
      </c>
      <c r="Q38" s="163" t="s">
        <v>2</v>
      </c>
    </row>
    <row r="39" spans="2:17" x14ac:dyDescent="0.2">
      <c r="B39" s="165"/>
      <c r="C39" s="165" t="s">
        <v>0</v>
      </c>
      <c r="D39" s="165">
        <v>67712</v>
      </c>
      <c r="E39" s="165" t="s">
        <v>87</v>
      </c>
      <c r="F39" s="165" t="s">
        <v>2</v>
      </c>
      <c r="G39" s="165" t="s">
        <v>2</v>
      </c>
      <c r="H39" s="166">
        <v>36617</v>
      </c>
      <c r="I39" s="166">
        <v>36981</v>
      </c>
      <c r="J39" s="165">
        <v>28389</v>
      </c>
      <c r="K39" s="167">
        <v>108648</v>
      </c>
      <c r="L39" s="167">
        <v>6050607</v>
      </c>
      <c r="M39" s="167">
        <v>108648</v>
      </c>
      <c r="N39" s="165">
        <v>0</v>
      </c>
      <c r="O39" s="165">
        <v>0</v>
      </c>
      <c r="P39" s="165">
        <v>0</v>
      </c>
      <c r="Q39" s="165">
        <v>67713</v>
      </c>
    </row>
    <row r="40" spans="2:17" x14ac:dyDescent="0.2">
      <c r="B40" s="163"/>
      <c r="C40" s="163" t="s">
        <v>0</v>
      </c>
      <c r="D40" s="163">
        <v>67713</v>
      </c>
      <c r="E40" s="163" t="s">
        <v>87</v>
      </c>
      <c r="F40" s="163" t="s">
        <v>2</v>
      </c>
      <c r="G40" s="163" t="s">
        <v>2</v>
      </c>
      <c r="H40" s="164">
        <v>36617</v>
      </c>
      <c r="I40" s="164">
        <v>36981</v>
      </c>
      <c r="J40" s="163">
        <v>28389</v>
      </c>
      <c r="K40" s="168">
        <v>108648</v>
      </c>
      <c r="L40" s="168">
        <v>6050607</v>
      </c>
      <c r="M40" s="168">
        <v>108648</v>
      </c>
      <c r="N40" s="163">
        <v>0</v>
      </c>
      <c r="O40" s="163">
        <v>0</v>
      </c>
      <c r="P40" s="163">
        <v>0</v>
      </c>
      <c r="Q40" s="163">
        <v>67713</v>
      </c>
    </row>
    <row r="41" spans="2:17" x14ac:dyDescent="0.2">
      <c r="B41" s="165"/>
      <c r="C41" s="165" t="s">
        <v>0</v>
      </c>
      <c r="D41" s="165">
        <v>68188</v>
      </c>
      <c r="E41" s="165" t="s">
        <v>81</v>
      </c>
      <c r="F41" s="165" t="s">
        <v>2</v>
      </c>
      <c r="G41" s="165" t="s">
        <v>2</v>
      </c>
      <c r="H41" s="166">
        <v>36647</v>
      </c>
      <c r="I41" s="166">
        <v>37011</v>
      </c>
      <c r="J41" s="165">
        <v>28742</v>
      </c>
      <c r="K41" s="165">
        <v>1</v>
      </c>
      <c r="L41" s="165">
        <v>0</v>
      </c>
      <c r="M41" s="165">
        <v>1</v>
      </c>
      <c r="N41" s="165">
        <v>0</v>
      </c>
      <c r="O41" s="165">
        <v>0</v>
      </c>
      <c r="P41" s="165">
        <v>0</v>
      </c>
      <c r="Q41" s="165" t="s">
        <v>2</v>
      </c>
    </row>
    <row r="42" spans="2:17" x14ac:dyDescent="0.2">
      <c r="B42" s="163"/>
      <c r="C42" s="163" t="s">
        <v>0</v>
      </c>
      <c r="D42" s="163">
        <v>68257</v>
      </c>
      <c r="E42" s="163" t="s">
        <v>81</v>
      </c>
      <c r="F42" s="163" t="s">
        <v>2</v>
      </c>
      <c r="G42" s="163" t="s">
        <v>2</v>
      </c>
      <c r="H42" s="164">
        <v>36647</v>
      </c>
      <c r="I42" s="164">
        <v>37011</v>
      </c>
      <c r="J42" s="163">
        <v>28631</v>
      </c>
      <c r="K42" s="163">
        <v>21</v>
      </c>
      <c r="L42" s="163">
        <v>0</v>
      </c>
      <c r="M42" s="163">
        <v>21</v>
      </c>
      <c r="N42" s="163">
        <v>0</v>
      </c>
      <c r="O42" s="163">
        <v>0</v>
      </c>
      <c r="P42" s="163">
        <v>0</v>
      </c>
      <c r="Q42" s="163"/>
    </row>
    <row r="43" spans="2:17" x14ac:dyDescent="0.2">
      <c r="B43" s="165"/>
      <c r="C43" s="165" t="s">
        <v>0</v>
      </c>
      <c r="D43" s="165">
        <v>68308</v>
      </c>
      <c r="E43" s="165" t="s">
        <v>81</v>
      </c>
      <c r="F43" s="165" t="s">
        <v>2</v>
      </c>
      <c r="G43" s="165" t="s">
        <v>2</v>
      </c>
      <c r="H43" s="166">
        <v>36656</v>
      </c>
      <c r="I43" s="166">
        <v>36950</v>
      </c>
      <c r="J43" s="165">
        <v>28864</v>
      </c>
      <c r="K43" s="165">
        <v>9</v>
      </c>
      <c r="L43" s="165">
        <v>0</v>
      </c>
      <c r="M43" s="165">
        <v>9</v>
      </c>
      <c r="N43" s="165">
        <v>0</v>
      </c>
      <c r="O43" s="165">
        <v>0</v>
      </c>
      <c r="P43" s="165">
        <v>0</v>
      </c>
      <c r="Q43" s="165" t="s">
        <v>2</v>
      </c>
    </row>
    <row r="44" spans="2:17" x14ac:dyDescent="0.2">
      <c r="B44" s="163"/>
      <c r="C44" s="163" t="s">
        <v>0</v>
      </c>
      <c r="D44" s="163">
        <v>68359</v>
      </c>
      <c r="E44" s="163" t="s">
        <v>81</v>
      </c>
      <c r="F44" s="163" t="s">
        <v>2</v>
      </c>
      <c r="G44" s="163" t="s">
        <v>2</v>
      </c>
      <c r="H44" s="164">
        <v>36678</v>
      </c>
      <c r="I44" s="164">
        <v>37042</v>
      </c>
      <c r="J44" s="163">
        <v>28933</v>
      </c>
      <c r="K44" s="163">
        <v>285</v>
      </c>
      <c r="L44" s="163">
        <v>0</v>
      </c>
      <c r="M44" s="163">
        <v>285</v>
      </c>
      <c r="N44" s="163">
        <v>0</v>
      </c>
      <c r="O44" s="163">
        <v>0</v>
      </c>
      <c r="P44" s="163">
        <v>0</v>
      </c>
      <c r="Q44" s="163" t="s">
        <v>2</v>
      </c>
    </row>
    <row r="45" spans="2:17" x14ac:dyDescent="0.2">
      <c r="B45" s="165"/>
      <c r="C45" s="165" t="s">
        <v>0</v>
      </c>
      <c r="D45" s="165">
        <v>68384</v>
      </c>
      <c r="E45" s="165" t="s">
        <v>81</v>
      </c>
      <c r="F45" s="165" t="s">
        <v>2</v>
      </c>
      <c r="G45" s="165" t="s">
        <v>2</v>
      </c>
      <c r="H45" s="166">
        <v>36678</v>
      </c>
      <c r="I45" s="166">
        <v>37042</v>
      </c>
      <c r="J45" s="165">
        <v>28962</v>
      </c>
      <c r="K45" s="165">
        <v>218</v>
      </c>
      <c r="L45" s="165">
        <v>0</v>
      </c>
      <c r="M45" s="165">
        <v>218</v>
      </c>
      <c r="N45" s="165">
        <v>0</v>
      </c>
      <c r="O45" s="165">
        <v>0</v>
      </c>
      <c r="P45" s="165">
        <v>0</v>
      </c>
      <c r="Q45" s="165" t="s">
        <v>2</v>
      </c>
    </row>
    <row r="46" spans="2:17" x14ac:dyDescent="0.2">
      <c r="B46" s="163"/>
      <c r="C46" s="163" t="s">
        <v>0</v>
      </c>
      <c r="D46" s="163">
        <v>68443</v>
      </c>
      <c r="E46" s="163" t="s">
        <v>107</v>
      </c>
      <c r="F46" s="163" t="s">
        <v>2</v>
      </c>
      <c r="G46" s="163" t="s">
        <v>2</v>
      </c>
      <c r="H46" s="164">
        <v>36678</v>
      </c>
      <c r="I46" s="164">
        <v>36707</v>
      </c>
      <c r="J46" s="163">
        <v>29005</v>
      </c>
      <c r="K46" s="168">
        <v>10000</v>
      </c>
      <c r="L46" s="163">
        <v>0</v>
      </c>
      <c r="M46" s="168">
        <v>10000</v>
      </c>
      <c r="N46" s="163">
        <v>0</v>
      </c>
      <c r="O46" s="163">
        <v>0</v>
      </c>
      <c r="P46" s="163">
        <v>0</v>
      </c>
      <c r="Q46" s="163" t="s">
        <v>2</v>
      </c>
    </row>
    <row r="47" spans="2:17" x14ac:dyDescent="0.2">
      <c r="B47" s="165"/>
      <c r="C47" s="165" t="s">
        <v>0</v>
      </c>
      <c r="D47" s="165">
        <v>68447</v>
      </c>
      <c r="E47" s="165" t="s">
        <v>81</v>
      </c>
      <c r="F47" s="165" t="s">
        <v>2</v>
      </c>
      <c r="G47" s="165" t="s">
        <v>2</v>
      </c>
      <c r="H47" s="166">
        <v>36678</v>
      </c>
      <c r="I47" s="166">
        <v>36707</v>
      </c>
      <c r="J47" s="165">
        <v>29095</v>
      </c>
      <c r="K47" s="167">
        <v>7500</v>
      </c>
      <c r="L47" s="165">
        <v>0</v>
      </c>
      <c r="M47" s="167">
        <v>7500</v>
      </c>
      <c r="N47" s="165">
        <v>0</v>
      </c>
      <c r="O47" s="165">
        <v>0</v>
      </c>
      <c r="P47" s="165">
        <v>0</v>
      </c>
      <c r="Q47" s="165" t="s">
        <v>2</v>
      </c>
    </row>
    <row r="48" spans="2:17" ht="38.25" x14ac:dyDescent="0.2">
      <c r="B48" s="163"/>
      <c r="C48" s="163" t="s">
        <v>9</v>
      </c>
      <c r="D48" s="163">
        <v>37393</v>
      </c>
      <c r="E48" s="163" t="s">
        <v>10</v>
      </c>
      <c r="F48" s="163" t="s">
        <v>2</v>
      </c>
      <c r="G48" s="163" t="s">
        <v>2</v>
      </c>
      <c r="H48" s="164">
        <v>34274</v>
      </c>
      <c r="I48" s="163" t="s">
        <v>2</v>
      </c>
      <c r="J48" s="163" t="s">
        <v>2</v>
      </c>
      <c r="K48" s="168">
        <v>20000</v>
      </c>
      <c r="L48" s="163">
        <v>0</v>
      </c>
      <c r="M48" s="168">
        <v>20000</v>
      </c>
      <c r="N48" s="163">
        <v>0</v>
      </c>
      <c r="O48" s="163">
        <v>0</v>
      </c>
      <c r="P48" s="163">
        <v>0</v>
      </c>
      <c r="Q48" s="163" t="s">
        <v>2</v>
      </c>
    </row>
    <row r="49" spans="2:17" ht="38.25" x14ac:dyDescent="0.2">
      <c r="B49" s="165"/>
      <c r="C49" s="165" t="s">
        <v>9</v>
      </c>
      <c r="D49" s="165">
        <v>37556</v>
      </c>
      <c r="E49" s="165" t="s">
        <v>11</v>
      </c>
      <c r="F49" s="165" t="s">
        <v>2</v>
      </c>
      <c r="G49" s="165" t="s">
        <v>2</v>
      </c>
      <c r="H49" s="166">
        <v>34274</v>
      </c>
      <c r="I49" s="165" t="s">
        <v>2</v>
      </c>
      <c r="J49" s="165" t="s">
        <v>2</v>
      </c>
      <c r="K49" s="167">
        <v>300000</v>
      </c>
      <c r="L49" s="165">
        <v>0</v>
      </c>
      <c r="M49" s="167">
        <v>300000</v>
      </c>
      <c r="N49" s="165">
        <v>0</v>
      </c>
      <c r="O49" s="165">
        <v>0</v>
      </c>
      <c r="P49" s="165">
        <v>0</v>
      </c>
      <c r="Q49" s="165" t="s">
        <v>2</v>
      </c>
    </row>
    <row r="50" spans="2:17" ht="38.25" x14ac:dyDescent="0.2">
      <c r="B50" s="163"/>
      <c r="C50" s="163" t="s">
        <v>9</v>
      </c>
      <c r="D50" s="163">
        <v>37861</v>
      </c>
      <c r="E50" s="163" t="s">
        <v>12</v>
      </c>
      <c r="F50" s="163" t="s">
        <v>2</v>
      </c>
      <c r="G50" s="163" t="s">
        <v>2</v>
      </c>
      <c r="H50" s="164">
        <v>35582</v>
      </c>
      <c r="I50" s="163" t="s">
        <v>2</v>
      </c>
      <c r="J50" s="163" t="s">
        <v>2</v>
      </c>
      <c r="K50" s="168">
        <v>15000</v>
      </c>
      <c r="L50" s="163">
        <v>0</v>
      </c>
      <c r="M50" s="168">
        <v>15000</v>
      </c>
      <c r="N50" s="163">
        <v>0</v>
      </c>
      <c r="O50" s="163">
        <v>0</v>
      </c>
      <c r="P50" s="163">
        <v>0</v>
      </c>
      <c r="Q50" s="163" t="s">
        <v>2</v>
      </c>
    </row>
    <row r="51" spans="2:17" ht="38.25" x14ac:dyDescent="0.2">
      <c r="B51" s="165"/>
      <c r="C51" s="165" t="s">
        <v>9</v>
      </c>
      <c r="D51" s="165">
        <v>38641</v>
      </c>
      <c r="E51" s="165" t="s">
        <v>13</v>
      </c>
      <c r="F51" s="165" t="s">
        <v>2</v>
      </c>
      <c r="G51" s="165" t="s">
        <v>2</v>
      </c>
      <c r="H51" s="166">
        <v>34274</v>
      </c>
      <c r="I51" s="165" t="s">
        <v>2</v>
      </c>
      <c r="J51" s="165" t="s">
        <v>2</v>
      </c>
      <c r="K51" s="167">
        <v>450000</v>
      </c>
      <c r="L51" s="165">
        <v>0</v>
      </c>
      <c r="M51" s="167">
        <v>450000</v>
      </c>
      <c r="N51" s="165">
        <v>0</v>
      </c>
      <c r="O51" s="165">
        <v>0</v>
      </c>
      <c r="P51" s="165">
        <v>0</v>
      </c>
      <c r="Q51" s="165" t="s">
        <v>2</v>
      </c>
    </row>
    <row r="52" spans="2:17" ht="38.25" x14ac:dyDescent="0.2">
      <c r="B52" s="163"/>
      <c r="C52" s="163" t="s">
        <v>9</v>
      </c>
      <c r="D52" s="163">
        <v>39229</v>
      </c>
      <c r="E52" s="163" t="s">
        <v>1</v>
      </c>
      <c r="F52" s="163" t="s">
        <v>2</v>
      </c>
      <c r="G52" s="163" t="s">
        <v>2</v>
      </c>
      <c r="H52" s="164">
        <v>34274</v>
      </c>
      <c r="I52" s="163" t="s">
        <v>2</v>
      </c>
      <c r="J52" s="163" t="s">
        <v>2</v>
      </c>
      <c r="K52" s="163">
        <v>0</v>
      </c>
      <c r="L52" s="163">
        <v>0</v>
      </c>
      <c r="M52" s="163">
        <v>0</v>
      </c>
      <c r="N52" s="163">
        <v>0</v>
      </c>
      <c r="O52" s="163">
        <v>0</v>
      </c>
      <c r="P52" s="163">
        <v>0</v>
      </c>
      <c r="Q52" s="163" t="s">
        <v>2</v>
      </c>
    </row>
    <row r="53" spans="2:17" ht="38.25" x14ac:dyDescent="0.2">
      <c r="B53" s="165"/>
      <c r="C53" s="165" t="s">
        <v>9</v>
      </c>
      <c r="D53" s="165">
        <v>39266</v>
      </c>
      <c r="E53" s="165" t="s">
        <v>267</v>
      </c>
      <c r="F53" s="165" t="s">
        <v>2</v>
      </c>
      <c r="G53" s="165" t="s">
        <v>2</v>
      </c>
      <c r="H53" s="166">
        <v>34274</v>
      </c>
      <c r="I53" s="165" t="s">
        <v>2</v>
      </c>
      <c r="J53" s="165" t="s">
        <v>2</v>
      </c>
      <c r="K53" s="167">
        <v>300000</v>
      </c>
      <c r="L53" s="165">
        <v>0</v>
      </c>
      <c r="M53" s="167">
        <v>300000</v>
      </c>
      <c r="N53" s="165">
        <v>0</v>
      </c>
      <c r="O53" s="165">
        <v>0</v>
      </c>
      <c r="P53" s="165">
        <v>0</v>
      </c>
      <c r="Q53" s="165" t="s">
        <v>2</v>
      </c>
    </row>
    <row r="54" spans="2:17" ht="38.25" x14ac:dyDescent="0.2">
      <c r="B54" s="163"/>
      <c r="C54" s="163" t="s">
        <v>9</v>
      </c>
      <c r="D54" s="163">
        <v>42789</v>
      </c>
      <c r="E54" s="163" t="s">
        <v>10</v>
      </c>
      <c r="F54" s="163" t="s">
        <v>2</v>
      </c>
      <c r="G54" s="163" t="s">
        <v>2</v>
      </c>
      <c r="H54" s="164">
        <v>36557</v>
      </c>
      <c r="I54" s="163" t="s">
        <v>2</v>
      </c>
      <c r="J54" s="163" t="s">
        <v>2</v>
      </c>
      <c r="K54" s="168">
        <v>30000</v>
      </c>
      <c r="L54" s="163">
        <v>0</v>
      </c>
      <c r="M54" s="168">
        <v>30000</v>
      </c>
      <c r="N54" s="163">
        <v>0</v>
      </c>
      <c r="O54" s="163">
        <v>0</v>
      </c>
      <c r="P54" s="163">
        <v>0</v>
      </c>
      <c r="Q54" s="163" t="s">
        <v>2</v>
      </c>
    </row>
    <row r="55" spans="2:17" ht="38.25" x14ac:dyDescent="0.2">
      <c r="B55" s="165"/>
      <c r="C55" s="165" t="s">
        <v>9</v>
      </c>
      <c r="D55" s="165">
        <v>50250</v>
      </c>
      <c r="E55" s="165" t="s">
        <v>10</v>
      </c>
      <c r="F55" s="165" t="s">
        <v>2</v>
      </c>
      <c r="G55" s="165" t="s">
        <v>2</v>
      </c>
      <c r="H55" s="166">
        <v>36557</v>
      </c>
      <c r="I55" s="165" t="s">
        <v>2</v>
      </c>
      <c r="J55" s="165" t="s">
        <v>2</v>
      </c>
      <c r="K55" s="167">
        <v>20000</v>
      </c>
      <c r="L55" s="165">
        <v>0</v>
      </c>
      <c r="M55" s="167">
        <v>20000</v>
      </c>
      <c r="N55" s="165">
        <v>0</v>
      </c>
      <c r="O55" s="165">
        <v>0</v>
      </c>
      <c r="P55" s="165">
        <v>0</v>
      </c>
      <c r="Q55" s="165" t="s">
        <v>2</v>
      </c>
    </row>
    <row r="56" spans="2:17" ht="38.25" x14ac:dyDescent="0.2">
      <c r="B56" s="163"/>
      <c r="C56" s="163" t="s">
        <v>9</v>
      </c>
      <c r="D56" s="163">
        <v>58654</v>
      </c>
      <c r="E56" s="163" t="s">
        <v>12</v>
      </c>
      <c r="F56" s="163" t="s">
        <v>2</v>
      </c>
      <c r="G56" s="163" t="s">
        <v>2</v>
      </c>
      <c r="H56" s="164">
        <v>36557</v>
      </c>
      <c r="I56" s="163" t="s">
        <v>2</v>
      </c>
      <c r="J56" s="163" t="s">
        <v>2</v>
      </c>
      <c r="K56" s="168">
        <v>15000</v>
      </c>
      <c r="L56" s="163">
        <v>0</v>
      </c>
      <c r="M56" s="168">
        <v>15000</v>
      </c>
      <c r="N56" s="163">
        <v>0</v>
      </c>
      <c r="O56" s="163">
        <v>0</v>
      </c>
      <c r="P56" s="163">
        <v>0</v>
      </c>
      <c r="Q56" s="163" t="s">
        <v>2</v>
      </c>
    </row>
    <row r="57" spans="2:17" ht="38.25" x14ac:dyDescent="0.2">
      <c r="B57" s="165"/>
      <c r="C57" s="165" t="s">
        <v>9</v>
      </c>
      <c r="D57" s="165">
        <v>62408</v>
      </c>
      <c r="E57" s="165" t="s">
        <v>10</v>
      </c>
      <c r="F57" s="165" t="s">
        <v>2</v>
      </c>
      <c r="G57" s="165" t="s">
        <v>2</v>
      </c>
      <c r="H57" s="166">
        <v>36557</v>
      </c>
      <c r="I57" s="165" t="s">
        <v>2</v>
      </c>
      <c r="J57" s="165" t="s">
        <v>2</v>
      </c>
      <c r="K57" s="167">
        <v>40000</v>
      </c>
      <c r="L57" s="165">
        <v>0</v>
      </c>
      <c r="M57" s="167">
        <v>40000</v>
      </c>
      <c r="N57" s="165">
        <v>0</v>
      </c>
      <c r="O57" s="165">
        <v>0</v>
      </c>
      <c r="P57" s="165">
        <v>0</v>
      </c>
      <c r="Q57" s="165" t="s">
        <v>2</v>
      </c>
    </row>
    <row r="58" spans="2:17" ht="38.25" x14ac:dyDescent="0.2">
      <c r="B58" s="163"/>
      <c r="C58" s="163" t="s">
        <v>9</v>
      </c>
      <c r="D58" s="163">
        <v>63115</v>
      </c>
      <c r="E58" s="163" t="s">
        <v>12</v>
      </c>
      <c r="F58" s="163" t="s">
        <v>2</v>
      </c>
      <c r="G58" s="163" t="s">
        <v>2</v>
      </c>
      <c r="H58" s="164">
        <v>36557</v>
      </c>
      <c r="I58" s="164">
        <v>37346</v>
      </c>
      <c r="J58" s="163">
        <v>24770</v>
      </c>
      <c r="K58" s="168">
        <v>30000</v>
      </c>
      <c r="L58" s="163">
        <v>0</v>
      </c>
      <c r="M58" s="168">
        <v>30000</v>
      </c>
      <c r="N58" s="163">
        <v>0</v>
      </c>
      <c r="O58" s="163">
        <v>0</v>
      </c>
      <c r="P58" s="163">
        <v>0</v>
      </c>
      <c r="Q58" s="163" t="s">
        <v>2</v>
      </c>
    </row>
    <row r="59" spans="2:17" ht="38.25" x14ac:dyDescent="0.2">
      <c r="B59" s="165"/>
      <c r="C59" s="165" t="s">
        <v>9</v>
      </c>
      <c r="D59" s="165">
        <v>63922</v>
      </c>
      <c r="E59" s="165" t="s">
        <v>10</v>
      </c>
      <c r="F59" s="165" t="s">
        <v>2</v>
      </c>
      <c r="G59" s="165" t="s">
        <v>2</v>
      </c>
      <c r="H59" s="166">
        <v>36557</v>
      </c>
      <c r="I59" s="166">
        <v>38291</v>
      </c>
      <c r="J59" s="165">
        <v>25471</v>
      </c>
      <c r="K59" s="167">
        <v>25654</v>
      </c>
      <c r="L59" s="165">
        <v>0</v>
      </c>
      <c r="M59" s="167">
        <v>25654</v>
      </c>
      <c r="N59" s="165">
        <v>0</v>
      </c>
      <c r="O59" s="165">
        <v>0</v>
      </c>
      <c r="P59" s="165">
        <v>0</v>
      </c>
      <c r="Q59" s="165" t="s">
        <v>2</v>
      </c>
    </row>
    <row r="60" spans="2:17" ht="38.25" x14ac:dyDescent="0.2">
      <c r="B60" s="163"/>
      <c r="C60" s="163" t="s">
        <v>9</v>
      </c>
      <c r="D60" s="163">
        <v>64033</v>
      </c>
      <c r="E60" s="163" t="s">
        <v>12</v>
      </c>
      <c r="F60" s="163" t="s">
        <v>2</v>
      </c>
      <c r="G60" s="163" t="s">
        <v>2</v>
      </c>
      <c r="H60" s="164">
        <v>36557</v>
      </c>
      <c r="I60" s="164">
        <v>36707</v>
      </c>
      <c r="J60" s="163">
        <v>25713</v>
      </c>
      <c r="K60" s="163">
        <v>1</v>
      </c>
      <c r="L60" s="163">
        <v>0</v>
      </c>
      <c r="M60" s="163">
        <v>1</v>
      </c>
      <c r="N60" s="163">
        <v>0</v>
      </c>
      <c r="O60" s="163">
        <v>0</v>
      </c>
      <c r="P60" s="163">
        <v>0</v>
      </c>
      <c r="Q60" s="163" t="s">
        <v>2</v>
      </c>
    </row>
    <row r="61" spans="2:17" ht="38.25" x14ac:dyDescent="0.2">
      <c r="B61" s="165"/>
      <c r="C61" s="165" t="s">
        <v>9</v>
      </c>
      <c r="D61" s="165">
        <v>64035</v>
      </c>
      <c r="E61" s="165" t="s">
        <v>12</v>
      </c>
      <c r="F61" s="165" t="s">
        <v>2</v>
      </c>
      <c r="G61" s="165" t="s">
        <v>2</v>
      </c>
      <c r="H61" s="166">
        <v>36557</v>
      </c>
      <c r="I61" s="166">
        <v>36707</v>
      </c>
      <c r="J61" s="165">
        <v>25700</v>
      </c>
      <c r="K61" s="165">
        <v>931</v>
      </c>
      <c r="L61" s="165">
        <v>0</v>
      </c>
      <c r="M61" s="165">
        <v>931</v>
      </c>
      <c r="N61" s="165">
        <v>0</v>
      </c>
      <c r="O61" s="165">
        <v>0</v>
      </c>
      <c r="P61" s="165">
        <v>0</v>
      </c>
      <c r="Q61" s="165" t="s">
        <v>2</v>
      </c>
    </row>
    <row r="62" spans="2:17" ht="38.25" x14ac:dyDescent="0.2">
      <c r="B62" s="163"/>
      <c r="C62" s="163" t="s">
        <v>9</v>
      </c>
      <c r="D62" s="163">
        <v>64332</v>
      </c>
      <c r="E62" s="163" t="s">
        <v>12</v>
      </c>
      <c r="F62" s="163" t="s">
        <v>2</v>
      </c>
      <c r="G62" s="163" t="s">
        <v>2</v>
      </c>
      <c r="H62" s="164">
        <v>36557</v>
      </c>
      <c r="I62" s="164">
        <v>36738</v>
      </c>
      <c r="J62" s="163">
        <v>25966</v>
      </c>
      <c r="K62" s="163">
        <v>12</v>
      </c>
      <c r="L62" s="163">
        <v>0</v>
      </c>
      <c r="M62" s="163">
        <v>12</v>
      </c>
      <c r="N62" s="163">
        <v>0</v>
      </c>
      <c r="O62" s="163">
        <v>0</v>
      </c>
      <c r="P62" s="163">
        <v>0</v>
      </c>
      <c r="Q62" s="163" t="s">
        <v>2</v>
      </c>
    </row>
    <row r="63" spans="2:17" ht="38.25" x14ac:dyDescent="0.2">
      <c r="B63" s="165"/>
      <c r="C63" s="165" t="s">
        <v>9</v>
      </c>
      <c r="D63" s="165">
        <v>64334</v>
      </c>
      <c r="E63" s="165" t="s">
        <v>12</v>
      </c>
      <c r="F63" s="165" t="s">
        <v>2</v>
      </c>
      <c r="G63" s="165" t="s">
        <v>2</v>
      </c>
      <c r="H63" s="166">
        <v>36557</v>
      </c>
      <c r="I63" s="166">
        <v>36738</v>
      </c>
      <c r="J63" s="165">
        <v>25956</v>
      </c>
      <c r="K63" s="165">
        <v>52</v>
      </c>
      <c r="L63" s="165">
        <v>0</v>
      </c>
      <c r="M63" s="165">
        <v>52</v>
      </c>
      <c r="N63" s="165">
        <v>0</v>
      </c>
      <c r="O63" s="165">
        <v>0</v>
      </c>
      <c r="P63" s="165">
        <v>0</v>
      </c>
      <c r="Q63" s="165" t="s">
        <v>2</v>
      </c>
    </row>
    <row r="64" spans="2:17" ht="38.25" x14ac:dyDescent="0.2">
      <c r="B64" s="163"/>
      <c r="C64" s="163" t="s">
        <v>9</v>
      </c>
      <c r="D64" s="163">
        <v>64446</v>
      </c>
      <c r="E64" s="163" t="s">
        <v>12</v>
      </c>
      <c r="F64" s="163" t="s">
        <v>2</v>
      </c>
      <c r="G64" s="163" t="s">
        <v>2</v>
      </c>
      <c r="H64" s="164">
        <v>36557</v>
      </c>
      <c r="I64" s="164">
        <v>36738</v>
      </c>
      <c r="J64" s="163">
        <v>26081</v>
      </c>
      <c r="K64" s="163">
        <v>142</v>
      </c>
      <c r="L64" s="163">
        <v>0</v>
      </c>
      <c r="M64" s="163">
        <v>142</v>
      </c>
      <c r="N64" s="163">
        <v>0</v>
      </c>
      <c r="O64" s="163">
        <v>0</v>
      </c>
      <c r="P64" s="163">
        <v>0</v>
      </c>
      <c r="Q64" s="163" t="s">
        <v>2</v>
      </c>
    </row>
    <row r="65" spans="2:17" ht="38.25" x14ac:dyDescent="0.2">
      <c r="B65" s="165"/>
      <c r="C65" s="165" t="s">
        <v>9</v>
      </c>
      <c r="D65" s="165">
        <v>64502</v>
      </c>
      <c r="E65" s="165" t="s">
        <v>10</v>
      </c>
      <c r="F65" s="165" t="s">
        <v>2</v>
      </c>
      <c r="G65" s="165" t="s">
        <v>2</v>
      </c>
      <c r="H65" s="166">
        <v>36557</v>
      </c>
      <c r="I65" s="165" t="s">
        <v>2</v>
      </c>
      <c r="J65" s="165" t="s">
        <v>2</v>
      </c>
      <c r="K65" s="167">
        <v>29000</v>
      </c>
      <c r="L65" s="165">
        <v>0</v>
      </c>
      <c r="M65" s="167">
        <v>29000</v>
      </c>
      <c r="N65" s="165">
        <v>0</v>
      </c>
      <c r="O65" s="165">
        <v>0</v>
      </c>
      <c r="P65" s="165">
        <v>0</v>
      </c>
      <c r="Q65" s="165"/>
    </row>
    <row r="66" spans="2:17" ht="38.25" x14ac:dyDescent="0.2">
      <c r="B66" s="163"/>
      <c r="C66" s="163" t="s">
        <v>9</v>
      </c>
      <c r="D66" s="163">
        <v>64652</v>
      </c>
      <c r="E66" s="163" t="s">
        <v>12</v>
      </c>
      <c r="F66" s="163" t="s">
        <v>2</v>
      </c>
      <c r="G66" s="163" t="s">
        <v>2</v>
      </c>
      <c r="H66" s="164">
        <v>36557</v>
      </c>
      <c r="I66" s="164">
        <v>36769</v>
      </c>
      <c r="J66" s="163">
        <v>26151</v>
      </c>
      <c r="K66" s="163">
        <v>65</v>
      </c>
      <c r="L66" s="163">
        <v>0</v>
      </c>
      <c r="M66" s="163">
        <v>65</v>
      </c>
      <c r="N66" s="163">
        <v>0</v>
      </c>
      <c r="O66" s="163">
        <v>0</v>
      </c>
      <c r="P66" s="163">
        <v>0</v>
      </c>
      <c r="Q66" s="163" t="s">
        <v>2</v>
      </c>
    </row>
    <row r="67" spans="2:17" ht="38.25" x14ac:dyDescent="0.2">
      <c r="B67" s="165"/>
      <c r="C67" s="165" t="s">
        <v>9</v>
      </c>
      <c r="D67" s="165">
        <v>64863</v>
      </c>
      <c r="E67" s="165" t="s">
        <v>12</v>
      </c>
      <c r="F67" s="165" t="s">
        <v>2</v>
      </c>
      <c r="G67" s="165" t="s">
        <v>2</v>
      </c>
      <c r="H67" s="166">
        <v>36557</v>
      </c>
      <c r="I67" s="166">
        <v>36799</v>
      </c>
      <c r="J67" s="165">
        <v>26504</v>
      </c>
      <c r="K67" s="165">
        <v>13</v>
      </c>
      <c r="L67" s="165">
        <v>0</v>
      </c>
      <c r="M67" s="165">
        <v>13</v>
      </c>
      <c r="N67" s="165">
        <v>0</v>
      </c>
      <c r="O67" s="165">
        <v>0</v>
      </c>
      <c r="P67" s="165">
        <v>0</v>
      </c>
      <c r="Q67" s="165" t="s">
        <v>2</v>
      </c>
    </row>
    <row r="68" spans="2:17" ht="38.25" x14ac:dyDescent="0.2">
      <c r="B68" s="163"/>
      <c r="C68" s="163" t="s">
        <v>9</v>
      </c>
      <c r="D68" s="163">
        <v>64937</v>
      </c>
      <c r="E68" s="163" t="s">
        <v>10</v>
      </c>
      <c r="F68" s="163" t="s">
        <v>2</v>
      </c>
      <c r="G68" s="163" t="s">
        <v>2</v>
      </c>
      <c r="H68" s="164">
        <v>36434</v>
      </c>
      <c r="I68" s="163" t="s">
        <v>2</v>
      </c>
      <c r="J68" s="163" t="s">
        <v>2</v>
      </c>
      <c r="K68" s="168">
        <v>10000</v>
      </c>
      <c r="L68" s="163">
        <v>0</v>
      </c>
      <c r="M68" s="168">
        <v>10000</v>
      </c>
      <c r="N68" s="163">
        <v>0</v>
      </c>
      <c r="O68" s="163">
        <v>0</v>
      </c>
      <c r="P68" s="163">
        <v>0</v>
      </c>
      <c r="Q68" s="163" t="s">
        <v>2</v>
      </c>
    </row>
    <row r="69" spans="2:17" ht="38.25" x14ac:dyDescent="0.2">
      <c r="B69" s="165"/>
      <c r="C69" s="165" t="s">
        <v>9</v>
      </c>
      <c r="D69" s="165">
        <v>65027</v>
      </c>
      <c r="E69" s="165" t="s">
        <v>12</v>
      </c>
      <c r="F69" s="165" t="s">
        <v>2</v>
      </c>
      <c r="G69" s="165" t="s">
        <v>2</v>
      </c>
      <c r="H69" s="166">
        <v>36557</v>
      </c>
      <c r="I69" s="166">
        <v>36830</v>
      </c>
      <c r="J69" s="165">
        <v>26727</v>
      </c>
      <c r="K69" s="165">
        <v>131</v>
      </c>
      <c r="L69" s="165">
        <v>0</v>
      </c>
      <c r="M69" s="165">
        <v>131</v>
      </c>
      <c r="N69" s="165">
        <v>0</v>
      </c>
      <c r="O69" s="165">
        <v>0</v>
      </c>
      <c r="P69" s="165">
        <v>0</v>
      </c>
      <c r="Q69" s="165" t="s">
        <v>2</v>
      </c>
    </row>
    <row r="70" spans="2:17" ht="38.25" x14ac:dyDescent="0.2">
      <c r="B70" s="163"/>
      <c r="C70" s="163" t="s">
        <v>9</v>
      </c>
      <c r="D70" s="163">
        <v>65072</v>
      </c>
      <c r="E70" s="163" t="s">
        <v>12</v>
      </c>
      <c r="F70" s="163" t="s">
        <v>2</v>
      </c>
      <c r="G70" s="163" t="s">
        <v>2</v>
      </c>
      <c r="H70" s="164">
        <v>36617</v>
      </c>
      <c r="I70" s="164">
        <v>36830</v>
      </c>
      <c r="J70" s="163">
        <v>26785</v>
      </c>
      <c r="K70" s="168">
        <v>7391</v>
      </c>
      <c r="L70" s="163">
        <v>0</v>
      </c>
      <c r="M70" s="168">
        <v>6987</v>
      </c>
      <c r="N70" s="163">
        <v>404</v>
      </c>
      <c r="O70" s="163">
        <v>0</v>
      </c>
      <c r="P70" s="163">
        <v>0</v>
      </c>
      <c r="Q70" s="163" t="s">
        <v>2</v>
      </c>
    </row>
    <row r="71" spans="2:17" ht="38.25" x14ac:dyDescent="0.2">
      <c r="B71" s="165"/>
      <c r="C71" s="165" t="s">
        <v>9</v>
      </c>
      <c r="D71" s="165">
        <v>65557</v>
      </c>
      <c r="E71" s="165" t="s">
        <v>12</v>
      </c>
      <c r="F71" s="165" t="s">
        <v>2</v>
      </c>
      <c r="G71" s="165" t="s">
        <v>2</v>
      </c>
      <c r="H71" s="166">
        <v>36557</v>
      </c>
      <c r="I71" s="166">
        <v>36860</v>
      </c>
      <c r="J71" s="165">
        <v>27128</v>
      </c>
      <c r="K71" s="165">
        <v>3</v>
      </c>
      <c r="L71" s="165">
        <v>0</v>
      </c>
      <c r="M71" s="165">
        <v>3</v>
      </c>
      <c r="N71" s="165">
        <v>0</v>
      </c>
      <c r="O71" s="165">
        <v>0</v>
      </c>
      <c r="P71" s="165">
        <v>0</v>
      </c>
      <c r="Q71" s="165" t="s">
        <v>2</v>
      </c>
    </row>
    <row r="72" spans="2:17" ht="38.25" x14ac:dyDescent="0.2">
      <c r="B72" s="163"/>
      <c r="C72" s="163" t="s">
        <v>9</v>
      </c>
      <c r="D72" s="163">
        <v>66283</v>
      </c>
      <c r="E72" s="163" t="s">
        <v>12</v>
      </c>
      <c r="F72" s="163" t="s">
        <v>2</v>
      </c>
      <c r="G72" s="163" t="s">
        <v>2</v>
      </c>
      <c r="H72" s="164">
        <v>36557</v>
      </c>
      <c r="I72" s="164">
        <v>36922</v>
      </c>
      <c r="J72" s="163">
        <v>27775</v>
      </c>
      <c r="K72" s="163">
        <v>5</v>
      </c>
      <c r="L72" s="163">
        <v>0</v>
      </c>
      <c r="M72" s="163">
        <v>5</v>
      </c>
      <c r="N72" s="163">
        <v>0</v>
      </c>
      <c r="O72" s="163">
        <v>0</v>
      </c>
      <c r="P72" s="163">
        <v>0</v>
      </c>
      <c r="Q72" s="163" t="s">
        <v>2</v>
      </c>
    </row>
    <row r="73" spans="2:17" ht="38.25" x14ac:dyDescent="0.2">
      <c r="B73" s="165"/>
      <c r="C73" s="165" t="s">
        <v>9</v>
      </c>
      <c r="D73" s="165">
        <v>66941</v>
      </c>
      <c r="E73" s="165" t="s">
        <v>12</v>
      </c>
      <c r="F73" s="165" t="s">
        <v>2</v>
      </c>
      <c r="G73" s="165" t="s">
        <v>2</v>
      </c>
      <c r="H73" s="166">
        <v>36617</v>
      </c>
      <c r="I73" s="166">
        <v>36981</v>
      </c>
      <c r="J73" s="165">
        <v>28330</v>
      </c>
      <c r="K73" s="165">
        <v>53</v>
      </c>
      <c r="L73" s="165">
        <v>0</v>
      </c>
      <c r="M73" s="165">
        <v>53</v>
      </c>
      <c r="N73" s="165">
        <v>0</v>
      </c>
      <c r="O73" s="165">
        <v>0</v>
      </c>
      <c r="P73" s="165">
        <v>0</v>
      </c>
      <c r="Q73" s="165" t="s">
        <v>2</v>
      </c>
    </row>
    <row r="74" spans="2:17" ht="38.25" x14ac:dyDescent="0.2">
      <c r="B74" s="163"/>
      <c r="C74" s="163" t="s">
        <v>9</v>
      </c>
      <c r="D74" s="163">
        <v>66973</v>
      </c>
      <c r="E74" s="163" t="s">
        <v>10</v>
      </c>
      <c r="F74" s="163" t="s">
        <v>2</v>
      </c>
      <c r="G74" s="163" t="s">
        <v>2</v>
      </c>
      <c r="H74" s="164">
        <v>36678</v>
      </c>
      <c r="I74" s="164">
        <v>36981</v>
      </c>
      <c r="J74" s="163" t="s">
        <v>2</v>
      </c>
      <c r="K74" s="168">
        <v>10000</v>
      </c>
      <c r="L74" s="163">
        <v>0</v>
      </c>
      <c r="M74" s="168">
        <v>10000</v>
      </c>
      <c r="N74" s="163">
        <v>0</v>
      </c>
      <c r="O74" s="163">
        <v>0</v>
      </c>
      <c r="P74" s="163">
        <v>0</v>
      </c>
      <c r="Q74" s="163" t="s">
        <v>2</v>
      </c>
    </row>
    <row r="75" spans="2:17" ht="38.25" x14ac:dyDescent="0.2">
      <c r="B75" s="165"/>
      <c r="C75" s="165" t="s">
        <v>9</v>
      </c>
      <c r="D75" s="165">
        <v>68281</v>
      </c>
      <c r="E75" s="165" t="s">
        <v>12</v>
      </c>
      <c r="F75" s="165" t="s">
        <v>2</v>
      </c>
      <c r="G75" s="165" t="s">
        <v>2</v>
      </c>
      <c r="H75" s="166">
        <v>36647</v>
      </c>
      <c r="I75" s="166">
        <v>37011</v>
      </c>
      <c r="J75" s="165">
        <v>28632</v>
      </c>
      <c r="K75" s="165">
        <v>21</v>
      </c>
      <c r="L75" s="165">
        <v>0</v>
      </c>
      <c r="M75" s="165">
        <v>21</v>
      </c>
      <c r="N75" s="165">
        <v>0</v>
      </c>
      <c r="O75" s="165">
        <v>0</v>
      </c>
      <c r="P75" s="165">
        <v>0</v>
      </c>
      <c r="Q75" s="165"/>
    </row>
    <row r="76" spans="2:17" ht="38.25" x14ac:dyDescent="0.2">
      <c r="B76" s="163"/>
      <c r="C76" s="163" t="s">
        <v>9</v>
      </c>
      <c r="D76" s="163">
        <v>68309</v>
      </c>
      <c r="E76" s="163" t="s">
        <v>12</v>
      </c>
      <c r="F76" s="163" t="s">
        <v>2</v>
      </c>
      <c r="G76" s="163" t="s">
        <v>2</v>
      </c>
      <c r="H76" s="164">
        <v>36656</v>
      </c>
      <c r="I76" s="164">
        <v>36950</v>
      </c>
      <c r="J76" s="163">
        <v>28865</v>
      </c>
      <c r="K76" s="163">
        <v>9</v>
      </c>
      <c r="L76" s="163">
        <v>0</v>
      </c>
      <c r="M76" s="163">
        <v>9</v>
      </c>
      <c r="N76" s="163">
        <v>0</v>
      </c>
      <c r="O76" s="163">
        <v>0</v>
      </c>
      <c r="P76" s="163">
        <v>0</v>
      </c>
      <c r="Q76" s="163" t="s">
        <v>2</v>
      </c>
    </row>
    <row r="77" spans="2:17" ht="38.25" x14ac:dyDescent="0.2">
      <c r="B77" s="165"/>
      <c r="C77" s="165" t="s">
        <v>9</v>
      </c>
      <c r="D77" s="165">
        <v>68360</v>
      </c>
      <c r="E77" s="165" t="s">
        <v>12</v>
      </c>
      <c r="F77" s="165" t="s">
        <v>2</v>
      </c>
      <c r="G77" s="165" t="s">
        <v>2</v>
      </c>
      <c r="H77" s="166">
        <v>36678</v>
      </c>
      <c r="I77" s="166">
        <v>37042</v>
      </c>
      <c r="J77" s="165">
        <v>28934</v>
      </c>
      <c r="K77" s="165">
        <v>291</v>
      </c>
      <c r="L77" s="165">
        <v>0</v>
      </c>
      <c r="M77" s="165">
        <v>291</v>
      </c>
      <c r="N77" s="165">
        <v>0</v>
      </c>
      <c r="O77" s="165">
        <v>0</v>
      </c>
      <c r="P77" s="165">
        <v>0</v>
      </c>
      <c r="Q77" s="165" t="s">
        <v>2</v>
      </c>
    </row>
    <row r="78" spans="2:17" ht="38.25" x14ac:dyDescent="0.2">
      <c r="B78" s="163"/>
      <c r="C78" s="163" t="s">
        <v>9</v>
      </c>
      <c r="D78" s="163">
        <v>68385</v>
      </c>
      <c r="E78" s="163" t="s">
        <v>12</v>
      </c>
      <c r="F78" s="163" t="s">
        <v>2</v>
      </c>
      <c r="G78" s="163" t="s">
        <v>2</v>
      </c>
      <c r="H78" s="164">
        <v>36678</v>
      </c>
      <c r="I78" s="164">
        <v>37042</v>
      </c>
      <c r="J78" s="163">
        <v>28963</v>
      </c>
      <c r="K78" s="163">
        <v>223</v>
      </c>
      <c r="L78" s="163">
        <v>0</v>
      </c>
      <c r="M78" s="163">
        <v>223</v>
      </c>
      <c r="N78" s="163">
        <v>0</v>
      </c>
      <c r="O78" s="163">
        <v>0</v>
      </c>
      <c r="P78" s="163">
        <v>0</v>
      </c>
      <c r="Q78" s="163" t="s">
        <v>2</v>
      </c>
    </row>
  </sheetData>
  <pageMargins left="0.75" right="0.75" top="1" bottom="1" header="0.5" footer="0.5"/>
  <pageSetup scale="75" fitToHeight="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Pricing Notes</vt:lpstr>
      <vt:lpstr>CGAS</vt:lpstr>
      <vt:lpstr>Pricing</vt:lpstr>
      <vt:lpstr>CES Retail East</vt:lpstr>
      <vt:lpstr>CES Retail Mrkt</vt:lpstr>
      <vt:lpstr>MetroMedia</vt:lpstr>
      <vt:lpstr>Sheet1</vt:lpstr>
      <vt:lpstr>'Pricing Notes'!Print_Area</vt:lpstr>
      <vt:lpstr>Sheet1!Print_Titles</vt:lpstr>
      <vt:lpstr>Sheet1!TABLE</vt:lpstr>
      <vt:lpstr>Sheet1!TABLE_2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Felienne</cp:lastModifiedBy>
  <cp:lastPrinted>2000-06-23T19:33:30Z</cp:lastPrinted>
  <dcterms:created xsi:type="dcterms:W3CDTF">1998-07-21T12:15:25Z</dcterms:created>
  <dcterms:modified xsi:type="dcterms:W3CDTF">2014-09-03T12:12:24Z</dcterms:modified>
</cp:coreProperties>
</file>