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13260" windowHeight="7560" activeTab="1"/>
  </bookViews>
  <sheets>
    <sheet name="Invoice Summary" sheetId="1" r:id="rId1"/>
    <sheet name="Summary-Breakout" sheetId="4" r:id="rId2"/>
    <sheet name="Prior Amount-Detail" sheetId="2" r:id="rId3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18" i="1" s="1"/>
  <c r="H6" i="1"/>
  <c r="H7" i="1"/>
  <c r="H8" i="1"/>
  <c r="H9" i="1"/>
  <c r="H10" i="1"/>
  <c r="H11" i="1"/>
  <c r="D12" i="1"/>
  <c r="H12" i="1"/>
  <c r="H13" i="1"/>
  <c r="H14" i="1"/>
  <c r="H15" i="1"/>
  <c r="D16" i="1"/>
  <c r="H16" i="1" s="1"/>
  <c r="E18" i="1"/>
  <c r="F18" i="1"/>
  <c r="G18" i="1"/>
  <c r="G35" i="1" s="1"/>
  <c r="H19" i="1"/>
  <c r="H25" i="1" s="1"/>
  <c r="H20" i="1"/>
  <c r="E21" i="1"/>
  <c r="H21" i="1"/>
  <c r="H22" i="1"/>
  <c r="D23" i="1"/>
  <c r="H23" i="1" s="1"/>
  <c r="E23" i="1"/>
  <c r="E25" i="1" s="1"/>
  <c r="H24" i="1"/>
  <c r="D25" i="1"/>
  <c r="F25" i="1"/>
  <c r="G25" i="1"/>
  <c r="E26" i="1"/>
  <c r="H26" i="1" s="1"/>
  <c r="H33" i="1" s="1"/>
  <c r="H27" i="1"/>
  <c r="H28" i="1"/>
  <c r="H29" i="1"/>
  <c r="H30" i="1"/>
  <c r="H31" i="1"/>
  <c r="D32" i="1"/>
  <c r="D33" i="1" s="1"/>
  <c r="H32" i="1"/>
  <c r="F33" i="1"/>
  <c r="F35" i="1" s="1"/>
  <c r="G33" i="1"/>
  <c r="H39" i="1"/>
  <c r="H45" i="1" s="1"/>
  <c r="H40" i="1"/>
  <c r="H41" i="1"/>
  <c r="H42" i="1"/>
  <c r="H43" i="1"/>
  <c r="H44" i="1"/>
  <c r="D45" i="1"/>
  <c r="E45" i="1"/>
  <c r="F45" i="1"/>
  <c r="G45" i="1"/>
  <c r="E6" i="2"/>
  <c r="E7" i="2" s="1"/>
  <c r="L6" i="2"/>
  <c r="B7" i="2"/>
  <c r="C7" i="2"/>
  <c r="D7" i="2"/>
  <c r="L7" i="2"/>
  <c r="I8" i="2"/>
  <c r="J8" i="2"/>
  <c r="L8" i="2" s="1"/>
  <c r="K8" i="2"/>
  <c r="E13" i="2"/>
  <c r="L13" i="2"/>
  <c r="M13" i="2" s="1"/>
  <c r="E14" i="2"/>
  <c r="L14" i="2"/>
  <c r="M14" i="2"/>
  <c r="E15" i="2"/>
  <c r="M15" i="2" s="1"/>
  <c r="L15" i="2"/>
  <c r="E16" i="2"/>
  <c r="M16" i="2" s="1"/>
  <c r="L16" i="2"/>
  <c r="E17" i="2"/>
  <c r="L17" i="2"/>
  <c r="M17" i="2"/>
  <c r="E18" i="2"/>
  <c r="L18" i="2"/>
  <c r="M18" i="2"/>
  <c r="E19" i="2"/>
  <c r="L19" i="2"/>
  <c r="M19" i="2" s="1"/>
  <c r="C20" i="2"/>
  <c r="E20" i="2"/>
  <c r="J20" i="2"/>
  <c r="L20" i="2"/>
  <c r="E27" i="2"/>
  <c r="E28" i="2" s="1"/>
  <c r="L27" i="2"/>
  <c r="B28" i="2"/>
  <c r="C28" i="2"/>
  <c r="D28" i="2"/>
  <c r="I28" i="2"/>
  <c r="J28" i="2"/>
  <c r="K28" i="2"/>
  <c r="L28" i="2"/>
  <c r="E33" i="2"/>
  <c r="L33" i="2"/>
  <c r="M33" i="2"/>
  <c r="B34" i="2"/>
  <c r="C34" i="2"/>
  <c r="D34" i="2"/>
  <c r="E34" i="2"/>
  <c r="I34" i="2"/>
  <c r="J34" i="2"/>
  <c r="K34" i="2"/>
  <c r="L34" i="2"/>
  <c r="E44" i="2"/>
  <c r="E45" i="2" s="1"/>
  <c r="L44" i="2"/>
  <c r="B45" i="2"/>
  <c r="C45" i="2"/>
  <c r="D45" i="2"/>
  <c r="I45" i="2"/>
  <c r="J45" i="2"/>
  <c r="K45" i="2"/>
  <c r="L45" i="2"/>
  <c r="E49" i="2"/>
  <c r="L49" i="2"/>
  <c r="M49" i="2" s="1"/>
  <c r="E50" i="2"/>
  <c r="L50" i="2"/>
  <c r="M50" i="2"/>
  <c r="E51" i="2"/>
  <c r="M51" i="2" s="1"/>
  <c r="L51" i="2"/>
  <c r="C52" i="2"/>
  <c r="E52" i="2" s="1"/>
  <c r="J52" i="2"/>
  <c r="M4" i="4"/>
  <c r="M5" i="4"/>
  <c r="M6" i="4"/>
  <c r="M7" i="4"/>
  <c r="M8" i="4"/>
  <c r="M9" i="4"/>
  <c r="M10" i="4"/>
  <c r="M11" i="4"/>
  <c r="M12" i="4"/>
  <c r="E13" i="4"/>
  <c r="E20" i="4" s="1"/>
  <c r="M14" i="4"/>
  <c r="M15" i="4"/>
  <c r="M16" i="4"/>
  <c r="E17" i="4"/>
  <c r="F17" i="4"/>
  <c r="I17" i="4"/>
  <c r="M17" i="4"/>
  <c r="M18" i="4"/>
  <c r="J19" i="4"/>
  <c r="M19" i="4"/>
  <c r="C20" i="4"/>
  <c r="D20" i="4"/>
  <c r="F20" i="4"/>
  <c r="G20" i="4"/>
  <c r="H20" i="4"/>
  <c r="I20" i="4"/>
  <c r="J20" i="4"/>
  <c r="K20" i="4"/>
  <c r="L20" i="4"/>
  <c r="E28" i="4"/>
  <c r="E34" i="4" s="1"/>
  <c r="M28" i="4"/>
  <c r="M29" i="4"/>
  <c r="D30" i="4"/>
  <c r="D34" i="4" s="1"/>
  <c r="M30" i="4"/>
  <c r="D31" i="4"/>
  <c r="M31" i="4"/>
  <c r="E32" i="4"/>
  <c r="F32" i="4"/>
  <c r="F34" i="4" s="1"/>
  <c r="H32" i="4"/>
  <c r="M33" i="4"/>
  <c r="C34" i="4"/>
  <c r="G34" i="4"/>
  <c r="H34" i="4"/>
  <c r="I34" i="4"/>
  <c r="J34" i="4"/>
  <c r="K34" i="4"/>
  <c r="L34" i="4"/>
  <c r="M41" i="4"/>
  <c r="M42" i="4"/>
  <c r="M43" i="4"/>
  <c r="M44" i="4"/>
  <c r="M45" i="4"/>
  <c r="M46" i="4"/>
  <c r="M48" i="4" s="1"/>
  <c r="C47" i="4"/>
  <c r="C48" i="4" s="1"/>
  <c r="M47" i="4"/>
  <c r="D48" i="4"/>
  <c r="E48" i="4"/>
  <c r="F48" i="4"/>
  <c r="G48" i="4"/>
  <c r="H48" i="4"/>
  <c r="I48" i="4"/>
  <c r="J48" i="4"/>
  <c r="K48" i="4"/>
  <c r="L48" i="4"/>
  <c r="F56" i="4"/>
  <c r="G56" i="4"/>
  <c r="H56" i="4"/>
  <c r="I56" i="4"/>
  <c r="I57" i="4"/>
  <c r="I60" i="4"/>
  <c r="I61" i="4"/>
  <c r="I62" i="4"/>
  <c r="I63" i="4"/>
  <c r="I64" i="4"/>
  <c r="I66" i="4" s="1"/>
  <c r="E66" i="4"/>
  <c r="F66" i="4"/>
  <c r="G66" i="4"/>
  <c r="H66" i="4"/>
  <c r="H35" i="1" l="1"/>
  <c r="H47" i="1" s="1"/>
  <c r="E33" i="1"/>
  <c r="E35" i="1" s="1"/>
  <c r="M32" i="4"/>
  <c r="M34" i="4" s="1"/>
  <c r="M13" i="4"/>
  <c r="M20" i="4" s="1"/>
  <c r="M51" i="4" s="1"/>
  <c r="L52" i="2"/>
  <c r="D18" i="1"/>
  <c r="D35" i="1" s="1"/>
</calcChain>
</file>

<file path=xl/comments1.xml><?xml version="1.0" encoding="utf-8"?>
<comments xmlns="http://schemas.openxmlformats.org/spreadsheetml/2006/main">
  <authors>
    <author>mgarza1</author>
  </authors>
  <commentList>
    <comment ref="E17" authorId="0" shapeId="0">
      <text>
        <r>
          <rPr>
            <b/>
            <sz val="8"/>
            <color indexed="81"/>
            <rFont val="Tahoma"/>
          </rPr>
          <t>mgarza1:</t>
        </r>
        <r>
          <rPr>
            <sz val="8"/>
            <color indexed="81"/>
            <rFont val="Tahoma"/>
          </rPr>
          <t xml:space="preserve">
August 2000-Amount due for Gas Transp Invoice</t>
        </r>
      </text>
    </comment>
    <comment ref="D32" authorId="0" shapeId="0">
      <text>
        <r>
          <rPr>
            <b/>
            <sz val="8"/>
            <color indexed="81"/>
            <rFont val="Tahoma"/>
          </rPr>
          <t>mgarza1:</t>
        </r>
        <r>
          <rPr>
            <sz val="8"/>
            <color indexed="81"/>
            <rFont val="Tahoma"/>
          </rPr>
          <t xml:space="preserve">
Jul 2001 and Aug 2001 late charges/finance
and Comm charge/Vol assignement for Nov 01 </t>
        </r>
      </text>
    </comment>
  </commentList>
</comments>
</file>

<file path=xl/comments2.xml><?xml version="1.0" encoding="utf-8"?>
<comments xmlns="http://schemas.openxmlformats.org/spreadsheetml/2006/main">
  <authors>
    <author>mgarza1</author>
  </authors>
  <commentList>
    <comment ref="C18" authorId="0" shapeId="0">
      <text>
        <r>
          <rPr>
            <b/>
            <sz val="8"/>
            <color indexed="81"/>
            <rFont val="Tahoma"/>
          </rPr>
          <t>mgarza1:</t>
        </r>
        <r>
          <rPr>
            <sz val="8"/>
            <color indexed="81"/>
            <rFont val="Tahoma"/>
          </rPr>
          <t xml:space="preserve">
August 2000-Amount due for Gas Transp Invoice</t>
        </r>
      </text>
    </comment>
    <comment ref="J41" authorId="0" shapeId="0">
      <text>
        <r>
          <rPr>
            <b/>
            <sz val="8"/>
            <color indexed="81"/>
            <rFont val="Tahoma"/>
          </rPr>
          <t>mgarza1:</t>
        </r>
        <r>
          <rPr>
            <sz val="8"/>
            <color indexed="81"/>
            <rFont val="Tahoma"/>
          </rPr>
          <t xml:space="preserve">
OFO Penalty Alert
</t>
        </r>
      </text>
    </comment>
    <comment ref="C47" authorId="0" shapeId="0">
      <text>
        <r>
          <rPr>
            <b/>
            <sz val="8"/>
            <color indexed="81"/>
            <rFont val="Tahoma"/>
          </rPr>
          <t>mgarza1:</t>
        </r>
        <r>
          <rPr>
            <sz val="8"/>
            <color indexed="81"/>
            <rFont val="Tahoma"/>
          </rPr>
          <t xml:space="preserve">
Jul 2001 and Aug 2001 late charges/finance
and Comm charge/Vol assignement for Nov 01 </t>
        </r>
      </text>
    </comment>
  </commentList>
</comments>
</file>

<file path=xl/sharedStrings.xml><?xml version="1.0" encoding="utf-8"?>
<sst xmlns="http://schemas.openxmlformats.org/spreadsheetml/2006/main" count="351" uniqueCount="87">
  <si>
    <t>Nov. 2001</t>
  </si>
  <si>
    <t>Dec. 2001</t>
  </si>
  <si>
    <t>Jan. 2002</t>
  </si>
  <si>
    <t>Past Due</t>
  </si>
  <si>
    <t>Louisiana Gas Service</t>
  </si>
  <si>
    <t>ENA Corp</t>
  </si>
  <si>
    <t>Park</t>
  </si>
  <si>
    <t>Loan</t>
  </si>
  <si>
    <t>FT-A</t>
  </si>
  <si>
    <t>FT-G</t>
  </si>
  <si>
    <t>FS-MA</t>
  </si>
  <si>
    <t>Reliant</t>
  </si>
  <si>
    <t>IT</t>
  </si>
  <si>
    <t>LMSMA</t>
  </si>
  <si>
    <t>IS-PA</t>
  </si>
  <si>
    <t>LMSPA</t>
  </si>
  <si>
    <t>SA</t>
  </si>
  <si>
    <t>ENA Upstream</t>
  </si>
  <si>
    <t>Contract No.</t>
  </si>
  <si>
    <t>Rate Class</t>
  </si>
  <si>
    <t>Entity</t>
  </si>
  <si>
    <t>Totals</t>
  </si>
  <si>
    <t>x</t>
  </si>
  <si>
    <t>ENA Corp (Bear Creek)</t>
  </si>
  <si>
    <t>ENA Corp (Boston Gas)</t>
  </si>
  <si>
    <t>EES</t>
  </si>
  <si>
    <t>EES (NYSEG)</t>
  </si>
  <si>
    <t>PAST DUE?</t>
  </si>
  <si>
    <t>not part of Tenn Filing</t>
  </si>
  <si>
    <t>no contract/description specified</t>
  </si>
  <si>
    <t>late charges/no specific contract</t>
  </si>
  <si>
    <t>Comments</t>
  </si>
  <si>
    <t xml:space="preserve">EES </t>
  </si>
  <si>
    <t>NET-284</t>
  </si>
  <si>
    <t>Dec 01 Prod</t>
  </si>
  <si>
    <t>Jan 02 Prod</t>
  </si>
  <si>
    <t>Cashout  Imbalance</t>
  </si>
  <si>
    <t>Nov 2001 Prod</t>
  </si>
  <si>
    <t>none listed</t>
  </si>
  <si>
    <t>Demand Comm</t>
  </si>
  <si>
    <t>Capacity Realease</t>
  </si>
  <si>
    <t>Boston Gas</t>
  </si>
  <si>
    <t>ENA Agent-Nominates and Bills</t>
  </si>
  <si>
    <t>Cashout Imbalance</t>
  </si>
  <si>
    <t>Invoice Date:</t>
  </si>
  <si>
    <t>December. 2001</t>
  </si>
  <si>
    <t>Invoice Date - 1/14/2002</t>
  </si>
  <si>
    <t>Invoice Date - 12/13/2001</t>
  </si>
  <si>
    <t>Invoice Date - 2/13/2002</t>
  </si>
  <si>
    <t>Zone 0, 100</t>
  </si>
  <si>
    <t>Zone L, 800</t>
  </si>
  <si>
    <t>Zone L, 500</t>
  </si>
  <si>
    <t>Cashout MDQ</t>
  </si>
  <si>
    <t>Cashout $</t>
  </si>
  <si>
    <t>Cash Out</t>
  </si>
  <si>
    <t>Level Charge</t>
  </si>
  <si>
    <t>Contract 80045 SA</t>
  </si>
  <si>
    <t xml:space="preserve">Mar.2001 </t>
  </si>
  <si>
    <t>Feb.2001</t>
  </si>
  <si>
    <t>Jan.2001</t>
  </si>
  <si>
    <t>Dec. 2000</t>
  </si>
  <si>
    <t>Nov.2000</t>
  </si>
  <si>
    <t>Oct.2000</t>
  </si>
  <si>
    <t>Apr. 2001</t>
  </si>
  <si>
    <t>Average $/Unit</t>
  </si>
  <si>
    <t>November. 2001</t>
  </si>
  <si>
    <t>Nov.2001</t>
  </si>
  <si>
    <t>May. 2001</t>
  </si>
  <si>
    <t>PRIOR MONTHS</t>
  </si>
  <si>
    <r>
      <t>none listed</t>
    </r>
    <r>
      <rPr>
        <vertAlign val="superscript"/>
        <sz val="8"/>
        <rFont val="Arial"/>
        <family val="2"/>
      </rPr>
      <t>1</t>
    </r>
  </si>
  <si>
    <r>
      <t xml:space="preserve">1 </t>
    </r>
    <r>
      <rPr>
        <sz val="10"/>
        <rFont val="Arial"/>
      </rPr>
      <t>No contract indicated - past amounts for Aug 2001</t>
    </r>
  </si>
  <si>
    <t>15692*</t>
  </si>
  <si>
    <t>* Bear Creek Storage -used and waiting for invoice to pay post-petition amount</t>
  </si>
  <si>
    <r>
      <t>none listed</t>
    </r>
    <r>
      <rPr>
        <vertAlign val="superscript"/>
        <sz val="8"/>
        <rFont val="Arial"/>
        <family val="2"/>
      </rPr>
      <t>2</t>
    </r>
  </si>
  <si>
    <r>
      <t>2</t>
    </r>
    <r>
      <rPr>
        <sz val="10"/>
        <rFont val="Arial"/>
      </rPr>
      <t xml:space="preserve"> No contract indicated-past amounts for various services for pre and post petition </t>
    </r>
  </si>
  <si>
    <t>38535**</t>
  </si>
  <si>
    <t>38539**</t>
  </si>
  <si>
    <t>38454**</t>
  </si>
  <si>
    <t>**NYSEG capacity release</t>
  </si>
  <si>
    <r>
      <t>none listed</t>
    </r>
    <r>
      <rPr>
        <vertAlign val="superscript"/>
        <sz val="8"/>
        <rFont val="Arial"/>
        <family val="2"/>
      </rPr>
      <t>3</t>
    </r>
  </si>
  <si>
    <r>
      <t>3</t>
    </r>
    <r>
      <rPr>
        <sz val="10"/>
        <rFont val="Arial"/>
      </rPr>
      <t xml:space="preserve"> Finance and late charges for Jul and Aug 2001</t>
    </r>
  </si>
  <si>
    <t>Contract 80357 SA</t>
  </si>
  <si>
    <t>ENA UPSTREAM</t>
  </si>
  <si>
    <t>ENA CORP</t>
  </si>
  <si>
    <t>Oct.2001</t>
  </si>
  <si>
    <t>Aug.2001</t>
  </si>
  <si>
    <t>Jul.2001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</si>
</sst>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7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  <font>
      <vertAlign val="superscript"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8" fontId="0" fillId="0" borderId="4" xfId="0" applyNumberFormat="1" applyBorder="1"/>
    <xf numFmtId="0" fontId="0" fillId="0" borderId="0" xfId="0" applyBorder="1" applyAlignment="1">
      <alignment horizontal="center"/>
    </xf>
    <xf numFmtId="8" fontId="0" fillId="0" borderId="0" xfId="0" applyNumberFormat="1" applyBorder="1" applyAlignment="1">
      <alignment horizontal="center"/>
    </xf>
    <xf numFmtId="8" fontId="0" fillId="0" borderId="5" xfId="0" applyNumberFormat="1" applyBorder="1"/>
    <xf numFmtId="0" fontId="0" fillId="3" borderId="0" xfId="0" applyFill="1" applyBorder="1" applyAlignment="1">
      <alignment horizontal="center"/>
    </xf>
    <xf numFmtId="8" fontId="0" fillId="3" borderId="0" xfId="0" applyNumberFormat="1" applyFill="1" applyBorder="1" applyAlignment="1">
      <alignment horizontal="center"/>
    </xf>
    <xf numFmtId="8" fontId="0" fillId="3" borderId="5" xfId="0" applyNumberFormat="1" applyFill="1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  <xf numFmtId="0" fontId="1" fillId="2" borderId="11" xfId="0" applyFont="1" applyFill="1" applyBorder="1"/>
    <xf numFmtId="0" fontId="1" fillId="2" borderId="11" xfId="0" applyFont="1" applyFill="1" applyBorder="1" applyAlignment="1">
      <alignment horizontal="center"/>
    </xf>
    <xf numFmtId="8" fontId="0" fillId="0" borderId="8" xfId="0" applyNumberFormat="1" applyBorder="1" applyAlignment="1">
      <alignment horizontal="center"/>
    </xf>
    <xf numFmtId="8" fontId="0" fillId="0" borderId="9" xfId="0" applyNumberFormat="1" applyBorder="1" applyAlignment="1">
      <alignment horizontal="center"/>
    </xf>
    <xf numFmtId="8" fontId="0" fillId="3" borderId="9" xfId="0" applyNumberForma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8" fontId="0" fillId="0" borderId="13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8" fontId="0" fillId="0" borderId="14" xfId="0" applyNumberFormat="1" applyBorder="1" applyAlignment="1">
      <alignment horizontal="center"/>
    </xf>
    <xf numFmtId="8" fontId="0" fillId="0" borderId="5" xfId="0" applyNumberFormat="1" applyBorder="1" applyAlignment="1">
      <alignment horizontal="center"/>
    </xf>
    <xf numFmtId="8" fontId="0" fillId="3" borderId="14" xfId="0" applyNumberFormat="1" applyFill="1" applyBorder="1" applyAlignment="1">
      <alignment horizontal="center"/>
    </xf>
    <xf numFmtId="8" fontId="0" fillId="3" borderId="5" xfId="0" applyNumberFormat="1" applyFill="1" applyBorder="1" applyAlignment="1">
      <alignment horizontal="center"/>
    </xf>
    <xf numFmtId="8" fontId="0" fillId="0" borderId="12" xfId="0" applyNumberFormat="1" applyBorder="1"/>
    <xf numFmtId="8" fontId="0" fillId="0" borderId="1" xfId="0" applyNumberFormat="1" applyBorder="1"/>
    <xf numFmtId="8" fontId="0" fillId="0" borderId="2" xfId="0" applyNumberFormat="1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/>
    <xf numFmtId="0" fontId="1" fillId="3" borderId="9" xfId="0" applyFont="1" applyFill="1" applyBorder="1"/>
    <xf numFmtId="8" fontId="0" fillId="0" borderId="11" xfId="0" applyNumberFormat="1" applyBorder="1" applyAlignment="1">
      <alignment horizontal="center"/>
    </xf>
    <xf numFmtId="0" fontId="1" fillId="0" borderId="9" xfId="0" applyFont="1" applyFill="1" applyBorder="1"/>
    <xf numFmtId="0" fontId="0" fillId="0" borderId="0" xfId="0" applyFill="1" applyBorder="1" applyAlignment="1">
      <alignment horizontal="center"/>
    </xf>
    <xf numFmtId="0" fontId="0" fillId="0" borderId="9" xfId="0" applyFill="1" applyBorder="1"/>
    <xf numFmtId="8" fontId="0" fillId="0" borderId="9" xfId="0" applyNumberFormat="1" applyFill="1" applyBorder="1"/>
    <xf numFmtId="8" fontId="0" fillId="0" borderId="0" xfId="0" applyNumberFormat="1" applyFill="1" applyBorder="1"/>
    <xf numFmtId="8" fontId="0" fillId="0" borderId="5" xfId="0" applyNumberFormat="1" applyFill="1" applyBorder="1"/>
    <xf numFmtId="8" fontId="1" fillId="0" borderId="5" xfId="0" applyNumberFormat="1" applyFont="1" applyFill="1" applyBorder="1"/>
    <xf numFmtId="8" fontId="0" fillId="0" borderId="15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8" fontId="0" fillId="0" borderId="10" xfId="0" applyNumberFormat="1" applyBorder="1" applyAlignment="1">
      <alignment horizontal="center"/>
    </xf>
    <xf numFmtId="8" fontId="0" fillId="0" borderId="7" xfId="0" applyNumberFormat="1" applyBorder="1" applyAlignment="1">
      <alignment horizontal="center"/>
    </xf>
    <xf numFmtId="8" fontId="1" fillId="2" borderId="11" xfId="0" applyNumberFormat="1" applyFont="1" applyFill="1" applyBorder="1"/>
    <xf numFmtId="8" fontId="1" fillId="2" borderId="1" xfId="0" applyNumberFormat="1" applyFont="1" applyFill="1" applyBorder="1"/>
    <xf numFmtId="8" fontId="1" fillId="2" borderId="2" xfId="0" applyNumberFormat="1" applyFont="1" applyFill="1" applyBorder="1"/>
    <xf numFmtId="0" fontId="2" fillId="2" borderId="16" xfId="0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/>
    <xf numFmtId="8" fontId="2" fillId="2" borderId="18" xfId="0" applyNumberFormat="1" applyFont="1" applyFill="1" applyBorder="1"/>
    <xf numFmtId="8" fontId="2" fillId="2" borderId="17" xfId="0" applyNumberFormat="1" applyFont="1" applyFill="1" applyBorder="1"/>
    <xf numFmtId="8" fontId="2" fillId="2" borderId="19" xfId="0" applyNumberFormat="1" applyFont="1" applyFill="1" applyBorder="1"/>
    <xf numFmtId="8" fontId="2" fillId="2" borderId="20" xfId="0" applyNumberFormat="1" applyFont="1" applyFill="1" applyBorder="1"/>
    <xf numFmtId="8" fontId="1" fillId="0" borderId="0" xfId="0" applyNumberFormat="1" applyFont="1"/>
    <xf numFmtId="0" fontId="0" fillId="0" borderId="0" xfId="0" applyAlignment="1">
      <alignment horizontal="left"/>
    </xf>
    <xf numFmtId="8" fontId="1" fillId="2" borderId="11" xfId="0" applyNumberFormat="1" applyFont="1" applyFill="1" applyBorder="1" applyAlignment="1">
      <alignment horizontal="center"/>
    </xf>
    <xf numFmtId="8" fontId="1" fillId="2" borderId="12" xfId="0" applyNumberFormat="1" applyFont="1" applyFill="1" applyBorder="1" applyAlignment="1">
      <alignment horizontal="center"/>
    </xf>
    <xf numFmtId="8" fontId="1" fillId="2" borderId="1" xfId="0" applyNumberFormat="1" applyFont="1" applyFill="1" applyBorder="1" applyAlignment="1">
      <alignment horizontal="center"/>
    </xf>
    <xf numFmtId="8" fontId="1" fillId="2" borderId="2" xfId="0" applyNumberFormat="1" applyFont="1" applyFill="1" applyBorder="1" applyAlignment="1">
      <alignment horizontal="center"/>
    </xf>
    <xf numFmtId="0" fontId="1" fillId="3" borderId="10" xfId="0" applyFont="1" applyFill="1" applyBorder="1"/>
    <xf numFmtId="0" fontId="0" fillId="3" borderId="6" xfId="0" applyFill="1" applyBorder="1" applyAlignment="1">
      <alignment horizontal="center"/>
    </xf>
    <xf numFmtId="0" fontId="0" fillId="3" borderId="10" xfId="0" applyFill="1" applyBorder="1"/>
    <xf numFmtId="8" fontId="0" fillId="3" borderId="10" xfId="0" applyNumberFormat="1" applyFill="1" applyBorder="1" applyAlignment="1">
      <alignment horizontal="center"/>
    </xf>
    <xf numFmtId="8" fontId="0" fillId="3" borderId="15" xfId="0" applyNumberFormat="1" applyFill="1" applyBorder="1" applyAlignment="1">
      <alignment horizontal="center"/>
    </xf>
    <xf numFmtId="8" fontId="0" fillId="3" borderId="6" xfId="0" applyNumberFormat="1" applyFill="1" applyBorder="1" applyAlignment="1">
      <alignment horizontal="center"/>
    </xf>
    <xf numFmtId="8" fontId="0" fillId="3" borderId="7" xfId="0" applyNumberFormat="1" applyFill="1" applyBorder="1" applyAlignment="1">
      <alignment horizontal="center"/>
    </xf>
    <xf numFmtId="8" fontId="0" fillId="3" borderId="7" xfId="0" applyNumberFormat="1" applyFill="1" applyBorder="1"/>
    <xf numFmtId="8" fontId="0" fillId="0" borderId="14" xfId="0" applyNumberFormat="1" applyFill="1" applyBorder="1" applyAlignment="1">
      <alignment horizontal="center"/>
    </xf>
    <xf numFmtId="8" fontId="0" fillId="0" borderId="9" xfId="0" applyNumberFormat="1" applyFill="1" applyBorder="1" applyAlignment="1">
      <alignment horizontal="center"/>
    </xf>
    <xf numFmtId="0" fontId="1" fillId="0" borderId="12" xfId="0" applyFont="1" applyBorder="1"/>
    <xf numFmtId="0" fontId="1" fillId="0" borderId="0" xfId="0" applyFont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0" xfId="0" applyFill="1"/>
    <xf numFmtId="14" fontId="1" fillId="0" borderId="0" xfId="0" applyNumberFormat="1" applyFont="1" applyFill="1" applyBorder="1" applyAlignment="1">
      <alignment horizontal="center" wrapText="1"/>
    </xf>
    <xf numFmtId="8" fontId="0" fillId="0" borderId="0" xfId="0" applyNumberForma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4" fontId="1" fillId="0" borderId="3" xfId="0" applyNumberFormat="1" applyFont="1" applyFill="1" applyBorder="1" applyAlignment="1">
      <alignment horizontal="center" wrapText="1"/>
    </xf>
    <xf numFmtId="0" fontId="0" fillId="0" borderId="5" xfId="0" applyBorder="1"/>
    <xf numFmtId="8" fontId="0" fillId="0" borderId="5" xfId="0" applyNumberFormat="1" applyFill="1" applyBorder="1" applyAlignment="1">
      <alignment horizontal="center"/>
    </xf>
    <xf numFmtId="0" fontId="0" fillId="0" borderId="14" xfId="0" applyBorder="1"/>
    <xf numFmtId="8" fontId="1" fillId="2" borderId="12" xfId="0" applyNumberFormat="1" applyFont="1" applyFill="1" applyBorder="1"/>
    <xf numFmtId="8" fontId="1" fillId="2" borderId="7" xfId="0" applyNumberFormat="1" applyFont="1" applyFill="1" applyBorder="1"/>
    <xf numFmtId="14" fontId="1" fillId="0" borderId="5" xfId="0" applyNumberFormat="1" applyFont="1" applyFill="1" applyBorder="1" applyAlignment="1">
      <alignment horizontal="center" wrapText="1"/>
    </xf>
    <xf numFmtId="8" fontId="0" fillId="0" borderId="6" xfId="0" applyNumberFormat="1" applyFill="1" applyBorder="1" applyAlignment="1">
      <alignment horizontal="center"/>
    </xf>
    <xf numFmtId="8" fontId="0" fillId="0" borderId="0" xfId="0" applyNumberFormat="1" applyBorder="1"/>
    <xf numFmtId="0" fontId="0" fillId="0" borderId="0" xfId="0" applyFill="1" applyBorder="1"/>
    <xf numFmtId="8" fontId="0" fillId="0" borderId="8" xfId="0" applyNumberFormat="1" applyBorder="1"/>
    <xf numFmtId="8" fontId="0" fillId="0" borderId="9" xfId="0" applyNumberFormat="1" applyBorder="1"/>
    <xf numFmtId="14" fontId="1" fillId="0" borderId="13" xfId="0" applyNumberFormat="1" applyFont="1" applyFill="1" applyBorder="1" applyAlignment="1">
      <alignment horizontal="center" wrapText="1"/>
    </xf>
    <xf numFmtId="8" fontId="0" fillId="0" borderId="0" xfId="0" applyNumberFormat="1"/>
    <xf numFmtId="0" fontId="1" fillId="0" borderId="13" xfId="0" applyFont="1" applyBorder="1"/>
    <xf numFmtId="0" fontId="2" fillId="2" borderId="12" xfId="0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8" xfId="0" applyFill="1" applyBorder="1"/>
    <xf numFmtId="0" fontId="1" fillId="2" borderId="1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1" fillId="2" borderId="15" xfId="0" applyNumberFormat="1" applyFont="1" applyFill="1" applyBorder="1" applyAlignment="1">
      <alignment horizontal="center"/>
    </xf>
    <xf numFmtId="8" fontId="1" fillId="2" borderId="6" xfId="0" applyNumberFormat="1" applyFont="1" applyFill="1" applyBorder="1" applyAlignment="1">
      <alignment horizontal="center"/>
    </xf>
    <xf numFmtId="8" fontId="1" fillId="2" borderId="7" xfId="0" applyNumberFormat="1" applyFont="1" applyFill="1" applyBorder="1" applyAlignment="1">
      <alignment horizontal="center"/>
    </xf>
    <xf numFmtId="14" fontId="1" fillId="0" borderId="12" xfId="0" applyNumberFormat="1" applyFont="1" applyFill="1" applyBorder="1" applyAlignment="1">
      <alignment horizontal="center" wrapText="1"/>
    </xf>
    <xf numFmtId="14" fontId="1" fillId="0" borderId="1" xfId="0" applyNumberFormat="1" applyFont="1" applyFill="1" applyBorder="1" applyAlignment="1">
      <alignment horizontal="center" wrapText="1"/>
    </xf>
    <xf numFmtId="14" fontId="1" fillId="0" borderId="2" xfId="0" applyNumberFormat="1" applyFont="1" applyFill="1" applyBorder="1" applyAlignment="1">
      <alignment horizontal="center" wrapText="1"/>
    </xf>
    <xf numFmtId="14" fontId="1" fillId="0" borderId="14" xfId="0" applyNumberFormat="1" applyFont="1" applyFill="1" applyBorder="1" applyAlignment="1">
      <alignment horizontal="center" wrapText="1"/>
    </xf>
    <xf numFmtId="8" fontId="0" fillId="0" borderId="10" xfId="0" applyNumberFormat="1" applyBorder="1"/>
    <xf numFmtId="8" fontId="0" fillId="0" borderId="7" xfId="0" applyNumberFormat="1" applyFill="1" applyBorder="1" applyAlignment="1">
      <alignment horizontal="center"/>
    </xf>
    <xf numFmtId="8" fontId="1" fillId="0" borderId="0" xfId="0" applyNumberFormat="1" applyFont="1" applyFill="1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1" fillId="0" borderId="14" xfId="0" applyFont="1" applyBorder="1"/>
    <xf numFmtId="0" fontId="0" fillId="0" borderId="5" xfId="0" applyBorder="1" applyAlignment="1">
      <alignment horizontal="center"/>
    </xf>
    <xf numFmtId="0" fontId="1" fillId="0" borderId="14" xfId="0" applyFont="1" applyFill="1" applyBorder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8" fontId="0" fillId="0" borderId="10" xfId="0" applyNumberFormat="1" applyFill="1" applyBorder="1" applyAlignment="1">
      <alignment horizontal="center"/>
    </xf>
    <xf numFmtId="8" fontId="0" fillId="0" borderId="15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Fill="1" applyBorder="1"/>
    <xf numFmtId="0" fontId="0" fillId="0" borderId="7" xfId="0" applyFill="1" applyBorder="1" applyAlignment="1">
      <alignment horizontal="center"/>
    </xf>
    <xf numFmtId="8" fontId="0" fillId="0" borderId="10" xfId="0" applyNumberFormat="1" applyFill="1" applyBorder="1"/>
    <xf numFmtId="8" fontId="1" fillId="4" borderId="2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8" fontId="1" fillId="0" borderId="12" xfId="0" applyNumberFormat="1" applyFont="1" applyBorder="1"/>
    <xf numFmtId="8" fontId="1" fillId="0" borderId="1" xfId="0" applyNumberFormat="1" applyFont="1" applyBorder="1"/>
    <xf numFmtId="8" fontId="1" fillId="0" borderId="2" xfId="0" applyNumberFormat="1" applyFont="1" applyBorder="1"/>
    <xf numFmtId="8" fontId="1" fillId="0" borderId="11" xfId="0" applyNumberFormat="1" applyFont="1" applyBorder="1"/>
    <xf numFmtId="0" fontId="5" fillId="0" borderId="12" xfId="0" applyFont="1" applyBorder="1"/>
    <xf numFmtId="8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14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17" fontId="1" fillId="0" borderId="0" xfId="0" applyNumberFormat="1" applyFont="1"/>
    <xf numFmtId="14" fontId="1" fillId="0" borderId="0" xfId="0" applyNumberFormat="1" applyFont="1"/>
    <xf numFmtId="3" fontId="0" fillId="0" borderId="0" xfId="0" applyNumberFormat="1" applyAlignment="1">
      <alignment horizontal="center"/>
    </xf>
    <xf numFmtId="3" fontId="0" fillId="0" borderId="11" xfId="0" applyNumberFormat="1" applyBorder="1" applyAlignment="1">
      <alignment horizontal="center"/>
    </xf>
    <xf numFmtId="8" fontId="0" fillId="0" borderId="11" xfId="0" applyNumberFormat="1" applyBorder="1" applyAlignment="1"/>
    <xf numFmtId="8" fontId="0" fillId="0" borderId="1" xfId="0" applyNumberFormat="1" applyBorder="1" applyAlignment="1"/>
    <xf numFmtId="8" fontId="0" fillId="0" borderId="0" xfId="0" applyNumberFormat="1" applyBorder="1" applyAlignment="1"/>
    <xf numFmtId="8" fontId="0" fillId="0" borderId="0" xfId="0" applyNumberFormat="1" applyFill="1" applyBorder="1" applyAlignment="1"/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1" fillId="0" borderId="15" xfId="0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5" fillId="0" borderId="11" xfId="0" applyNumberFormat="1" applyFont="1" applyBorder="1" applyAlignment="1">
      <alignment horizontal="center"/>
    </xf>
    <xf numFmtId="8" fontId="0" fillId="0" borderId="3" xfId="0" applyNumberFormat="1" applyBorder="1" applyAlignment="1"/>
    <xf numFmtId="0" fontId="0" fillId="0" borderId="0" xfId="0" applyBorder="1" applyAlignment="1">
      <alignment horizontal="right"/>
    </xf>
    <xf numFmtId="3" fontId="0" fillId="0" borderId="12" xfId="0" applyNumberForma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0" fontId="1" fillId="0" borderId="11" xfId="0" applyFont="1" applyFill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3" fontId="1" fillId="3" borderId="2" xfId="0" applyNumberFormat="1" applyFont="1" applyFill="1" applyBorder="1" applyAlignment="1">
      <alignment horizontal="center"/>
    </xf>
    <xf numFmtId="8" fontId="1" fillId="3" borderId="11" xfId="0" applyNumberFormat="1" applyFont="1" applyFill="1" applyBorder="1" applyAlignment="1">
      <alignment horizontal="center"/>
    </xf>
    <xf numFmtId="3" fontId="1" fillId="0" borderId="11" xfId="0" applyNumberFormat="1" applyFont="1" applyFill="1" applyBorder="1" applyAlignment="1">
      <alignment horizontal="center"/>
    </xf>
    <xf numFmtId="8" fontId="1" fillId="0" borderId="11" xfId="0" applyNumberFormat="1" applyFont="1" applyFill="1" applyBorder="1"/>
    <xf numFmtId="0" fontId="0" fillId="0" borderId="6" xfId="0" applyBorder="1"/>
    <xf numFmtId="0" fontId="6" fillId="0" borderId="0" xfId="0" applyFont="1"/>
    <xf numFmtId="0" fontId="6" fillId="0" borderId="0" xfId="0" applyFont="1" applyBorder="1" applyAlignment="1">
      <alignment horizontal="left"/>
    </xf>
    <xf numFmtId="0" fontId="2" fillId="0" borderId="0" xfId="0" applyFont="1"/>
    <xf numFmtId="0" fontId="1" fillId="0" borderId="15" xfId="0" applyFont="1" applyFill="1" applyBorder="1" applyAlignment="1">
      <alignment horizontal="center"/>
    </xf>
    <xf numFmtId="14" fontId="1" fillId="2" borderId="12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showGridLines="0" zoomScale="80" workbookViewId="0">
      <selection activeCell="I18" sqref="I18"/>
    </sheetView>
  </sheetViews>
  <sheetFormatPr defaultRowHeight="12.75" x14ac:dyDescent="0.2"/>
  <cols>
    <col min="1" max="1" width="24.42578125" customWidth="1"/>
    <col min="2" max="2" width="12.28515625" customWidth="1"/>
    <col min="3" max="3" width="13.42578125" customWidth="1"/>
    <col min="4" max="4" width="14.5703125" customWidth="1"/>
    <col min="5" max="5" width="15" customWidth="1"/>
    <col min="6" max="6" width="14.5703125" customWidth="1"/>
    <col min="7" max="7" width="14" customWidth="1"/>
    <col min="8" max="8" width="17.42578125" customWidth="1"/>
    <col min="9" max="9" width="28.85546875" customWidth="1"/>
  </cols>
  <sheetData>
    <row r="1" spans="1:9" x14ac:dyDescent="0.2">
      <c r="A1" s="19" t="s">
        <v>20</v>
      </c>
      <c r="B1" s="2" t="s">
        <v>18</v>
      </c>
      <c r="C1" s="20" t="s">
        <v>19</v>
      </c>
      <c r="D1" s="20" t="s">
        <v>3</v>
      </c>
      <c r="E1" s="24" t="s">
        <v>0</v>
      </c>
      <c r="F1" s="2" t="s">
        <v>1</v>
      </c>
      <c r="G1" s="3" t="s">
        <v>2</v>
      </c>
      <c r="H1" s="3" t="s">
        <v>21</v>
      </c>
      <c r="I1" s="20" t="s">
        <v>31</v>
      </c>
    </row>
    <row r="2" spans="1:9" x14ac:dyDescent="0.2">
      <c r="A2" s="37" t="s">
        <v>5</v>
      </c>
      <c r="B2" s="7">
        <v>37875</v>
      </c>
      <c r="C2" s="16" t="s">
        <v>6</v>
      </c>
      <c r="D2" s="22"/>
      <c r="E2" s="27">
        <v>3000</v>
      </c>
      <c r="F2" s="8"/>
      <c r="G2" s="28"/>
      <c r="H2" s="9">
        <f t="shared" ref="H2:H32" si="0">SUM(D2:G2)</f>
        <v>3000</v>
      </c>
      <c r="I2" s="1" t="s">
        <v>22</v>
      </c>
    </row>
    <row r="3" spans="1:9" x14ac:dyDescent="0.2">
      <c r="A3" s="37" t="s">
        <v>5</v>
      </c>
      <c r="B3" s="7">
        <v>37876</v>
      </c>
      <c r="C3" s="16" t="s">
        <v>6</v>
      </c>
      <c r="D3" s="22"/>
      <c r="E3" s="27">
        <v>3000</v>
      </c>
      <c r="F3" s="8"/>
      <c r="G3" s="28"/>
      <c r="H3" s="9">
        <f t="shared" si="0"/>
        <v>3000</v>
      </c>
      <c r="I3" s="1" t="s">
        <v>22</v>
      </c>
    </row>
    <row r="4" spans="1:9" x14ac:dyDescent="0.2">
      <c r="A4" s="37" t="s">
        <v>5</v>
      </c>
      <c r="B4" s="7">
        <v>37877</v>
      </c>
      <c r="C4" s="16" t="s">
        <v>7</v>
      </c>
      <c r="D4" s="22"/>
      <c r="E4" s="27">
        <v>2500</v>
      </c>
      <c r="F4" s="8"/>
      <c r="G4" s="28"/>
      <c r="H4" s="9">
        <f t="shared" si="0"/>
        <v>2500</v>
      </c>
      <c r="I4" s="1" t="s">
        <v>22</v>
      </c>
    </row>
    <row r="5" spans="1:9" x14ac:dyDescent="0.2">
      <c r="A5" s="37" t="s">
        <v>5</v>
      </c>
      <c r="B5" s="7">
        <v>37878</v>
      </c>
      <c r="C5" s="16" t="s">
        <v>7</v>
      </c>
      <c r="D5" s="22"/>
      <c r="E5" s="27">
        <v>3000</v>
      </c>
      <c r="F5" s="8"/>
      <c r="G5" s="28"/>
      <c r="H5" s="9">
        <f t="shared" si="0"/>
        <v>3000</v>
      </c>
      <c r="I5" s="1" t="s">
        <v>22</v>
      </c>
    </row>
    <row r="6" spans="1:9" x14ac:dyDescent="0.2">
      <c r="A6" s="37" t="s">
        <v>5</v>
      </c>
      <c r="B6" s="7">
        <v>37879</v>
      </c>
      <c r="C6" s="16" t="s">
        <v>7</v>
      </c>
      <c r="D6" s="22"/>
      <c r="E6" s="27">
        <v>3000</v>
      </c>
      <c r="F6" s="8"/>
      <c r="G6" s="28"/>
      <c r="H6" s="9">
        <f t="shared" si="0"/>
        <v>3000</v>
      </c>
      <c r="I6" s="1" t="s">
        <v>22</v>
      </c>
    </row>
    <row r="7" spans="1:9" x14ac:dyDescent="0.2">
      <c r="A7" s="37" t="s">
        <v>5</v>
      </c>
      <c r="B7" s="7">
        <v>38498</v>
      </c>
      <c r="C7" s="16" t="s">
        <v>8</v>
      </c>
      <c r="D7" s="22"/>
      <c r="E7" s="27">
        <v>23395.18</v>
      </c>
      <c r="F7" s="8"/>
      <c r="G7" s="28"/>
      <c r="H7" s="9">
        <f t="shared" si="0"/>
        <v>23395.18</v>
      </c>
      <c r="I7" s="1" t="s">
        <v>22</v>
      </c>
    </row>
    <row r="8" spans="1:9" x14ac:dyDescent="0.2">
      <c r="A8" s="37" t="s">
        <v>5</v>
      </c>
      <c r="B8" s="7">
        <v>38499</v>
      </c>
      <c r="C8" s="16" t="s">
        <v>8</v>
      </c>
      <c r="D8" s="22"/>
      <c r="E8" s="27">
        <v>16523.900000000001</v>
      </c>
      <c r="F8" s="8">
        <v>15100</v>
      </c>
      <c r="G8" s="28">
        <v>15100</v>
      </c>
      <c r="H8" s="9">
        <f t="shared" si="0"/>
        <v>46723.9</v>
      </c>
      <c r="I8" s="1" t="s">
        <v>22</v>
      </c>
    </row>
    <row r="9" spans="1:9" x14ac:dyDescent="0.2">
      <c r="A9" s="37" t="s">
        <v>5</v>
      </c>
      <c r="B9" s="7">
        <v>2891</v>
      </c>
      <c r="C9" s="16" t="s">
        <v>12</v>
      </c>
      <c r="D9" s="22"/>
      <c r="E9" s="76">
        <v>5294.07</v>
      </c>
      <c r="F9" s="8"/>
      <c r="G9" s="28"/>
      <c r="H9" s="9">
        <f t="shared" si="0"/>
        <v>5294.07</v>
      </c>
      <c r="I9" s="1" t="s">
        <v>22</v>
      </c>
    </row>
    <row r="10" spans="1:9" x14ac:dyDescent="0.2">
      <c r="A10" s="37" t="s">
        <v>5</v>
      </c>
      <c r="B10" s="7">
        <v>13274</v>
      </c>
      <c r="C10" s="16" t="s">
        <v>13</v>
      </c>
      <c r="D10" s="22"/>
      <c r="E10" s="76">
        <v>25.51</v>
      </c>
      <c r="F10" s="8">
        <v>4319.7299999999996</v>
      </c>
      <c r="G10" s="28">
        <v>2015.6</v>
      </c>
      <c r="H10" s="9">
        <f t="shared" si="0"/>
        <v>6360.84</v>
      </c>
      <c r="I10" s="1" t="s">
        <v>22</v>
      </c>
    </row>
    <row r="11" spans="1:9" x14ac:dyDescent="0.2">
      <c r="A11" s="37" t="s">
        <v>23</v>
      </c>
      <c r="B11" s="7">
        <v>15692</v>
      </c>
      <c r="C11" s="16" t="s">
        <v>14</v>
      </c>
      <c r="D11" s="22"/>
      <c r="E11" s="76">
        <v>7502.93</v>
      </c>
      <c r="F11" s="8">
        <v>7759.81</v>
      </c>
      <c r="G11" s="28">
        <v>25056.26</v>
      </c>
      <c r="H11" s="9">
        <f t="shared" si="0"/>
        <v>40319</v>
      </c>
      <c r="I11" s="1" t="s">
        <v>22</v>
      </c>
    </row>
    <row r="12" spans="1:9" x14ac:dyDescent="0.2">
      <c r="A12" s="37" t="s">
        <v>5</v>
      </c>
      <c r="B12" s="7">
        <v>18314</v>
      </c>
      <c r="C12" s="16" t="s">
        <v>15</v>
      </c>
      <c r="D12" s="22">
        <f>16659.76+553.68</f>
        <v>17213.439999999999</v>
      </c>
      <c r="E12" s="76">
        <v>10005.89</v>
      </c>
      <c r="F12" s="8">
        <v>823.44</v>
      </c>
      <c r="G12" s="28"/>
      <c r="H12" s="9">
        <f t="shared" si="0"/>
        <v>28042.769999999997</v>
      </c>
      <c r="I12" s="1" t="s">
        <v>22</v>
      </c>
    </row>
    <row r="13" spans="1:9" x14ac:dyDescent="0.2">
      <c r="A13" s="37" t="s">
        <v>5</v>
      </c>
      <c r="B13" s="7">
        <v>19787</v>
      </c>
      <c r="C13" s="16" t="s">
        <v>13</v>
      </c>
      <c r="D13" s="22">
        <v>84.45</v>
      </c>
      <c r="E13" s="76"/>
      <c r="F13" s="8"/>
      <c r="G13" s="28">
        <v>54.85</v>
      </c>
      <c r="H13" s="9">
        <f t="shared" si="0"/>
        <v>139.30000000000001</v>
      </c>
      <c r="I13" s="1" t="s">
        <v>22</v>
      </c>
    </row>
    <row r="14" spans="1:9" x14ac:dyDescent="0.2">
      <c r="A14" s="37" t="s">
        <v>5</v>
      </c>
      <c r="B14" s="7">
        <v>32748</v>
      </c>
      <c r="C14" s="16" t="s">
        <v>13</v>
      </c>
      <c r="D14" s="22"/>
      <c r="E14" s="76">
        <v>-14.37</v>
      </c>
      <c r="F14" s="8"/>
      <c r="G14" s="28"/>
      <c r="H14" s="9">
        <f t="shared" si="0"/>
        <v>-14.37</v>
      </c>
      <c r="I14" s="1" t="s">
        <v>22</v>
      </c>
    </row>
    <row r="15" spans="1:9" x14ac:dyDescent="0.2">
      <c r="A15" s="37" t="s">
        <v>5</v>
      </c>
      <c r="B15" s="7">
        <v>36621</v>
      </c>
      <c r="C15" s="16" t="s">
        <v>6</v>
      </c>
      <c r="D15" s="22"/>
      <c r="E15" s="76">
        <v>89.15</v>
      </c>
      <c r="F15" s="8"/>
      <c r="G15" s="28"/>
      <c r="H15" s="9">
        <f t="shared" si="0"/>
        <v>89.15</v>
      </c>
      <c r="I15" s="1" t="s">
        <v>22</v>
      </c>
    </row>
    <row r="16" spans="1:9" x14ac:dyDescent="0.2">
      <c r="A16" s="37" t="s">
        <v>5</v>
      </c>
      <c r="B16" s="7">
        <v>80045</v>
      </c>
      <c r="C16" s="16" t="s">
        <v>16</v>
      </c>
      <c r="D16" s="22">
        <f>-887821.2-70774.85</f>
        <v>-958596.04999999993</v>
      </c>
      <c r="E16" s="76">
        <v>27286.69</v>
      </c>
      <c r="F16" s="8">
        <v>129320.62</v>
      </c>
      <c r="G16" s="28"/>
      <c r="H16" s="9">
        <f t="shared" si="0"/>
        <v>-801988.74</v>
      </c>
      <c r="I16" s="1" t="s">
        <v>22</v>
      </c>
    </row>
    <row r="17" spans="1:9" x14ac:dyDescent="0.2">
      <c r="A17" s="37" t="s">
        <v>5</v>
      </c>
      <c r="B17" s="7">
        <v>0</v>
      </c>
      <c r="C17" s="16"/>
      <c r="D17" s="22"/>
      <c r="E17" s="27">
        <v>37.6</v>
      </c>
      <c r="F17" s="8"/>
      <c r="G17" s="28"/>
      <c r="H17" s="9"/>
      <c r="I17" s="1" t="s">
        <v>29</v>
      </c>
    </row>
    <row r="18" spans="1:9" x14ac:dyDescent="0.2">
      <c r="A18" s="19"/>
      <c r="B18" s="2"/>
      <c r="C18" s="19"/>
      <c r="D18" s="52">
        <f>SUM(D2:D16)</f>
        <v>-941298.15999999992</v>
      </c>
      <c r="E18" s="53">
        <f>SUM(E2:E17)</f>
        <v>104646.55</v>
      </c>
      <c r="F18" s="53">
        <f>SUM(F2:F16)</f>
        <v>157323.6</v>
      </c>
      <c r="G18" s="54">
        <f>SUM(G2:G16)</f>
        <v>42226.71</v>
      </c>
      <c r="H18" s="52">
        <f>SUM(H2:H16)</f>
        <v>-637138.9</v>
      </c>
      <c r="I18" s="1"/>
    </row>
    <row r="19" spans="1:9" x14ac:dyDescent="0.2">
      <c r="A19" s="36" t="s">
        <v>17</v>
      </c>
      <c r="B19" s="4">
        <v>38388</v>
      </c>
      <c r="C19" s="15" t="s">
        <v>8</v>
      </c>
      <c r="D19" s="21">
        <v>36.659999999999997</v>
      </c>
      <c r="E19" s="25">
        <v>56821.65</v>
      </c>
      <c r="F19" s="5"/>
      <c r="G19" s="26"/>
      <c r="H19" s="6">
        <f t="shared" si="0"/>
        <v>56858.310000000005</v>
      </c>
      <c r="I19" s="1" t="s">
        <v>22</v>
      </c>
    </row>
    <row r="20" spans="1:9" x14ac:dyDescent="0.2">
      <c r="A20" s="37" t="s">
        <v>17</v>
      </c>
      <c r="B20" s="7">
        <v>38549</v>
      </c>
      <c r="C20" s="16" t="s">
        <v>13</v>
      </c>
      <c r="D20" s="77">
        <v>1700.22</v>
      </c>
      <c r="E20" s="76">
        <v>436.13</v>
      </c>
      <c r="F20" s="8"/>
      <c r="G20" s="28"/>
      <c r="H20" s="9">
        <f>SUM(D20:G20)</f>
        <v>2136.35</v>
      </c>
      <c r="I20" s="1" t="s">
        <v>22</v>
      </c>
    </row>
    <row r="21" spans="1:9" x14ac:dyDescent="0.2">
      <c r="A21" s="37" t="s">
        <v>17</v>
      </c>
      <c r="B21" s="7">
        <v>36568</v>
      </c>
      <c r="C21" s="16" t="s">
        <v>12</v>
      </c>
      <c r="D21" s="22">
        <v>0.38</v>
      </c>
      <c r="E21" s="27">
        <f>15831.46+413.55</f>
        <v>16245.009999999998</v>
      </c>
      <c r="F21" s="8"/>
      <c r="G21" s="28"/>
      <c r="H21" s="9">
        <f t="shared" si="0"/>
        <v>16245.389999999998</v>
      </c>
      <c r="I21" s="1" t="s">
        <v>22</v>
      </c>
    </row>
    <row r="22" spans="1:9" x14ac:dyDescent="0.2">
      <c r="A22" s="37" t="s">
        <v>17</v>
      </c>
      <c r="B22" s="7">
        <v>37011</v>
      </c>
      <c r="C22" s="16" t="s">
        <v>14</v>
      </c>
      <c r="D22" s="22">
        <v>4173.6899999999996</v>
      </c>
      <c r="E22" s="27">
        <v>3591.78</v>
      </c>
      <c r="F22" s="8">
        <v>3591.78</v>
      </c>
      <c r="G22" s="28">
        <v>3591.78</v>
      </c>
      <c r="H22" s="9">
        <f t="shared" si="0"/>
        <v>14949.03</v>
      </c>
      <c r="I22" s="1" t="s">
        <v>22</v>
      </c>
    </row>
    <row r="23" spans="1:9" x14ac:dyDescent="0.2">
      <c r="A23" s="37" t="s">
        <v>17</v>
      </c>
      <c r="B23" s="7">
        <v>80357</v>
      </c>
      <c r="C23" s="16" t="s">
        <v>16</v>
      </c>
      <c r="D23" s="22">
        <f>81518.06-752.12</f>
        <v>80765.94</v>
      </c>
      <c r="E23" s="27">
        <f>275076.72+3079.96</f>
        <v>278156.68</v>
      </c>
      <c r="F23" s="8">
        <v>12496.63</v>
      </c>
      <c r="G23" s="28">
        <v>1221.99</v>
      </c>
      <c r="H23" s="9">
        <f t="shared" si="0"/>
        <v>372641.24</v>
      </c>
      <c r="I23" s="1" t="s">
        <v>22</v>
      </c>
    </row>
    <row r="24" spans="1:9" x14ac:dyDescent="0.2">
      <c r="A24" s="37" t="s">
        <v>17</v>
      </c>
      <c r="B24" s="7">
        <v>0</v>
      </c>
      <c r="C24" s="16"/>
      <c r="D24" s="22"/>
      <c r="F24" s="8"/>
      <c r="G24" s="28">
        <v>73245.22</v>
      </c>
      <c r="H24" s="9">
        <f>SUM(D24:G24)</f>
        <v>73245.22</v>
      </c>
      <c r="I24" s="1" t="s">
        <v>29</v>
      </c>
    </row>
    <row r="25" spans="1:9" x14ac:dyDescent="0.2">
      <c r="A25" s="19"/>
      <c r="B25" s="2"/>
      <c r="C25" s="19"/>
      <c r="D25" s="64">
        <f>SUM(D19:D24)</f>
        <v>86676.89</v>
      </c>
      <c r="E25" s="65">
        <f>SUM(E19:E24)</f>
        <v>355251.25</v>
      </c>
      <c r="F25" s="66">
        <f>SUM(F22:F24)</f>
        <v>16088.41</v>
      </c>
      <c r="G25" s="67">
        <f>SUM(G22:G24)</f>
        <v>78058.990000000005</v>
      </c>
      <c r="H25" s="54">
        <f>SUM(H19:H24)</f>
        <v>536075.54</v>
      </c>
      <c r="I25" s="1"/>
    </row>
    <row r="26" spans="1:9" x14ac:dyDescent="0.2">
      <c r="A26" s="36" t="s">
        <v>32</v>
      </c>
      <c r="B26" s="4">
        <v>31905</v>
      </c>
      <c r="C26" s="15" t="s">
        <v>13</v>
      </c>
      <c r="D26" s="21"/>
      <c r="E26" s="25">
        <f>6459.23+6435.19</f>
        <v>12894.419999999998</v>
      </c>
      <c r="F26" s="5">
        <v>22785.94</v>
      </c>
      <c r="G26" s="26">
        <v>2783.25</v>
      </c>
      <c r="H26" s="6">
        <f t="shared" si="0"/>
        <v>38463.61</v>
      </c>
      <c r="I26" s="1" t="s">
        <v>22</v>
      </c>
    </row>
    <row r="27" spans="1:9" x14ac:dyDescent="0.2">
      <c r="A27" s="37" t="s">
        <v>26</v>
      </c>
      <c r="B27" s="7">
        <v>38454</v>
      </c>
      <c r="C27" s="16" t="s">
        <v>10</v>
      </c>
      <c r="D27" s="22"/>
      <c r="E27" s="27">
        <v>36.909999999999997</v>
      </c>
      <c r="F27" s="8">
        <v>51.79</v>
      </c>
      <c r="G27" s="28">
        <v>36.909999999999997</v>
      </c>
      <c r="H27" s="9">
        <f t="shared" si="0"/>
        <v>125.60999999999999</v>
      </c>
      <c r="I27" s="1" t="s">
        <v>22</v>
      </c>
    </row>
    <row r="28" spans="1:9" x14ac:dyDescent="0.2">
      <c r="A28" s="37" t="s">
        <v>26</v>
      </c>
      <c r="B28" s="7">
        <v>38535</v>
      </c>
      <c r="C28" s="16" t="s">
        <v>8</v>
      </c>
      <c r="D28" s="22"/>
      <c r="E28" s="27">
        <v>43.55</v>
      </c>
      <c r="F28" s="8">
        <v>45.11</v>
      </c>
      <c r="G28" s="28">
        <v>45.11</v>
      </c>
      <c r="H28" s="9">
        <f t="shared" si="0"/>
        <v>133.76999999999998</v>
      </c>
      <c r="I28" s="1" t="s">
        <v>22</v>
      </c>
    </row>
    <row r="29" spans="1:9" x14ac:dyDescent="0.2">
      <c r="A29" s="37" t="s">
        <v>26</v>
      </c>
      <c r="B29" s="7">
        <v>38539</v>
      </c>
      <c r="C29" s="16" t="s">
        <v>8</v>
      </c>
      <c r="D29" s="22"/>
      <c r="E29" s="27">
        <v>615.5</v>
      </c>
      <c r="F29" s="8">
        <v>638.59</v>
      </c>
      <c r="G29" s="28">
        <v>636.5</v>
      </c>
      <c r="H29" s="9">
        <f t="shared" si="0"/>
        <v>1890.5900000000001</v>
      </c>
      <c r="I29" s="1" t="s">
        <v>22</v>
      </c>
    </row>
    <row r="30" spans="1:9" x14ac:dyDescent="0.2">
      <c r="A30" s="37" t="s">
        <v>25</v>
      </c>
      <c r="B30" s="7">
        <v>27848</v>
      </c>
      <c r="C30" s="16" t="s">
        <v>12</v>
      </c>
      <c r="D30" s="22"/>
      <c r="E30" s="27">
        <v>35109.910000000003</v>
      </c>
      <c r="F30" s="8">
        <v>854.75</v>
      </c>
      <c r="G30" s="28"/>
      <c r="H30" s="9">
        <f t="shared" si="0"/>
        <v>35964.660000000003</v>
      </c>
      <c r="I30" s="1" t="s">
        <v>22</v>
      </c>
    </row>
    <row r="31" spans="1:9" x14ac:dyDescent="0.2">
      <c r="A31" s="37" t="s">
        <v>25</v>
      </c>
      <c r="B31" s="7">
        <v>80265</v>
      </c>
      <c r="C31" s="16" t="s">
        <v>16</v>
      </c>
      <c r="D31" s="22"/>
      <c r="E31" s="27">
        <v>2485.3000000000002</v>
      </c>
      <c r="F31" s="8">
        <v>13555.9</v>
      </c>
      <c r="G31" s="28"/>
      <c r="H31" s="9">
        <f t="shared" si="0"/>
        <v>16041.2</v>
      </c>
      <c r="I31" s="1" t="s">
        <v>22</v>
      </c>
    </row>
    <row r="32" spans="1:9" x14ac:dyDescent="0.2">
      <c r="A32" s="37" t="s">
        <v>25</v>
      </c>
      <c r="B32" s="13" t="s">
        <v>27</v>
      </c>
      <c r="C32" s="18"/>
      <c r="D32" s="18">
        <f>736.66+39488.71</f>
        <v>40225.370000000003</v>
      </c>
      <c r="E32" s="49"/>
      <c r="F32" s="49"/>
      <c r="G32" s="14"/>
      <c r="H32" s="9">
        <f t="shared" si="0"/>
        <v>40225.370000000003</v>
      </c>
      <c r="I32" s="63" t="s">
        <v>30</v>
      </c>
    </row>
    <row r="33" spans="1:9" x14ac:dyDescent="0.2">
      <c r="A33" s="19"/>
      <c r="B33" s="2"/>
      <c r="C33" s="19"/>
      <c r="D33" s="52">
        <f>SUM(D26:D32)</f>
        <v>40225.370000000003</v>
      </c>
      <c r="E33" s="53">
        <f>SUM(E26:E32)</f>
        <v>51185.590000000004</v>
      </c>
      <c r="F33" s="53">
        <f>SUM(F26:F32)</f>
        <v>37932.080000000002</v>
      </c>
      <c r="G33" s="54">
        <f>SUM(G26:G32)</f>
        <v>3501.77</v>
      </c>
      <c r="H33" s="52">
        <f>SUM(H26:H32)</f>
        <v>132844.81</v>
      </c>
    </row>
    <row r="34" spans="1:9" ht="13.5" thickBot="1" x14ac:dyDescent="0.25">
      <c r="A34" s="41"/>
      <c r="B34" s="42"/>
      <c r="C34" s="43"/>
      <c r="D34" s="44"/>
      <c r="E34" s="45"/>
      <c r="F34" s="45"/>
      <c r="G34" s="46"/>
      <c r="H34" s="47"/>
    </row>
    <row r="35" spans="1:9" ht="15.75" thickBot="1" x14ac:dyDescent="0.3">
      <c r="A35" s="55"/>
      <c r="B35" s="56"/>
      <c r="C35" s="57"/>
      <c r="D35" s="58">
        <f>D18+D25+D33</f>
        <v>-814395.89999999991</v>
      </c>
      <c r="E35" s="59">
        <f>E18+E25+E33</f>
        <v>511083.39</v>
      </c>
      <c r="F35" s="59">
        <f>F18+F25+F33</f>
        <v>211344.09000000003</v>
      </c>
      <c r="G35" s="60">
        <f>G18+G25+G33</f>
        <v>123787.47000000002</v>
      </c>
      <c r="H35" s="61">
        <f>H18+H25+H33</f>
        <v>31781.450000000012</v>
      </c>
    </row>
    <row r="36" spans="1:9" x14ac:dyDescent="0.2">
      <c r="A36" s="41"/>
      <c r="B36" s="42"/>
      <c r="C36" s="43"/>
      <c r="D36" s="44"/>
      <c r="E36" s="45"/>
      <c r="F36" s="45"/>
      <c r="G36" s="46"/>
      <c r="H36" s="47"/>
    </row>
    <row r="37" spans="1:9" x14ac:dyDescent="0.2">
      <c r="A37" s="41"/>
      <c r="B37" s="42"/>
      <c r="C37" s="43"/>
      <c r="D37" s="44"/>
      <c r="E37" s="45"/>
      <c r="F37" s="45"/>
      <c r="G37" s="46"/>
      <c r="H37" s="47"/>
    </row>
    <row r="38" spans="1:9" x14ac:dyDescent="0.2">
      <c r="A38" s="41"/>
      <c r="B38" s="42"/>
      <c r="C38" s="43"/>
      <c r="D38" s="44"/>
      <c r="E38" s="45"/>
      <c r="F38" s="45"/>
      <c r="G38" s="46"/>
      <c r="H38" s="47"/>
    </row>
    <row r="39" spans="1:9" x14ac:dyDescent="0.2">
      <c r="A39" s="36" t="s">
        <v>24</v>
      </c>
      <c r="B39" s="4">
        <v>29667</v>
      </c>
      <c r="C39" s="15" t="s">
        <v>33</v>
      </c>
      <c r="D39" s="21"/>
      <c r="E39" s="25">
        <v>376753.5</v>
      </c>
      <c r="F39" s="5">
        <v>374500</v>
      </c>
      <c r="G39" s="26">
        <v>373660</v>
      </c>
      <c r="H39" s="6">
        <f t="shared" ref="H39:H44" si="1">SUM(D39:G39)</f>
        <v>1124913.5</v>
      </c>
      <c r="I39" s="1" t="s">
        <v>22</v>
      </c>
    </row>
    <row r="40" spans="1:9" x14ac:dyDescent="0.2">
      <c r="A40" s="36" t="s">
        <v>4</v>
      </c>
      <c r="B40" s="4">
        <v>1339</v>
      </c>
      <c r="C40" s="15" t="s">
        <v>9</v>
      </c>
      <c r="D40" s="21"/>
      <c r="E40" s="25">
        <v>1177.17</v>
      </c>
      <c r="F40" s="5">
        <v>1949.88</v>
      </c>
      <c r="G40" s="26"/>
      <c r="H40" s="6">
        <f t="shared" si="1"/>
        <v>3127.05</v>
      </c>
      <c r="I40" s="1" t="s">
        <v>28</v>
      </c>
    </row>
    <row r="41" spans="1:9" x14ac:dyDescent="0.2">
      <c r="A41" s="37" t="s">
        <v>4</v>
      </c>
      <c r="B41" s="7">
        <v>2076</v>
      </c>
      <c r="C41" s="16" t="s">
        <v>10</v>
      </c>
      <c r="D41" s="22">
        <v>-0.34</v>
      </c>
      <c r="E41" s="27">
        <v>463.01</v>
      </c>
      <c r="F41" s="8">
        <v>314.88</v>
      </c>
      <c r="G41" s="28"/>
      <c r="H41" s="9">
        <f t="shared" si="1"/>
        <v>777.55</v>
      </c>
      <c r="I41" s="1" t="s">
        <v>28</v>
      </c>
    </row>
    <row r="42" spans="1:9" x14ac:dyDescent="0.2">
      <c r="A42" s="39" t="s">
        <v>11</v>
      </c>
      <c r="B42" s="10">
        <v>1440</v>
      </c>
      <c r="C42" s="17" t="s">
        <v>9</v>
      </c>
      <c r="D42" s="23"/>
      <c r="E42" s="29">
        <v>78226.02</v>
      </c>
      <c r="F42" s="11">
        <v>61308.24</v>
      </c>
      <c r="G42" s="30">
        <v>67226.12</v>
      </c>
      <c r="H42" s="12">
        <f t="shared" si="1"/>
        <v>206760.38</v>
      </c>
      <c r="I42" s="1" t="s">
        <v>28</v>
      </c>
    </row>
    <row r="43" spans="1:9" x14ac:dyDescent="0.2">
      <c r="A43" s="39" t="s">
        <v>11</v>
      </c>
      <c r="B43" s="10">
        <v>1548</v>
      </c>
      <c r="C43" s="17" t="s">
        <v>9</v>
      </c>
      <c r="D43" s="23"/>
      <c r="E43" s="29">
        <v>72516.69</v>
      </c>
      <c r="F43" s="11">
        <v>54455.95</v>
      </c>
      <c r="G43" s="30">
        <v>66498.09</v>
      </c>
      <c r="H43" s="12">
        <f t="shared" si="1"/>
        <v>193470.72999999998</v>
      </c>
      <c r="I43" s="1" t="s">
        <v>28</v>
      </c>
    </row>
    <row r="44" spans="1:9" x14ac:dyDescent="0.2">
      <c r="A44" s="68" t="s">
        <v>11</v>
      </c>
      <c r="B44" s="69">
        <v>2210</v>
      </c>
      <c r="C44" s="70" t="s">
        <v>10</v>
      </c>
      <c r="D44" s="71"/>
      <c r="E44" s="72">
        <v>35954.1</v>
      </c>
      <c r="F44" s="73">
        <v>21275.439999999999</v>
      </c>
      <c r="G44" s="74">
        <v>31281.62</v>
      </c>
      <c r="H44" s="75">
        <f t="shared" si="1"/>
        <v>88511.159999999989</v>
      </c>
      <c r="I44" s="1" t="s">
        <v>28</v>
      </c>
    </row>
    <row r="45" spans="1:9" x14ac:dyDescent="0.2">
      <c r="A45" s="38"/>
      <c r="B45" s="35"/>
      <c r="C45" s="34"/>
      <c r="D45" s="40">
        <f>SUM(D40:D44)</f>
        <v>-0.34</v>
      </c>
      <c r="E45" s="31">
        <f>SUM(E39:E44)</f>
        <v>565090.49</v>
      </c>
      <c r="F45" s="32">
        <f>SUM(F39:F44)</f>
        <v>513804.39</v>
      </c>
      <c r="G45" s="33">
        <f>SUM(G39:G44)</f>
        <v>538665.82999999996</v>
      </c>
      <c r="H45" s="33">
        <f>SUM(H39:H44)</f>
        <v>1617560.3699999999</v>
      </c>
    </row>
    <row r="47" spans="1:9" x14ac:dyDescent="0.2">
      <c r="H47" s="62">
        <f>H35+H45</f>
        <v>1649341.8199999998</v>
      </c>
    </row>
  </sheetData>
  <phoneticPr fontId="0" type="noConversion"/>
  <pageMargins left="0.75" right="0.75" top="1" bottom="1" header="0.5" footer="0.5"/>
  <pageSetup scale="80" orientation="landscape" r:id="rId1"/>
  <headerFooter alignWithMargins="0">
    <oddHeader xml:space="preserve">&amp;L&amp;"Arial,Bold"&amp;12Tennessee Pipeline&amp;"Arial,Regular"&amp;10
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6"/>
  <sheetViews>
    <sheetView showGridLines="0" tabSelected="1" zoomScale="80" workbookViewId="0"/>
  </sheetViews>
  <sheetFormatPr defaultRowHeight="12.75" x14ac:dyDescent="0.2"/>
  <cols>
    <col min="1" max="1" width="12.28515625" customWidth="1"/>
    <col min="2" max="2" width="13" style="1" customWidth="1"/>
    <col min="3" max="3" width="11.28515625" customWidth="1"/>
    <col min="4" max="4" width="12.28515625" customWidth="1"/>
    <col min="5" max="5" width="12.7109375" customWidth="1"/>
    <col min="6" max="6" width="13.5703125" customWidth="1"/>
    <col min="7" max="8" width="14.5703125" customWidth="1"/>
    <col min="9" max="11" width="14" customWidth="1"/>
    <col min="12" max="12" width="12.7109375" customWidth="1"/>
    <col min="13" max="13" width="17.42578125" customWidth="1"/>
    <col min="16" max="16" width="13.42578125" customWidth="1"/>
  </cols>
  <sheetData>
    <row r="1" spans="1:16" ht="15" x14ac:dyDescent="0.25">
      <c r="A1" s="105" t="s">
        <v>5</v>
      </c>
      <c r="B1" s="106"/>
      <c r="C1" s="107"/>
      <c r="D1" s="195" t="s">
        <v>37</v>
      </c>
      <c r="E1" s="193"/>
      <c r="F1" s="194"/>
      <c r="G1" s="195" t="s">
        <v>34</v>
      </c>
      <c r="H1" s="193"/>
      <c r="I1" s="194"/>
      <c r="J1" s="195" t="s">
        <v>35</v>
      </c>
      <c r="K1" s="193"/>
      <c r="L1" s="193"/>
      <c r="M1" s="108"/>
    </row>
    <row r="2" spans="1:16" x14ac:dyDescent="0.2">
      <c r="A2" s="24" t="s">
        <v>18</v>
      </c>
      <c r="B2" s="20" t="s">
        <v>19</v>
      </c>
      <c r="C2" s="20" t="s">
        <v>3</v>
      </c>
      <c r="D2" s="192" t="s">
        <v>47</v>
      </c>
      <c r="E2" s="193"/>
      <c r="F2" s="194"/>
      <c r="G2" s="192" t="s">
        <v>46</v>
      </c>
      <c r="H2" s="193"/>
      <c r="I2" s="194"/>
      <c r="J2" s="192" t="s">
        <v>48</v>
      </c>
      <c r="K2" s="193"/>
      <c r="L2" s="193"/>
      <c r="M2" s="109" t="s">
        <v>21</v>
      </c>
      <c r="N2" s="85"/>
    </row>
    <row r="3" spans="1:16" ht="25.5" x14ac:dyDescent="0.2">
      <c r="A3" s="148"/>
      <c r="B3" s="88"/>
      <c r="C3" s="88"/>
      <c r="D3" s="116" t="s">
        <v>39</v>
      </c>
      <c r="E3" s="117" t="s">
        <v>36</v>
      </c>
      <c r="F3" s="118" t="s">
        <v>36</v>
      </c>
      <c r="G3" s="116" t="s">
        <v>39</v>
      </c>
      <c r="H3" s="117" t="s">
        <v>36</v>
      </c>
      <c r="I3" s="117" t="s">
        <v>36</v>
      </c>
      <c r="J3" s="116" t="s">
        <v>39</v>
      </c>
      <c r="K3" s="117" t="s">
        <v>36</v>
      </c>
      <c r="L3" s="118" t="s">
        <v>36</v>
      </c>
      <c r="M3" s="89"/>
      <c r="N3" s="85"/>
    </row>
    <row r="4" spans="1:16" x14ac:dyDescent="0.2">
      <c r="A4" s="111">
        <v>37875</v>
      </c>
      <c r="B4" s="80" t="s">
        <v>6</v>
      </c>
      <c r="C4" s="22"/>
      <c r="D4" s="27">
        <v>3000</v>
      </c>
      <c r="E4" s="8"/>
      <c r="F4" s="91"/>
      <c r="G4" s="27"/>
      <c r="H4" s="8"/>
      <c r="I4" s="8"/>
      <c r="J4" s="27"/>
      <c r="K4" s="8"/>
      <c r="L4" s="28"/>
      <c r="M4" s="28">
        <f>SUM(C4:L4)</f>
        <v>3000</v>
      </c>
      <c r="P4" s="103"/>
    </row>
    <row r="5" spans="1:16" x14ac:dyDescent="0.2">
      <c r="A5" s="111">
        <v>37876</v>
      </c>
      <c r="B5" s="80" t="s">
        <v>6</v>
      </c>
      <c r="C5" s="22"/>
      <c r="D5" s="27">
        <v>3000</v>
      </c>
      <c r="E5" s="8"/>
      <c r="F5" s="91"/>
      <c r="G5" s="27"/>
      <c r="H5" s="8"/>
      <c r="I5" s="8"/>
      <c r="J5" s="27"/>
      <c r="K5" s="8"/>
      <c r="L5" s="28"/>
      <c r="M5" s="28">
        <f t="shared" ref="M5:M19" si="0">SUM(C5:L5)</f>
        <v>3000</v>
      </c>
      <c r="P5" s="103"/>
    </row>
    <row r="6" spans="1:16" x14ac:dyDescent="0.2">
      <c r="A6" s="111">
        <v>37877</v>
      </c>
      <c r="B6" s="80" t="s">
        <v>7</v>
      </c>
      <c r="C6" s="22"/>
      <c r="D6" s="27">
        <v>2500</v>
      </c>
      <c r="E6" s="8"/>
      <c r="F6" s="91"/>
      <c r="G6" s="27"/>
      <c r="H6" s="8"/>
      <c r="I6" s="8"/>
      <c r="J6" s="27"/>
      <c r="K6" s="8"/>
      <c r="L6" s="28"/>
      <c r="M6" s="28">
        <f t="shared" si="0"/>
        <v>2500</v>
      </c>
      <c r="P6" s="103"/>
    </row>
    <row r="7" spans="1:16" x14ac:dyDescent="0.2">
      <c r="A7" s="111">
        <v>37878</v>
      </c>
      <c r="B7" s="80" t="s">
        <v>7</v>
      </c>
      <c r="C7" s="22"/>
      <c r="D7" s="27">
        <v>3000</v>
      </c>
      <c r="E7" s="8"/>
      <c r="F7" s="92"/>
      <c r="G7" s="27"/>
      <c r="H7" s="8"/>
      <c r="I7" s="8"/>
      <c r="J7" s="27"/>
      <c r="K7" s="8"/>
      <c r="L7" s="28"/>
      <c r="M7" s="28">
        <f t="shared" si="0"/>
        <v>3000</v>
      </c>
      <c r="P7" s="103"/>
    </row>
    <row r="8" spans="1:16" x14ac:dyDescent="0.2">
      <c r="A8" s="111">
        <v>37879</v>
      </c>
      <c r="B8" s="80" t="s">
        <v>7</v>
      </c>
      <c r="C8" s="22"/>
      <c r="D8" s="27">
        <v>3000</v>
      </c>
      <c r="E8" s="8"/>
      <c r="F8" s="91"/>
      <c r="G8" s="27"/>
      <c r="H8" s="8"/>
      <c r="I8" s="8"/>
      <c r="J8" s="27"/>
      <c r="K8" s="8"/>
      <c r="L8" s="28"/>
      <c r="M8" s="28">
        <f t="shared" si="0"/>
        <v>3000</v>
      </c>
      <c r="P8" s="103"/>
    </row>
    <row r="9" spans="1:16" x14ac:dyDescent="0.2">
      <c r="A9" s="111">
        <v>38498</v>
      </c>
      <c r="B9" s="80" t="s">
        <v>8</v>
      </c>
      <c r="C9" s="22"/>
      <c r="D9" s="27">
        <v>23395.18</v>
      </c>
      <c r="E9" s="8"/>
      <c r="F9" s="91"/>
      <c r="G9" s="27"/>
      <c r="H9" s="8"/>
      <c r="I9" s="8"/>
      <c r="J9" s="27"/>
      <c r="K9" s="8"/>
      <c r="L9" s="28"/>
      <c r="M9" s="28">
        <f t="shared" si="0"/>
        <v>23395.18</v>
      </c>
      <c r="P9" s="103"/>
    </row>
    <row r="10" spans="1:16" x14ac:dyDescent="0.2">
      <c r="A10" s="111">
        <v>38499</v>
      </c>
      <c r="B10" s="80" t="s">
        <v>8</v>
      </c>
      <c r="C10" s="22"/>
      <c r="D10" s="27">
        <v>16523.900000000001</v>
      </c>
      <c r="E10" s="8"/>
      <c r="F10" s="91"/>
      <c r="G10" s="27">
        <v>15100</v>
      </c>
      <c r="H10" s="8"/>
      <c r="I10" s="8"/>
      <c r="J10" s="27">
        <v>15100</v>
      </c>
      <c r="K10" s="8"/>
      <c r="L10" s="28"/>
      <c r="M10" s="28">
        <f t="shared" si="0"/>
        <v>46723.9</v>
      </c>
      <c r="P10" s="103"/>
    </row>
    <row r="11" spans="1:16" x14ac:dyDescent="0.2">
      <c r="A11" s="111">
        <v>2891</v>
      </c>
      <c r="B11" s="80" t="s">
        <v>12</v>
      </c>
      <c r="C11" s="22"/>
      <c r="D11" s="27">
        <v>5294.07</v>
      </c>
      <c r="E11" s="87"/>
      <c r="F11" s="91"/>
      <c r="G11" s="27"/>
      <c r="H11" s="8"/>
      <c r="I11" s="8"/>
      <c r="J11" s="27"/>
      <c r="K11" s="8"/>
      <c r="L11" s="28"/>
      <c r="M11" s="28">
        <f t="shared" si="0"/>
        <v>5294.07</v>
      </c>
      <c r="P11" s="103"/>
    </row>
    <row r="12" spans="1:16" x14ac:dyDescent="0.2">
      <c r="A12" s="111">
        <v>13274</v>
      </c>
      <c r="B12" s="80" t="s">
        <v>13</v>
      </c>
      <c r="C12" s="22"/>
      <c r="D12" s="76"/>
      <c r="E12" s="87">
        <v>25.51</v>
      </c>
      <c r="F12" s="91"/>
      <c r="G12" s="27"/>
      <c r="H12" s="8">
        <v>4319.7299999999996</v>
      </c>
      <c r="I12" s="8"/>
      <c r="J12" s="27"/>
      <c r="K12" s="8">
        <v>2015.6</v>
      </c>
      <c r="L12" s="28"/>
      <c r="M12" s="28">
        <f t="shared" si="0"/>
        <v>6360.84</v>
      </c>
      <c r="P12" s="103"/>
    </row>
    <row r="13" spans="1:16" x14ac:dyDescent="0.2">
      <c r="A13" s="111">
        <v>18314</v>
      </c>
      <c r="B13" s="80" t="s">
        <v>15</v>
      </c>
      <c r="C13" s="77"/>
      <c r="D13" s="76"/>
      <c r="E13" s="87">
        <f>10005.89+16659.76</f>
        <v>26665.649999999998</v>
      </c>
      <c r="F13" s="91"/>
      <c r="G13" s="27"/>
      <c r="H13" s="8">
        <v>823.44</v>
      </c>
      <c r="I13" s="8"/>
      <c r="J13" s="27"/>
      <c r="K13" s="8">
        <v>553.67999999999995</v>
      </c>
      <c r="L13" s="28"/>
      <c r="M13" s="28">
        <f t="shared" si="0"/>
        <v>28042.769999999997</v>
      </c>
      <c r="P13" s="103"/>
    </row>
    <row r="14" spans="1:16" x14ac:dyDescent="0.2">
      <c r="A14" s="111">
        <v>19787</v>
      </c>
      <c r="B14" s="80" t="s">
        <v>13</v>
      </c>
      <c r="C14" s="22"/>
      <c r="D14" s="27"/>
      <c r="F14" s="91"/>
      <c r="G14" s="27"/>
      <c r="H14" s="8">
        <v>84.45</v>
      </c>
      <c r="I14" s="8"/>
      <c r="J14" s="27"/>
      <c r="K14" s="8">
        <v>54.85</v>
      </c>
      <c r="L14" s="28"/>
      <c r="M14" s="28">
        <f>SUM(C14:L14)</f>
        <v>139.30000000000001</v>
      </c>
      <c r="P14" s="103"/>
    </row>
    <row r="15" spans="1:16" x14ac:dyDescent="0.2">
      <c r="A15" s="111">
        <v>32748</v>
      </c>
      <c r="B15" s="80" t="s">
        <v>13</v>
      </c>
      <c r="C15" s="22"/>
      <c r="E15" s="87"/>
      <c r="F15" s="92">
        <v>-14.37</v>
      </c>
      <c r="G15" s="27"/>
      <c r="H15" s="8"/>
      <c r="I15" s="8"/>
      <c r="J15" s="27"/>
      <c r="K15" s="8"/>
      <c r="L15" s="28"/>
      <c r="M15" s="28">
        <f t="shared" si="0"/>
        <v>-14.37</v>
      </c>
      <c r="P15" s="103"/>
    </row>
    <row r="16" spans="1:16" x14ac:dyDescent="0.2">
      <c r="A16" s="111">
        <v>36621</v>
      </c>
      <c r="B16" s="80" t="s">
        <v>6</v>
      </c>
      <c r="C16" s="22"/>
      <c r="D16" s="27">
        <v>89.15</v>
      </c>
      <c r="E16" s="87"/>
      <c r="F16" s="92"/>
      <c r="G16" s="27"/>
      <c r="H16" s="8"/>
      <c r="I16" s="8"/>
      <c r="J16" s="27"/>
      <c r="K16" s="8"/>
      <c r="L16" s="28"/>
      <c r="M16" s="28">
        <f t="shared" si="0"/>
        <v>89.15</v>
      </c>
      <c r="P16" s="103"/>
    </row>
    <row r="17" spans="1:16" x14ac:dyDescent="0.2">
      <c r="A17" s="111">
        <v>80045</v>
      </c>
      <c r="B17" s="80" t="s">
        <v>16</v>
      </c>
      <c r="C17" s="22"/>
      <c r="D17" s="93"/>
      <c r="E17" s="8">
        <f>1342.01+27117.88</f>
        <v>28459.89</v>
      </c>
      <c r="F17" s="92">
        <f>-1173.2-70774.85</f>
        <v>-71948.05</v>
      </c>
      <c r="G17" s="27"/>
      <c r="H17" s="87">
        <v>129320.62</v>
      </c>
      <c r="I17" s="87">
        <f>-54882.82-22458.11-43338.68-299589.96-279045.98-115396.9-73108.75</f>
        <v>-887821.20000000007</v>
      </c>
      <c r="J17" s="27"/>
      <c r="K17" s="8"/>
      <c r="L17" s="28"/>
      <c r="M17" s="28">
        <f t="shared" si="0"/>
        <v>-801988.74000000011</v>
      </c>
      <c r="P17" s="103"/>
    </row>
    <row r="18" spans="1:16" x14ac:dyDescent="0.2">
      <c r="A18" s="111" t="s">
        <v>69</v>
      </c>
      <c r="B18" s="80" t="s">
        <v>38</v>
      </c>
      <c r="C18" s="22">
        <v>37.6</v>
      </c>
      <c r="E18" s="8"/>
      <c r="F18" s="92"/>
      <c r="G18" s="27"/>
      <c r="H18" s="8"/>
      <c r="I18" s="8"/>
      <c r="J18" s="27"/>
      <c r="K18" s="8"/>
      <c r="L18" s="28"/>
      <c r="M18" s="28">
        <f>SUM(C18:L18)</f>
        <v>37.6</v>
      </c>
    </row>
    <row r="19" spans="1:16" x14ac:dyDescent="0.2">
      <c r="A19" s="111" t="s">
        <v>71</v>
      </c>
      <c r="B19" s="80" t="s">
        <v>14</v>
      </c>
      <c r="C19" s="22"/>
      <c r="D19" s="27">
        <v>7502.93</v>
      </c>
      <c r="E19" s="8"/>
      <c r="F19" s="28"/>
      <c r="G19" s="27">
        <v>7759.81</v>
      </c>
      <c r="H19" s="8"/>
      <c r="I19" s="8"/>
      <c r="J19" s="27">
        <f>23144.35+1911.91</f>
        <v>25056.26</v>
      </c>
      <c r="K19" s="8"/>
      <c r="L19" s="28"/>
      <c r="M19" s="28">
        <f t="shared" si="0"/>
        <v>40319</v>
      </c>
      <c r="P19" s="103"/>
    </row>
    <row r="20" spans="1:16" x14ac:dyDescent="0.2">
      <c r="A20" s="24"/>
      <c r="B20" s="20"/>
      <c r="C20" s="65">
        <f t="shared" ref="C20:M20" si="1">SUM(C4:C19)</f>
        <v>37.6</v>
      </c>
      <c r="D20" s="65">
        <f t="shared" si="1"/>
        <v>67305.23000000001</v>
      </c>
      <c r="E20" s="66">
        <f t="shared" si="1"/>
        <v>55151.049999999996</v>
      </c>
      <c r="F20" s="67">
        <f t="shared" si="1"/>
        <v>-71962.42</v>
      </c>
      <c r="G20" s="53">
        <f t="shared" si="1"/>
        <v>22859.81</v>
      </c>
      <c r="H20" s="53">
        <f t="shared" si="1"/>
        <v>134548.24</v>
      </c>
      <c r="I20" s="54">
        <f t="shared" si="1"/>
        <v>-887821.20000000007</v>
      </c>
      <c r="J20" s="66">
        <f t="shared" si="1"/>
        <v>40156.259999999995</v>
      </c>
      <c r="K20" s="66">
        <f t="shared" si="1"/>
        <v>2624.1299999999997</v>
      </c>
      <c r="L20" s="67">
        <f t="shared" si="1"/>
        <v>0</v>
      </c>
      <c r="M20" s="67">
        <f t="shared" si="1"/>
        <v>-637101.30000000016</v>
      </c>
    </row>
    <row r="22" spans="1:16" x14ac:dyDescent="0.2">
      <c r="A22" s="188" t="s">
        <v>70</v>
      </c>
    </row>
    <row r="23" spans="1:16" x14ac:dyDescent="0.2">
      <c r="A23" t="s">
        <v>72</v>
      </c>
    </row>
    <row r="25" spans="1:16" ht="15" x14ac:dyDescent="0.25">
      <c r="A25" s="105" t="s">
        <v>17</v>
      </c>
      <c r="B25" s="106"/>
      <c r="C25" s="107"/>
      <c r="D25" s="195" t="s">
        <v>37</v>
      </c>
      <c r="E25" s="193"/>
      <c r="F25" s="194"/>
      <c r="G25" s="195" t="s">
        <v>34</v>
      </c>
      <c r="H25" s="193"/>
      <c r="I25" s="194"/>
      <c r="J25" s="195" t="s">
        <v>35</v>
      </c>
      <c r="K25" s="193"/>
      <c r="L25" s="193"/>
      <c r="M25" s="108"/>
    </row>
    <row r="26" spans="1:16" x14ac:dyDescent="0.2">
      <c r="A26" s="24" t="s">
        <v>18</v>
      </c>
      <c r="B26" s="20" t="s">
        <v>19</v>
      </c>
      <c r="C26" s="20" t="s">
        <v>3</v>
      </c>
      <c r="D26" s="192" t="s">
        <v>47</v>
      </c>
      <c r="E26" s="193"/>
      <c r="F26" s="194"/>
      <c r="G26" s="192" t="s">
        <v>46</v>
      </c>
      <c r="H26" s="193"/>
      <c r="I26" s="194"/>
      <c r="J26" s="192" t="s">
        <v>48</v>
      </c>
      <c r="K26" s="193"/>
      <c r="L26" s="193"/>
      <c r="M26" s="109" t="s">
        <v>21</v>
      </c>
    </row>
    <row r="27" spans="1:16" ht="25.5" x14ac:dyDescent="0.2">
      <c r="A27" s="147"/>
      <c r="B27" s="83"/>
      <c r="C27" s="83"/>
      <c r="D27" s="116" t="s">
        <v>39</v>
      </c>
      <c r="E27" s="117" t="s">
        <v>36</v>
      </c>
      <c r="F27" s="118" t="s">
        <v>36</v>
      </c>
      <c r="G27" s="102" t="s">
        <v>39</v>
      </c>
      <c r="H27" s="90" t="s">
        <v>36</v>
      </c>
      <c r="I27" s="90" t="s">
        <v>36</v>
      </c>
      <c r="J27" s="119" t="s">
        <v>39</v>
      </c>
      <c r="K27" s="86" t="s">
        <v>36</v>
      </c>
      <c r="L27" s="96" t="s">
        <v>36</v>
      </c>
      <c r="M27" s="84"/>
    </row>
    <row r="28" spans="1:16" x14ac:dyDescent="0.2">
      <c r="A28" s="110">
        <v>38388</v>
      </c>
      <c r="B28" s="81" t="s">
        <v>8</v>
      </c>
      <c r="C28" s="25"/>
      <c r="D28" s="27">
        <v>44746.12</v>
      </c>
      <c r="E28" s="8">
        <f>12075.53</f>
        <v>12075.53</v>
      </c>
      <c r="F28" s="28"/>
      <c r="G28" s="25">
        <v>39.159999999999997</v>
      </c>
      <c r="H28" s="5"/>
      <c r="I28" s="26">
        <v>-2.5</v>
      </c>
      <c r="J28" s="25"/>
      <c r="K28" s="5"/>
      <c r="L28" s="5"/>
      <c r="M28" s="21">
        <f t="shared" ref="M28:M33" si="2">SUM(C28:L28)</f>
        <v>56858.310000000005</v>
      </c>
      <c r="O28" s="103"/>
    </row>
    <row r="29" spans="1:16" x14ac:dyDescent="0.2">
      <c r="A29" s="111">
        <v>38549</v>
      </c>
      <c r="B29" s="80" t="s">
        <v>13</v>
      </c>
      <c r="C29" s="77"/>
      <c r="D29" s="27"/>
      <c r="E29" s="8">
        <v>2136.35</v>
      </c>
      <c r="F29" s="28"/>
      <c r="G29" s="27"/>
      <c r="H29" s="8"/>
      <c r="I29" s="28"/>
      <c r="J29" s="27"/>
      <c r="K29" s="8"/>
      <c r="L29" s="8"/>
      <c r="M29" s="22">
        <f t="shared" si="2"/>
        <v>2136.35</v>
      </c>
      <c r="O29" s="103"/>
    </row>
    <row r="30" spans="1:16" x14ac:dyDescent="0.2">
      <c r="A30" s="111">
        <v>36568</v>
      </c>
      <c r="B30" s="80" t="s">
        <v>12</v>
      </c>
      <c r="C30" s="22"/>
      <c r="D30" s="27">
        <f>13851+0.38</f>
        <v>13851.38</v>
      </c>
      <c r="E30" s="8">
        <v>1980.46</v>
      </c>
      <c r="F30" s="28"/>
      <c r="G30" s="27">
        <v>456.67</v>
      </c>
      <c r="H30" s="8"/>
      <c r="I30" s="28">
        <v>-43.12</v>
      </c>
      <c r="J30" s="27"/>
      <c r="K30" s="8"/>
      <c r="L30" s="8"/>
      <c r="M30" s="22">
        <f t="shared" si="2"/>
        <v>16245.39</v>
      </c>
      <c r="O30" s="103"/>
    </row>
    <row r="31" spans="1:16" x14ac:dyDescent="0.2">
      <c r="A31" s="111">
        <v>37011</v>
      </c>
      <c r="B31" s="80" t="s">
        <v>14</v>
      </c>
      <c r="C31" s="22"/>
      <c r="D31" s="27">
        <f>3591.78+1265.98+1432.37+1475.34</f>
        <v>7765.47</v>
      </c>
      <c r="E31" s="8"/>
      <c r="F31" s="28"/>
      <c r="G31" s="27">
        <v>3591.78</v>
      </c>
      <c r="H31" s="8"/>
      <c r="I31" s="28"/>
      <c r="J31" s="27">
        <v>3591.78</v>
      </c>
      <c r="K31" s="8"/>
      <c r="L31" s="8"/>
      <c r="M31" s="22">
        <f t="shared" si="2"/>
        <v>14949.03</v>
      </c>
      <c r="O31" s="103"/>
    </row>
    <row r="32" spans="1:16" x14ac:dyDescent="0.2">
      <c r="A32" s="111">
        <v>80357</v>
      </c>
      <c r="B32" s="80" t="s">
        <v>16</v>
      </c>
      <c r="C32" s="22"/>
      <c r="D32" s="27"/>
      <c r="E32" s="87">
        <f>275076.72+82760.17</f>
        <v>357836.88999999996</v>
      </c>
      <c r="F32" s="28">
        <f>-685.84-556.27</f>
        <v>-1242.1100000000001</v>
      </c>
      <c r="G32" s="27"/>
      <c r="H32" s="8">
        <f>12496.63+3079.96</f>
        <v>15576.59</v>
      </c>
      <c r="I32" s="28">
        <v>-752.12</v>
      </c>
      <c r="J32" s="27"/>
      <c r="K32" s="8">
        <v>1221.99</v>
      </c>
      <c r="L32" s="8"/>
      <c r="M32" s="22">
        <f t="shared" si="2"/>
        <v>372641.24</v>
      </c>
      <c r="O32" s="103"/>
    </row>
    <row r="33" spans="1:15" x14ac:dyDescent="0.2">
      <c r="A33" s="111" t="s">
        <v>73</v>
      </c>
      <c r="B33" s="80" t="s">
        <v>38</v>
      </c>
      <c r="C33" s="48"/>
      <c r="D33" s="48"/>
      <c r="E33" s="49"/>
      <c r="F33" s="51"/>
      <c r="G33" s="48"/>
      <c r="H33" s="49"/>
      <c r="I33" s="51"/>
      <c r="J33" s="48">
        <v>73245.22</v>
      </c>
      <c r="K33" s="49"/>
      <c r="L33" s="49"/>
      <c r="M33" s="50">
        <f t="shared" si="2"/>
        <v>73245.22</v>
      </c>
      <c r="O33" s="103"/>
    </row>
    <row r="34" spans="1:15" x14ac:dyDescent="0.2">
      <c r="A34" s="24"/>
      <c r="B34" s="20"/>
      <c r="C34" s="65">
        <f t="shared" ref="C34:M34" si="3">SUM(C28:C33)</f>
        <v>0</v>
      </c>
      <c r="D34" s="65">
        <f t="shared" si="3"/>
        <v>66362.97</v>
      </c>
      <c r="E34" s="66">
        <f t="shared" si="3"/>
        <v>374029.23</v>
      </c>
      <c r="F34" s="67">
        <f t="shared" si="3"/>
        <v>-1242.1100000000001</v>
      </c>
      <c r="G34" s="65">
        <f t="shared" si="3"/>
        <v>4087.61</v>
      </c>
      <c r="H34" s="66">
        <f t="shared" si="3"/>
        <v>15576.59</v>
      </c>
      <c r="I34" s="67">
        <f t="shared" si="3"/>
        <v>-797.74</v>
      </c>
      <c r="J34" s="113">
        <f t="shared" si="3"/>
        <v>76837</v>
      </c>
      <c r="K34" s="114">
        <f t="shared" si="3"/>
        <v>1221.99</v>
      </c>
      <c r="L34" s="115">
        <f t="shared" si="3"/>
        <v>0</v>
      </c>
      <c r="M34" s="113">
        <f t="shared" si="3"/>
        <v>536075.54</v>
      </c>
    </row>
    <row r="35" spans="1:15" x14ac:dyDescent="0.2">
      <c r="A35" s="7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98"/>
    </row>
    <row r="36" spans="1:15" x14ac:dyDescent="0.2">
      <c r="A36" s="189" t="s">
        <v>74</v>
      </c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98"/>
    </row>
    <row r="37" spans="1:15" x14ac:dyDescent="0.2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98"/>
    </row>
    <row r="38" spans="1:15" ht="15" x14ac:dyDescent="0.25">
      <c r="A38" s="105" t="s">
        <v>25</v>
      </c>
      <c r="B38" s="106"/>
      <c r="C38" s="107"/>
      <c r="D38" s="195" t="s">
        <v>37</v>
      </c>
      <c r="E38" s="193"/>
      <c r="F38" s="194"/>
      <c r="G38" s="195" t="s">
        <v>34</v>
      </c>
      <c r="H38" s="193"/>
      <c r="I38" s="194"/>
      <c r="J38" s="195" t="s">
        <v>35</v>
      </c>
      <c r="K38" s="193"/>
      <c r="L38" s="194"/>
      <c r="M38" s="108"/>
    </row>
    <row r="39" spans="1:15" x14ac:dyDescent="0.2">
      <c r="A39" s="24" t="s">
        <v>18</v>
      </c>
      <c r="B39" s="20" t="s">
        <v>19</v>
      </c>
      <c r="C39" s="20" t="s">
        <v>3</v>
      </c>
      <c r="D39" s="192" t="s">
        <v>47</v>
      </c>
      <c r="E39" s="193"/>
      <c r="F39" s="194"/>
      <c r="G39" s="192" t="s">
        <v>46</v>
      </c>
      <c r="H39" s="193"/>
      <c r="I39" s="194"/>
      <c r="J39" s="192" t="s">
        <v>48</v>
      </c>
      <c r="K39" s="193"/>
      <c r="L39" s="193"/>
      <c r="M39" s="109" t="s">
        <v>21</v>
      </c>
    </row>
    <row r="40" spans="1:15" ht="25.5" x14ac:dyDescent="0.2">
      <c r="A40" s="147"/>
      <c r="B40" s="83"/>
      <c r="C40" s="83"/>
      <c r="D40" s="116" t="s">
        <v>39</v>
      </c>
      <c r="E40" s="117" t="s">
        <v>36</v>
      </c>
      <c r="F40" s="118" t="s">
        <v>36</v>
      </c>
      <c r="G40" s="102" t="s">
        <v>39</v>
      </c>
      <c r="H40" s="90" t="s">
        <v>36</v>
      </c>
      <c r="I40" s="90" t="s">
        <v>36</v>
      </c>
      <c r="J40" s="119" t="s">
        <v>39</v>
      </c>
      <c r="K40" s="86" t="s">
        <v>36</v>
      </c>
      <c r="L40" s="96" t="s">
        <v>36</v>
      </c>
      <c r="M40" s="84"/>
    </row>
    <row r="41" spans="1:15" x14ac:dyDescent="0.2">
      <c r="A41" s="110">
        <v>31905</v>
      </c>
      <c r="B41" s="81" t="s">
        <v>13</v>
      </c>
      <c r="C41" s="21"/>
      <c r="D41" s="25"/>
      <c r="E41" s="5">
        <v>6459.23</v>
      </c>
      <c r="F41" s="26"/>
      <c r="G41" s="25"/>
      <c r="H41" s="5">
        <v>22785.94</v>
      </c>
      <c r="I41" s="5"/>
      <c r="J41" s="25">
        <v>6435.19</v>
      </c>
      <c r="K41" s="5">
        <v>2783.25</v>
      </c>
      <c r="L41" s="5"/>
      <c r="M41" s="100">
        <f>SUM(C41:L41)</f>
        <v>38463.61</v>
      </c>
    </row>
    <row r="42" spans="1:15" x14ac:dyDescent="0.2">
      <c r="A42" s="111" t="s">
        <v>77</v>
      </c>
      <c r="B42" s="80" t="s">
        <v>10</v>
      </c>
      <c r="C42" s="22"/>
      <c r="D42" s="27">
        <v>36.909999999999997</v>
      </c>
      <c r="E42" s="8"/>
      <c r="F42" s="28"/>
      <c r="G42" s="27">
        <v>51.79</v>
      </c>
      <c r="H42" s="8"/>
      <c r="I42" s="8"/>
      <c r="J42" s="27">
        <v>36.909999999999997</v>
      </c>
      <c r="K42" s="8"/>
      <c r="L42" s="8"/>
      <c r="M42" s="101">
        <f t="shared" ref="M42:M47" si="4">SUM(C42:L42)</f>
        <v>125.60999999999999</v>
      </c>
    </row>
    <row r="43" spans="1:15" x14ac:dyDescent="0.2">
      <c r="A43" s="111" t="s">
        <v>75</v>
      </c>
      <c r="B43" s="80" t="s">
        <v>8</v>
      </c>
      <c r="C43" s="22"/>
      <c r="D43" s="27">
        <v>43.55</v>
      </c>
      <c r="E43" s="8"/>
      <c r="F43" s="28"/>
      <c r="G43" s="27">
        <v>45.11</v>
      </c>
      <c r="H43" s="8"/>
      <c r="I43" s="8"/>
      <c r="J43" s="27">
        <v>45.11</v>
      </c>
      <c r="K43" s="8"/>
      <c r="L43" s="8"/>
      <c r="M43" s="101">
        <f t="shared" si="4"/>
        <v>133.76999999999998</v>
      </c>
    </row>
    <row r="44" spans="1:15" x14ac:dyDescent="0.2">
      <c r="A44" s="111" t="s">
        <v>76</v>
      </c>
      <c r="B44" s="80" t="s">
        <v>8</v>
      </c>
      <c r="C44" s="22"/>
      <c r="D44" s="27">
        <v>615.5</v>
      </c>
      <c r="E44" s="8"/>
      <c r="F44" s="28"/>
      <c r="G44" s="27">
        <v>638.59</v>
      </c>
      <c r="H44" s="8"/>
      <c r="I44" s="8"/>
      <c r="J44" s="27">
        <v>636.5</v>
      </c>
      <c r="K44" s="8"/>
      <c r="L44" s="8"/>
      <c r="M44" s="101">
        <f t="shared" si="4"/>
        <v>1890.5900000000001</v>
      </c>
    </row>
    <row r="45" spans="1:15" x14ac:dyDescent="0.2">
      <c r="A45" s="111">
        <v>27848</v>
      </c>
      <c r="B45" s="80" t="s">
        <v>12</v>
      </c>
      <c r="C45" s="22"/>
      <c r="D45" s="27">
        <v>35109.910000000003</v>
      </c>
      <c r="E45" s="8"/>
      <c r="F45" s="28"/>
      <c r="G45" s="27">
        <v>854.75</v>
      </c>
      <c r="H45" s="8"/>
      <c r="I45" s="8"/>
      <c r="J45" s="27"/>
      <c r="K45" s="8"/>
      <c r="L45" s="8"/>
      <c r="M45" s="101">
        <f t="shared" si="4"/>
        <v>35964.660000000003</v>
      </c>
    </row>
    <row r="46" spans="1:15" x14ac:dyDescent="0.2">
      <c r="A46" s="111">
        <v>80265</v>
      </c>
      <c r="B46" s="80" t="s">
        <v>16</v>
      </c>
      <c r="C46" s="22"/>
      <c r="D46" s="27"/>
      <c r="E46" s="8">
        <v>2485.3000000000002</v>
      </c>
      <c r="F46" s="28"/>
      <c r="G46" s="27"/>
      <c r="H46" s="8">
        <v>13555.9</v>
      </c>
      <c r="I46" s="8"/>
      <c r="J46" s="27"/>
      <c r="K46" s="8"/>
      <c r="L46" s="8"/>
      <c r="M46" s="101">
        <f t="shared" si="4"/>
        <v>16041.2</v>
      </c>
    </row>
    <row r="47" spans="1:15" x14ac:dyDescent="0.2">
      <c r="A47" s="111" t="s">
        <v>79</v>
      </c>
      <c r="B47" s="80" t="s">
        <v>38</v>
      </c>
      <c r="C47" s="27">
        <f>736.66+39488.71</f>
        <v>40225.370000000003</v>
      </c>
      <c r="D47" s="27"/>
      <c r="E47" s="8"/>
      <c r="F47" s="28"/>
      <c r="G47" s="48"/>
      <c r="H47" s="49"/>
      <c r="I47" s="49"/>
      <c r="J47" s="93"/>
      <c r="K47" s="123"/>
      <c r="L47" s="123"/>
      <c r="M47" s="120">
        <f t="shared" si="4"/>
        <v>40225.370000000003</v>
      </c>
    </row>
    <row r="48" spans="1:15" x14ac:dyDescent="0.2">
      <c r="A48" s="24"/>
      <c r="B48" s="20"/>
      <c r="C48" s="94">
        <f t="shared" ref="C48:M48" si="5">SUM(C41:C47)</f>
        <v>40225.370000000003</v>
      </c>
      <c r="D48" s="94">
        <f t="shared" si="5"/>
        <v>35805.870000000003</v>
      </c>
      <c r="E48" s="53">
        <f t="shared" si="5"/>
        <v>8944.5299999999988</v>
      </c>
      <c r="F48" s="54">
        <f t="shared" si="5"/>
        <v>0</v>
      </c>
      <c r="G48" s="94">
        <f t="shared" si="5"/>
        <v>1590.24</v>
      </c>
      <c r="H48" s="53">
        <f t="shared" si="5"/>
        <v>36341.839999999997</v>
      </c>
      <c r="I48" s="54">
        <f t="shared" si="5"/>
        <v>0</v>
      </c>
      <c r="J48" s="94">
        <f t="shared" si="5"/>
        <v>7153.7099999999991</v>
      </c>
      <c r="K48" s="53">
        <f t="shared" si="5"/>
        <v>2783.25</v>
      </c>
      <c r="L48" s="54">
        <f t="shared" si="5"/>
        <v>0</v>
      </c>
      <c r="M48" s="95">
        <f t="shared" si="5"/>
        <v>132844.81</v>
      </c>
    </row>
    <row r="49" spans="1:14" x14ac:dyDescent="0.2">
      <c r="B49" s="42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122"/>
    </row>
    <row r="50" spans="1:14" ht="13.5" thickBot="1" x14ac:dyDescent="0.25">
      <c r="A50" s="146" t="s">
        <v>78</v>
      </c>
      <c r="B50" s="42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122"/>
    </row>
    <row r="51" spans="1:14" ht="13.5" thickBot="1" x14ac:dyDescent="0.25">
      <c r="A51" s="188" t="s">
        <v>80</v>
      </c>
      <c r="B51" s="42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137">
        <f>M20+M34+M48</f>
        <v>31819.049999999872</v>
      </c>
    </row>
    <row r="52" spans="1:14" x14ac:dyDescent="0.2">
      <c r="A52" s="42"/>
      <c r="B52" s="42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122"/>
    </row>
    <row r="53" spans="1:14" x14ac:dyDescent="0.2">
      <c r="A53" s="42"/>
      <c r="B53" s="42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122"/>
    </row>
    <row r="54" spans="1:14" x14ac:dyDescent="0.2">
      <c r="A54" s="42"/>
      <c r="B54" s="42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122"/>
    </row>
    <row r="55" spans="1:14" x14ac:dyDescent="0.2">
      <c r="A55" s="42"/>
      <c r="B55" s="42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122"/>
    </row>
    <row r="56" spans="1:14" x14ac:dyDescent="0.2">
      <c r="A56" s="79" t="s">
        <v>40</v>
      </c>
      <c r="F56" s="133" t="str">
        <f>D38</f>
        <v>Nov 2001 Prod</v>
      </c>
      <c r="G56" s="133" t="str">
        <f>G38</f>
        <v>Dec 01 Prod</v>
      </c>
      <c r="H56" s="133" t="str">
        <f>J38</f>
        <v>Jan 02 Prod</v>
      </c>
      <c r="I56" s="133" t="str">
        <f>M39</f>
        <v>Totals</v>
      </c>
      <c r="J56" s="45"/>
      <c r="K56" s="45"/>
      <c r="L56" s="45"/>
      <c r="M56" s="122"/>
      <c r="N56" s="99"/>
    </row>
    <row r="57" spans="1:14" x14ac:dyDescent="0.2">
      <c r="A57" s="78" t="s">
        <v>41</v>
      </c>
      <c r="B57" s="35"/>
      <c r="C57" s="35">
        <v>29667</v>
      </c>
      <c r="D57" s="35" t="s">
        <v>33</v>
      </c>
      <c r="E57" s="112"/>
      <c r="F57" s="112">
        <v>376753.5</v>
      </c>
      <c r="G57" s="112">
        <v>374500</v>
      </c>
      <c r="H57" s="112">
        <v>373660</v>
      </c>
      <c r="I57" s="33">
        <f>SUM(E57:H57)</f>
        <v>1124913.5</v>
      </c>
      <c r="J57" s="45"/>
      <c r="K57" s="45"/>
      <c r="L57" s="45"/>
      <c r="M57" s="122"/>
      <c r="N57" s="99"/>
    </row>
    <row r="58" spans="1:14" x14ac:dyDescent="0.2">
      <c r="J58" s="99"/>
      <c r="K58" s="87"/>
      <c r="L58" s="87"/>
      <c r="M58" s="99"/>
      <c r="N58" s="99"/>
    </row>
    <row r="59" spans="1:14" x14ac:dyDescent="0.2">
      <c r="A59" s="79" t="s">
        <v>42</v>
      </c>
      <c r="J59" s="99"/>
      <c r="K59" s="87"/>
      <c r="L59" s="87"/>
      <c r="M59" s="99"/>
      <c r="N59" s="99"/>
    </row>
    <row r="60" spans="1:14" x14ac:dyDescent="0.2">
      <c r="A60" s="104" t="s">
        <v>4</v>
      </c>
      <c r="B60" s="124"/>
      <c r="C60" s="4">
        <v>1339</v>
      </c>
      <c r="D60" s="81" t="s">
        <v>9</v>
      </c>
      <c r="E60" s="21"/>
      <c r="F60" s="25">
        <v>1177.17</v>
      </c>
      <c r="G60" s="5">
        <v>1949.88</v>
      </c>
      <c r="H60" s="26"/>
      <c r="I60" s="100">
        <f>SUM(E60:H60)</f>
        <v>3127.05</v>
      </c>
      <c r="J60" s="99"/>
      <c r="K60" s="87"/>
      <c r="L60" s="87"/>
      <c r="M60" s="99"/>
      <c r="N60" s="99"/>
    </row>
    <row r="61" spans="1:14" x14ac:dyDescent="0.2">
      <c r="A61" s="125" t="s">
        <v>4</v>
      </c>
      <c r="B61" s="126"/>
      <c r="C61" s="7">
        <v>2076</v>
      </c>
      <c r="D61" s="80" t="s">
        <v>10</v>
      </c>
      <c r="E61" s="22">
        <v>-0.34</v>
      </c>
      <c r="F61" s="27">
        <v>463.01</v>
      </c>
      <c r="G61" s="8">
        <v>314.88</v>
      </c>
      <c r="H61" s="28"/>
      <c r="I61" s="101">
        <f>SUM(E61:H61)</f>
        <v>777.55</v>
      </c>
      <c r="J61" s="99"/>
      <c r="K61" s="87"/>
      <c r="L61" s="87"/>
      <c r="M61" s="99"/>
      <c r="N61" s="99"/>
    </row>
    <row r="62" spans="1:14" x14ac:dyDescent="0.2">
      <c r="A62" s="127" t="s">
        <v>11</v>
      </c>
      <c r="B62" s="128"/>
      <c r="C62" s="42">
        <v>1440</v>
      </c>
      <c r="D62" s="82" t="s">
        <v>9</v>
      </c>
      <c r="E62" s="77"/>
      <c r="F62" s="76">
        <v>78226.02</v>
      </c>
      <c r="G62" s="87">
        <v>61308.24</v>
      </c>
      <c r="H62" s="92">
        <v>67226.12</v>
      </c>
      <c r="I62" s="44">
        <f>SUM(E62:H62)</f>
        <v>206760.38</v>
      </c>
      <c r="J62" s="99"/>
      <c r="K62" s="45"/>
      <c r="L62" s="45"/>
      <c r="M62" s="99"/>
      <c r="N62" s="99"/>
    </row>
    <row r="63" spans="1:14" x14ac:dyDescent="0.2">
      <c r="A63" s="127" t="s">
        <v>11</v>
      </c>
      <c r="B63" s="128"/>
      <c r="C63" s="42">
        <v>1548</v>
      </c>
      <c r="D63" s="82" t="s">
        <v>9</v>
      </c>
      <c r="E63" s="77"/>
      <c r="F63" s="76">
        <v>72516.69</v>
      </c>
      <c r="G63" s="87">
        <v>54455.95</v>
      </c>
      <c r="H63" s="92">
        <v>66498.09</v>
      </c>
      <c r="I63" s="44">
        <f>SUM(E63:H63)</f>
        <v>193470.72999999998</v>
      </c>
      <c r="J63" s="99"/>
      <c r="K63" s="99"/>
      <c r="L63" s="99"/>
      <c r="M63" s="99"/>
      <c r="N63" s="99"/>
    </row>
    <row r="64" spans="1:14" x14ac:dyDescent="0.2">
      <c r="A64" s="134" t="s">
        <v>11</v>
      </c>
      <c r="B64" s="135"/>
      <c r="C64" s="129">
        <v>2210</v>
      </c>
      <c r="D64" s="130" t="s">
        <v>10</v>
      </c>
      <c r="E64" s="131"/>
      <c r="F64" s="132">
        <v>35954.1</v>
      </c>
      <c r="G64" s="97">
        <v>21275.439999999999</v>
      </c>
      <c r="H64" s="121">
        <v>31281.62</v>
      </c>
      <c r="I64" s="136">
        <f>SUM(E64:H64)</f>
        <v>88511.159999999989</v>
      </c>
      <c r="J64" s="99"/>
      <c r="K64" s="99"/>
      <c r="L64" s="99"/>
      <c r="M64" s="99"/>
      <c r="N64" s="99"/>
    </row>
    <row r="65" spans="1:14" x14ac:dyDescent="0.2">
      <c r="J65" s="99"/>
      <c r="K65" s="99"/>
      <c r="L65" s="99"/>
      <c r="M65" s="99"/>
      <c r="N65" s="99"/>
    </row>
    <row r="66" spans="1:14" x14ac:dyDescent="0.2">
      <c r="A66" s="143"/>
      <c r="B66" s="138"/>
      <c r="C66" s="138"/>
      <c r="D66" s="145"/>
      <c r="E66" s="144">
        <f>SUM(E60:E64)</f>
        <v>-0.34</v>
      </c>
      <c r="F66" s="139">
        <f>SUM(F57:F64)</f>
        <v>565090.49</v>
      </c>
      <c r="G66" s="140">
        <f>SUM(G57:G64)</f>
        <v>513804.39</v>
      </c>
      <c r="H66" s="141">
        <f>SUM(H57:H64)</f>
        <v>538665.82999999996</v>
      </c>
      <c r="I66" s="142">
        <f>SUM(I57:I64)</f>
        <v>1617560.3699999999</v>
      </c>
    </row>
  </sheetData>
  <mergeCells count="18">
    <mergeCell ref="J1:L1"/>
    <mergeCell ref="J2:L2"/>
    <mergeCell ref="D25:F25"/>
    <mergeCell ref="G25:I25"/>
    <mergeCell ref="J25:L25"/>
    <mergeCell ref="D1:F1"/>
    <mergeCell ref="D2:F2"/>
    <mergeCell ref="G1:I1"/>
    <mergeCell ref="G2:I2"/>
    <mergeCell ref="D39:F39"/>
    <mergeCell ref="G39:I39"/>
    <mergeCell ref="J39:L39"/>
    <mergeCell ref="D26:F26"/>
    <mergeCell ref="G26:I26"/>
    <mergeCell ref="J26:L26"/>
    <mergeCell ref="D38:F38"/>
    <mergeCell ref="G38:I38"/>
    <mergeCell ref="J38:L38"/>
  </mergeCells>
  <phoneticPr fontId="0" type="noConversion"/>
  <pageMargins left="0.75" right="0.75" top="0.83" bottom="0.7" header="0.5" footer="0.5"/>
  <pageSetup scale="70" orientation="landscape" r:id="rId1"/>
  <headerFooter alignWithMargins="0">
    <oddHeader xml:space="preserve">&amp;L&amp;"Arial,Bold"&amp;12Tennessee Pipeline&amp;"Arial,Regular"&amp;10
</oddHeader>
    <oddFooter>&amp;L&amp;F&amp;R&amp;D&amp;T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workbookViewId="0">
      <selection activeCell="K2" sqref="K2"/>
    </sheetView>
  </sheetViews>
  <sheetFormatPr defaultRowHeight="12.75" x14ac:dyDescent="0.2"/>
  <cols>
    <col min="1" max="1" width="17.42578125" customWidth="1"/>
    <col min="2" max="2" width="12.85546875" customWidth="1"/>
    <col min="3" max="3" width="12.28515625" customWidth="1"/>
    <col min="4" max="4" width="11.5703125" customWidth="1"/>
    <col min="5" max="5" width="10.140625" customWidth="1"/>
    <col min="6" max="7" width="2.5703125" customWidth="1"/>
    <col min="8" max="8" width="14.42578125" customWidth="1"/>
    <col min="9" max="9" width="12.7109375" customWidth="1"/>
    <col min="10" max="10" width="14.140625" customWidth="1"/>
    <col min="11" max="11" width="12.7109375" customWidth="1"/>
    <col min="12" max="12" width="13.42578125" bestFit="1" customWidth="1"/>
  </cols>
  <sheetData>
    <row r="1" spans="1:13" ht="15" x14ac:dyDescent="0.25">
      <c r="A1" s="190" t="s">
        <v>83</v>
      </c>
    </row>
    <row r="2" spans="1:13" x14ac:dyDescent="0.2">
      <c r="A2" s="79" t="s">
        <v>44</v>
      </c>
      <c r="B2" s="150">
        <v>37270</v>
      </c>
      <c r="C2" s="79"/>
    </row>
    <row r="3" spans="1:13" x14ac:dyDescent="0.2">
      <c r="A3" s="149" t="s">
        <v>45</v>
      </c>
      <c r="B3" s="79" t="s">
        <v>43</v>
      </c>
      <c r="C3" s="79"/>
      <c r="D3" s="79" t="s">
        <v>56</v>
      </c>
    </row>
    <row r="4" spans="1:13" x14ac:dyDescent="0.2">
      <c r="H4" s="133" t="s">
        <v>1</v>
      </c>
    </row>
    <row r="5" spans="1:13" x14ac:dyDescent="0.2">
      <c r="A5" s="157" t="s">
        <v>52</v>
      </c>
      <c r="B5" s="157" t="s">
        <v>49</v>
      </c>
      <c r="C5" s="165" t="s">
        <v>50</v>
      </c>
      <c r="D5" s="145" t="s">
        <v>51</v>
      </c>
      <c r="E5" s="165" t="s">
        <v>21</v>
      </c>
      <c r="F5" s="133"/>
      <c r="H5" s="165" t="s">
        <v>53</v>
      </c>
      <c r="I5" s="138" t="s">
        <v>49</v>
      </c>
      <c r="J5" s="165" t="s">
        <v>50</v>
      </c>
      <c r="K5" s="145" t="s">
        <v>51</v>
      </c>
      <c r="L5" s="165" t="s">
        <v>21</v>
      </c>
    </row>
    <row r="6" spans="1:13" x14ac:dyDescent="0.2">
      <c r="A6" s="165" t="s">
        <v>1</v>
      </c>
      <c r="B6" s="170">
        <v>11712</v>
      </c>
      <c r="C6" s="162">
        <v>14570</v>
      </c>
      <c r="D6" s="162">
        <v>7984</v>
      </c>
      <c r="E6" s="167">
        <f>SUM(B6:D6)</f>
        <v>34266</v>
      </c>
      <c r="H6" s="171" t="s">
        <v>54</v>
      </c>
      <c r="I6" s="168">
        <v>31446.720000000001</v>
      </c>
      <c r="J6" s="168">
        <v>39439.53</v>
      </c>
      <c r="K6" s="168">
        <v>21437.040000000001</v>
      </c>
      <c r="L6" s="100">
        <f>SUM(I6:K6)</f>
        <v>92323.290000000008</v>
      </c>
    </row>
    <row r="7" spans="1:13" x14ac:dyDescent="0.2">
      <c r="A7" s="165" t="s">
        <v>21</v>
      </c>
      <c r="B7" s="163">
        <f>B6</f>
        <v>11712</v>
      </c>
      <c r="C7" s="152">
        <f>C6</f>
        <v>14570</v>
      </c>
      <c r="D7" s="163">
        <f>D6</f>
        <v>7984</v>
      </c>
      <c r="E7" s="185">
        <f>E6</f>
        <v>34266</v>
      </c>
      <c r="F7" s="151"/>
      <c r="H7" s="172" t="s">
        <v>55</v>
      </c>
      <c r="I7" s="155">
        <v>15204.62</v>
      </c>
      <c r="J7" s="155">
        <v>16224.48</v>
      </c>
      <c r="K7" s="155">
        <v>5568.23</v>
      </c>
      <c r="L7" s="101">
        <f>SUM(I7:K7)</f>
        <v>36997.33</v>
      </c>
    </row>
    <row r="8" spans="1:13" x14ac:dyDescent="0.2">
      <c r="A8" s="133"/>
      <c r="B8" s="151"/>
      <c r="C8" s="151"/>
      <c r="D8" s="151"/>
      <c r="E8" s="151"/>
      <c r="F8" s="151"/>
      <c r="H8" s="173"/>
      <c r="I8" s="154">
        <f>SUM(I6:I7)</f>
        <v>46651.340000000004</v>
      </c>
      <c r="J8" s="154">
        <f>SUM(J6:J7)</f>
        <v>55664.009999999995</v>
      </c>
      <c r="K8" s="154">
        <f>SUM(K6:K7)</f>
        <v>27005.27</v>
      </c>
      <c r="L8" s="186">
        <f>SUM(I8:K8)</f>
        <v>129320.62000000001</v>
      </c>
    </row>
    <row r="9" spans="1:13" x14ac:dyDescent="0.2">
      <c r="A9" s="133"/>
      <c r="B9" s="151"/>
      <c r="C9" s="151"/>
      <c r="D9" s="151"/>
      <c r="E9" s="151"/>
      <c r="F9" s="151"/>
      <c r="H9" s="169"/>
      <c r="I9" s="155"/>
      <c r="J9" s="155"/>
      <c r="K9" s="155"/>
      <c r="L9" s="122"/>
    </row>
    <row r="11" spans="1:13" x14ac:dyDescent="0.2">
      <c r="A11" s="179" t="s">
        <v>68</v>
      </c>
      <c r="B11" s="180"/>
      <c r="C11" s="180"/>
      <c r="D11" s="180"/>
      <c r="E11" s="180"/>
      <c r="F11" s="180"/>
      <c r="G11" s="181"/>
      <c r="H11" s="181"/>
      <c r="I11" s="181"/>
      <c r="J11" s="181"/>
      <c r="K11" s="181"/>
      <c r="L11" s="181"/>
      <c r="M11" s="182"/>
    </row>
    <row r="12" spans="1:13" ht="25.5" x14ac:dyDescent="0.2">
      <c r="A12" s="161" t="s">
        <v>52</v>
      </c>
      <c r="B12" s="161" t="s">
        <v>49</v>
      </c>
      <c r="C12" s="175" t="s">
        <v>50</v>
      </c>
      <c r="D12" s="176" t="s">
        <v>51</v>
      </c>
      <c r="E12" s="175" t="s">
        <v>21</v>
      </c>
      <c r="F12" s="133"/>
      <c r="H12" s="161" t="s">
        <v>53</v>
      </c>
      <c r="I12" s="161" t="s">
        <v>49</v>
      </c>
      <c r="J12" s="175" t="s">
        <v>50</v>
      </c>
      <c r="K12" s="176" t="s">
        <v>51</v>
      </c>
      <c r="L12" s="177" t="s">
        <v>21</v>
      </c>
      <c r="M12" s="178" t="s">
        <v>64</v>
      </c>
    </row>
    <row r="13" spans="1:13" x14ac:dyDescent="0.2">
      <c r="A13" s="158" t="s">
        <v>63</v>
      </c>
      <c r="B13" s="159"/>
      <c r="C13" s="159">
        <v>-10380</v>
      </c>
      <c r="D13" s="160"/>
      <c r="E13" s="166">
        <f>C13</f>
        <v>-10380</v>
      </c>
      <c r="F13" s="151"/>
      <c r="H13" s="158" t="s">
        <v>63</v>
      </c>
      <c r="I13" s="168"/>
      <c r="J13" s="168">
        <v>-54882.82</v>
      </c>
      <c r="K13" s="168"/>
      <c r="L13" s="22">
        <f>J13</f>
        <v>-54882.82</v>
      </c>
      <c r="M13" s="101">
        <f>L13/E13</f>
        <v>5.2873622350674374</v>
      </c>
    </row>
    <row r="14" spans="1:13" x14ac:dyDescent="0.2">
      <c r="A14" s="158" t="s">
        <v>57</v>
      </c>
      <c r="B14" s="159"/>
      <c r="C14" s="159">
        <v>-4452</v>
      </c>
      <c r="D14" s="160"/>
      <c r="E14" s="166">
        <f t="shared" ref="E14:E19" si="0">C14</f>
        <v>-4452</v>
      </c>
      <c r="F14" s="151"/>
      <c r="H14" s="158" t="s">
        <v>57</v>
      </c>
      <c r="I14" s="155"/>
      <c r="J14" s="155">
        <v>-22458.11</v>
      </c>
      <c r="K14" s="155"/>
      <c r="L14" s="22">
        <f t="shared" ref="L14:L19" si="1">J14</f>
        <v>-22458.11</v>
      </c>
      <c r="M14" s="101">
        <f t="shared" ref="M14:M19" si="2">L14/E14</f>
        <v>5.0444991015274034</v>
      </c>
    </row>
    <row r="15" spans="1:13" x14ac:dyDescent="0.2">
      <c r="A15" s="158" t="s">
        <v>58</v>
      </c>
      <c r="B15" s="159"/>
      <c r="C15" s="159">
        <v>-8226</v>
      </c>
      <c r="D15" s="160"/>
      <c r="E15" s="166">
        <f t="shared" si="0"/>
        <v>-8226</v>
      </c>
      <c r="F15" s="151"/>
      <c r="H15" s="158" t="s">
        <v>58</v>
      </c>
      <c r="I15" s="155"/>
      <c r="J15" s="155">
        <v>-43338.68</v>
      </c>
      <c r="K15" s="155"/>
      <c r="L15" s="22">
        <f t="shared" si="1"/>
        <v>-43338.68</v>
      </c>
      <c r="M15" s="101">
        <f t="shared" si="2"/>
        <v>5.2684998784342332</v>
      </c>
    </row>
    <row r="16" spans="1:13" x14ac:dyDescent="0.2">
      <c r="A16" s="158" t="s">
        <v>59</v>
      </c>
      <c r="B16" s="159"/>
      <c r="C16" s="159">
        <v>-39989</v>
      </c>
      <c r="D16" s="160"/>
      <c r="E16" s="166">
        <f t="shared" si="0"/>
        <v>-39989</v>
      </c>
      <c r="F16" s="151"/>
      <c r="H16" s="158" t="s">
        <v>59</v>
      </c>
      <c r="I16" s="155"/>
      <c r="J16" s="155">
        <v>-299589.96000000002</v>
      </c>
      <c r="K16" s="155"/>
      <c r="L16" s="22">
        <f t="shared" si="1"/>
        <v>-299589.96000000002</v>
      </c>
      <c r="M16" s="101">
        <f t="shared" si="2"/>
        <v>7.4918092475430749</v>
      </c>
    </row>
    <row r="17" spans="1:13" x14ac:dyDescent="0.2">
      <c r="A17" s="158" t="s">
        <v>60</v>
      </c>
      <c r="B17" s="159"/>
      <c r="C17" s="159">
        <v>-34699</v>
      </c>
      <c r="D17" s="160"/>
      <c r="E17" s="166">
        <f t="shared" si="0"/>
        <v>-34699</v>
      </c>
      <c r="F17" s="151"/>
      <c r="H17" s="158" t="s">
        <v>60</v>
      </c>
      <c r="I17" s="155"/>
      <c r="J17" s="155">
        <v>-279045.98</v>
      </c>
      <c r="K17" s="155"/>
      <c r="L17" s="22">
        <f t="shared" si="1"/>
        <v>-279045.98</v>
      </c>
      <c r="M17" s="101">
        <f t="shared" si="2"/>
        <v>8.0419026484913108</v>
      </c>
    </row>
    <row r="18" spans="1:13" x14ac:dyDescent="0.2">
      <c r="A18" s="158" t="s">
        <v>61</v>
      </c>
      <c r="B18" s="159"/>
      <c r="C18" s="159">
        <v>-21773</v>
      </c>
      <c r="D18" s="160"/>
      <c r="E18" s="166">
        <f t="shared" si="0"/>
        <v>-21773</v>
      </c>
      <c r="F18" s="151"/>
      <c r="H18" s="158" t="s">
        <v>61</v>
      </c>
      <c r="I18" s="155"/>
      <c r="J18" s="155">
        <v>-115396.9</v>
      </c>
      <c r="K18" s="155"/>
      <c r="L18" s="22">
        <f t="shared" si="1"/>
        <v>-115396.9</v>
      </c>
      <c r="M18" s="101">
        <f t="shared" si="2"/>
        <v>5.3</v>
      </c>
    </row>
    <row r="19" spans="1:13" x14ac:dyDescent="0.2">
      <c r="A19" s="158" t="s">
        <v>62</v>
      </c>
      <c r="B19" s="159"/>
      <c r="C19" s="159">
        <v>-15350</v>
      </c>
      <c r="D19" s="160"/>
      <c r="E19" s="166">
        <f t="shared" si="0"/>
        <v>-15350</v>
      </c>
      <c r="F19" s="151"/>
      <c r="H19" s="158" t="s">
        <v>62</v>
      </c>
      <c r="I19" s="155"/>
      <c r="J19" s="155">
        <v>-73108.75</v>
      </c>
      <c r="K19" s="155"/>
      <c r="L19" s="22">
        <f t="shared" si="1"/>
        <v>-73108.75</v>
      </c>
      <c r="M19" s="101">
        <f t="shared" si="2"/>
        <v>4.762785016286645</v>
      </c>
    </row>
    <row r="20" spans="1:13" x14ac:dyDescent="0.2">
      <c r="A20" s="165" t="s">
        <v>21</v>
      </c>
      <c r="B20" s="163"/>
      <c r="C20" s="152">
        <f>SUM(C13:C19)</f>
        <v>-134869</v>
      </c>
      <c r="D20" s="164"/>
      <c r="E20" s="183">
        <f>SUM(B20:D20)</f>
        <v>-134869</v>
      </c>
      <c r="F20" s="162"/>
      <c r="G20" s="187"/>
      <c r="H20" s="165" t="s">
        <v>21</v>
      </c>
      <c r="I20" s="153"/>
      <c r="J20" s="154">
        <f>SUM(J13:J19)</f>
        <v>-887821.20000000007</v>
      </c>
      <c r="K20" s="153"/>
      <c r="L20" s="184">
        <f>SUM(I20:K20)</f>
        <v>-887821.20000000007</v>
      </c>
      <c r="M20" s="18"/>
    </row>
    <row r="21" spans="1:13" x14ac:dyDescent="0.2">
      <c r="A21" s="133"/>
      <c r="B21" s="151"/>
      <c r="C21" s="151"/>
      <c r="D21" s="151"/>
      <c r="E21" s="151"/>
      <c r="F21" s="151"/>
    </row>
    <row r="22" spans="1:13" ht="15" x14ac:dyDescent="0.25">
      <c r="A22" s="190" t="s">
        <v>83</v>
      </c>
      <c r="B22" s="151"/>
      <c r="C22" s="151"/>
      <c r="D22" s="151"/>
      <c r="J22" s="156"/>
    </row>
    <row r="23" spans="1:13" x14ac:dyDescent="0.2">
      <c r="A23" s="79" t="s">
        <v>44</v>
      </c>
      <c r="B23" s="150">
        <v>37603</v>
      </c>
      <c r="C23" s="79"/>
      <c r="J23" s="103"/>
    </row>
    <row r="24" spans="1:13" x14ac:dyDescent="0.2">
      <c r="A24" s="149" t="s">
        <v>65</v>
      </c>
      <c r="B24" s="79" t="s">
        <v>43</v>
      </c>
      <c r="C24" s="79"/>
      <c r="D24" s="79" t="s">
        <v>56</v>
      </c>
    </row>
    <row r="25" spans="1:13" x14ac:dyDescent="0.2">
      <c r="H25" s="79" t="s">
        <v>66</v>
      </c>
    </row>
    <row r="26" spans="1:13" x14ac:dyDescent="0.2">
      <c r="A26" s="157" t="s">
        <v>52</v>
      </c>
      <c r="B26" s="157" t="s">
        <v>49</v>
      </c>
      <c r="C26" s="165" t="s">
        <v>50</v>
      </c>
      <c r="D26" s="145" t="s">
        <v>51</v>
      </c>
      <c r="E26" s="165" t="s">
        <v>21</v>
      </c>
      <c r="H26" s="165" t="s">
        <v>53</v>
      </c>
      <c r="I26" s="138" t="s">
        <v>49</v>
      </c>
      <c r="J26" s="165" t="s">
        <v>50</v>
      </c>
      <c r="K26" s="145" t="s">
        <v>51</v>
      </c>
      <c r="L26" s="165" t="s">
        <v>21</v>
      </c>
    </row>
    <row r="27" spans="1:13" x14ac:dyDescent="0.2">
      <c r="A27" s="165" t="s">
        <v>0</v>
      </c>
      <c r="B27" s="170">
        <v>540</v>
      </c>
      <c r="C27" s="162">
        <v>-472</v>
      </c>
      <c r="D27" s="162">
        <v>9361</v>
      </c>
      <c r="E27" s="167">
        <f>SUM(B27:D27)</f>
        <v>9429</v>
      </c>
      <c r="H27" s="171" t="s">
        <v>54</v>
      </c>
      <c r="I27" s="168">
        <v>1342.01</v>
      </c>
      <c r="J27" s="168">
        <v>-1173.2</v>
      </c>
      <c r="K27" s="168">
        <v>27117.88</v>
      </c>
      <c r="L27" s="100">
        <f>SUM(I27:K27)</f>
        <v>27286.690000000002</v>
      </c>
    </row>
    <row r="28" spans="1:13" x14ac:dyDescent="0.2">
      <c r="A28" s="165" t="s">
        <v>21</v>
      </c>
      <c r="B28" s="163">
        <f>B27</f>
        <v>540</v>
      </c>
      <c r="C28" s="152">
        <f>C27</f>
        <v>-472</v>
      </c>
      <c r="D28" s="163">
        <f>D27</f>
        <v>9361</v>
      </c>
      <c r="E28" s="185">
        <f>E27</f>
        <v>9429</v>
      </c>
      <c r="H28" s="165" t="s">
        <v>21</v>
      </c>
      <c r="I28" s="154">
        <f>I27</f>
        <v>1342.01</v>
      </c>
      <c r="J28" s="154">
        <f>J27</f>
        <v>-1173.2</v>
      </c>
      <c r="K28" s="154">
        <f>K27</f>
        <v>27117.88</v>
      </c>
      <c r="L28" s="186">
        <f>L27</f>
        <v>27286.690000000002</v>
      </c>
    </row>
    <row r="31" spans="1:13" x14ac:dyDescent="0.2">
      <c r="A31" s="179" t="s">
        <v>68</v>
      </c>
      <c r="B31" s="180"/>
      <c r="C31" s="180"/>
      <c r="D31" s="180"/>
      <c r="E31" s="180"/>
      <c r="F31" s="180"/>
      <c r="G31" s="181"/>
      <c r="H31" s="181"/>
      <c r="I31" s="181"/>
      <c r="J31" s="181"/>
      <c r="K31" s="181"/>
      <c r="L31" s="181"/>
      <c r="M31" s="182"/>
    </row>
    <row r="32" spans="1:13" ht="25.5" x14ac:dyDescent="0.2">
      <c r="A32" s="157" t="s">
        <v>52</v>
      </c>
      <c r="B32" s="157" t="s">
        <v>49</v>
      </c>
      <c r="C32" s="165" t="s">
        <v>50</v>
      </c>
      <c r="D32" s="145" t="s">
        <v>51</v>
      </c>
      <c r="E32" s="165" t="s">
        <v>21</v>
      </c>
      <c r="H32" s="165" t="s">
        <v>53</v>
      </c>
      <c r="I32" s="138" t="s">
        <v>49</v>
      </c>
      <c r="J32" s="165" t="s">
        <v>50</v>
      </c>
      <c r="K32" s="145" t="s">
        <v>51</v>
      </c>
      <c r="L32" s="165" t="s">
        <v>21</v>
      </c>
      <c r="M32" s="174" t="s">
        <v>64</v>
      </c>
    </row>
    <row r="33" spans="1:13" x14ac:dyDescent="0.2">
      <c r="A33" s="165" t="s">
        <v>67</v>
      </c>
      <c r="B33" s="170">
        <v>0</v>
      </c>
      <c r="C33" s="162">
        <v>-16452</v>
      </c>
      <c r="D33" s="162">
        <v>0</v>
      </c>
      <c r="E33" s="167">
        <f>SUM(B33:D33)</f>
        <v>-16452</v>
      </c>
      <c r="H33" s="171" t="s">
        <v>54</v>
      </c>
      <c r="I33" s="168">
        <v>0</v>
      </c>
      <c r="J33" s="168">
        <v>-70774.850000000006</v>
      </c>
      <c r="K33" s="168">
        <v>0</v>
      </c>
      <c r="L33" s="100">
        <f>SUM(I33:K33)</f>
        <v>-70774.850000000006</v>
      </c>
      <c r="M33" s="100">
        <f>L33/E33</f>
        <v>4.3018994651106253</v>
      </c>
    </row>
    <row r="34" spans="1:13" x14ac:dyDescent="0.2">
      <c r="A34" s="165" t="s">
        <v>21</v>
      </c>
      <c r="B34" s="163">
        <f>B33</f>
        <v>0</v>
      </c>
      <c r="C34" s="152">
        <f>C33</f>
        <v>-16452</v>
      </c>
      <c r="D34" s="163">
        <f>D33</f>
        <v>0</v>
      </c>
      <c r="E34" s="183">
        <f>E33</f>
        <v>-16452</v>
      </c>
      <c r="F34" s="187"/>
      <c r="G34" s="187"/>
      <c r="H34" s="165" t="s">
        <v>21</v>
      </c>
      <c r="I34" s="154">
        <f>I33</f>
        <v>0</v>
      </c>
      <c r="J34" s="154">
        <f>J33</f>
        <v>-70774.850000000006</v>
      </c>
      <c r="K34" s="154">
        <f>K33</f>
        <v>0</v>
      </c>
      <c r="L34" s="184">
        <f>L33</f>
        <v>-70774.850000000006</v>
      </c>
      <c r="M34" s="18"/>
    </row>
    <row r="39" spans="1:13" ht="15" x14ac:dyDescent="0.25">
      <c r="A39" s="190" t="s">
        <v>82</v>
      </c>
    </row>
    <row r="40" spans="1:13" x14ac:dyDescent="0.2">
      <c r="A40" s="79" t="s">
        <v>44</v>
      </c>
      <c r="B40" s="150">
        <v>37603</v>
      </c>
      <c r="C40" s="79"/>
      <c r="J40" s="103"/>
    </row>
    <row r="41" spans="1:13" x14ac:dyDescent="0.2">
      <c r="A41" s="149" t="s">
        <v>65</v>
      </c>
      <c r="B41" s="79" t="s">
        <v>43</v>
      </c>
      <c r="C41" s="79"/>
      <c r="D41" s="79" t="s">
        <v>81</v>
      </c>
    </row>
    <row r="42" spans="1:13" x14ac:dyDescent="0.2">
      <c r="H42" s="79" t="s">
        <v>66</v>
      </c>
    </row>
    <row r="43" spans="1:13" x14ac:dyDescent="0.2">
      <c r="A43" s="157" t="s">
        <v>52</v>
      </c>
      <c r="B43" s="157" t="s">
        <v>49</v>
      </c>
      <c r="C43" s="165" t="s">
        <v>50</v>
      </c>
      <c r="D43" s="145" t="s">
        <v>51</v>
      </c>
      <c r="E43" s="165" t="s">
        <v>21</v>
      </c>
      <c r="H43" s="165" t="s">
        <v>53</v>
      </c>
      <c r="I43" s="138" t="s">
        <v>49</v>
      </c>
      <c r="J43" s="165" t="s">
        <v>50</v>
      </c>
      <c r="K43" s="145" t="s">
        <v>51</v>
      </c>
      <c r="L43" s="165" t="s">
        <v>21</v>
      </c>
    </row>
    <row r="44" spans="1:13" x14ac:dyDescent="0.2">
      <c r="A44" s="165" t="s">
        <v>0</v>
      </c>
      <c r="B44" s="170">
        <v>4045</v>
      </c>
      <c r="C44" s="162">
        <v>36925</v>
      </c>
      <c r="D44" s="162">
        <v>53491</v>
      </c>
      <c r="E44" s="167">
        <f>SUM(B44:D44)</f>
        <v>94461</v>
      </c>
      <c r="H44" s="171" t="s">
        <v>54</v>
      </c>
      <c r="I44" s="168">
        <v>11707.04</v>
      </c>
      <c r="J44" s="168">
        <v>107208.05</v>
      </c>
      <c r="K44" s="168">
        <v>156161.63</v>
      </c>
      <c r="L44" s="100">
        <f>SUM(I44:K44)</f>
        <v>275076.71999999997</v>
      </c>
    </row>
    <row r="45" spans="1:13" x14ac:dyDescent="0.2">
      <c r="A45" s="165" t="s">
        <v>21</v>
      </c>
      <c r="B45" s="163">
        <f>B44</f>
        <v>4045</v>
      </c>
      <c r="C45" s="152">
        <f>C44</f>
        <v>36925</v>
      </c>
      <c r="D45" s="163">
        <f>D44</f>
        <v>53491</v>
      </c>
      <c r="E45" s="185">
        <f>E44</f>
        <v>94461</v>
      </c>
      <c r="H45" s="165" t="s">
        <v>21</v>
      </c>
      <c r="I45" s="154">
        <f>I44</f>
        <v>11707.04</v>
      </c>
      <c r="J45" s="154">
        <f>J44</f>
        <v>107208.05</v>
      </c>
      <c r="K45" s="154">
        <f>K44</f>
        <v>156161.63</v>
      </c>
      <c r="L45" s="186">
        <f>L44</f>
        <v>275076.71999999997</v>
      </c>
    </row>
    <row r="47" spans="1:13" x14ac:dyDescent="0.2">
      <c r="A47" s="179" t="s">
        <v>68</v>
      </c>
      <c r="B47" s="180"/>
      <c r="C47" s="180"/>
      <c r="D47" s="180"/>
      <c r="E47" s="180"/>
      <c r="F47" s="180"/>
      <c r="G47" s="181"/>
      <c r="H47" s="181"/>
      <c r="I47" s="181"/>
      <c r="J47" s="181"/>
      <c r="K47" s="181"/>
      <c r="L47" s="181"/>
      <c r="M47" s="182"/>
    </row>
    <row r="48" spans="1:13" ht="25.5" x14ac:dyDescent="0.2">
      <c r="A48" s="161" t="s">
        <v>52</v>
      </c>
      <c r="B48" s="161" t="s">
        <v>49</v>
      </c>
      <c r="C48" s="175" t="s">
        <v>50</v>
      </c>
      <c r="D48" s="176" t="s">
        <v>51</v>
      </c>
      <c r="E48" s="175" t="s">
        <v>21</v>
      </c>
      <c r="F48" s="133"/>
      <c r="H48" s="161" t="s">
        <v>53</v>
      </c>
      <c r="I48" s="161" t="s">
        <v>49</v>
      </c>
      <c r="J48" s="175" t="s">
        <v>50</v>
      </c>
      <c r="K48" s="176" t="s">
        <v>51</v>
      </c>
      <c r="L48" s="177" t="s">
        <v>21</v>
      </c>
      <c r="M48" s="178" t="s">
        <v>64</v>
      </c>
    </row>
    <row r="49" spans="1:13" x14ac:dyDescent="0.2">
      <c r="A49" s="158" t="s">
        <v>84</v>
      </c>
      <c r="B49" s="159"/>
      <c r="C49" s="159">
        <v>-173</v>
      </c>
      <c r="D49" s="160">
        <v>-117</v>
      </c>
      <c r="E49" s="166">
        <f>C49</f>
        <v>-173</v>
      </c>
      <c r="F49" s="151"/>
      <c r="H49" s="158" t="s">
        <v>84</v>
      </c>
      <c r="I49" s="168"/>
      <c r="J49" s="168">
        <v>-387.99</v>
      </c>
      <c r="K49" s="168">
        <v>-297.85000000000002</v>
      </c>
      <c r="L49" s="22">
        <f>SUM(J49:K49)</f>
        <v>-685.84</v>
      </c>
      <c r="M49" s="101">
        <f>L49/E49</f>
        <v>3.9643930635838154</v>
      </c>
    </row>
    <row r="50" spans="1:13" x14ac:dyDescent="0.2">
      <c r="A50" s="158" t="s">
        <v>85</v>
      </c>
      <c r="B50" s="159"/>
      <c r="C50" s="159">
        <v>27436</v>
      </c>
      <c r="D50" s="160"/>
      <c r="E50" s="166">
        <f>C50</f>
        <v>27436</v>
      </c>
      <c r="F50" s="151"/>
      <c r="H50" s="158" t="s">
        <v>85</v>
      </c>
      <c r="I50" s="155"/>
      <c r="J50" s="155">
        <v>82760.17</v>
      </c>
      <c r="K50" s="155"/>
      <c r="L50" s="22">
        <f>J50</f>
        <v>82760.17</v>
      </c>
      <c r="M50" s="101">
        <f>L50/E50</f>
        <v>3.0164809010059774</v>
      </c>
    </row>
    <row r="51" spans="1:13" x14ac:dyDescent="0.2">
      <c r="A51" s="191" t="s">
        <v>86</v>
      </c>
      <c r="C51" s="159">
        <v>-180</v>
      </c>
      <c r="D51" s="160"/>
      <c r="E51" s="166">
        <f>C51</f>
        <v>-180</v>
      </c>
      <c r="F51" s="151"/>
      <c r="H51" s="191" t="s">
        <v>86</v>
      </c>
      <c r="I51" s="155"/>
      <c r="J51" s="155">
        <v>-556.27</v>
      </c>
      <c r="K51" s="155"/>
      <c r="L51" s="22">
        <f>J51</f>
        <v>-556.27</v>
      </c>
      <c r="M51" s="101">
        <f>L51/E51</f>
        <v>3.0903888888888886</v>
      </c>
    </row>
    <row r="52" spans="1:13" x14ac:dyDescent="0.2">
      <c r="A52" s="165" t="s">
        <v>21</v>
      </c>
      <c r="B52" s="163">
        <v>0</v>
      </c>
      <c r="C52" s="152">
        <f>SUM(C49:C51)</f>
        <v>27083</v>
      </c>
      <c r="D52" s="164">
        <v>0</v>
      </c>
      <c r="E52" s="183">
        <f>SUM(B52:D52)</f>
        <v>27083</v>
      </c>
      <c r="F52" s="162"/>
      <c r="G52" s="187"/>
      <c r="H52" s="165" t="s">
        <v>21</v>
      </c>
      <c r="I52" s="153">
        <v>0</v>
      </c>
      <c r="J52" s="154">
        <f>SUM(J49:J51)</f>
        <v>81815.909999999989</v>
      </c>
      <c r="K52" s="153">
        <v>0</v>
      </c>
      <c r="L52" s="184">
        <f>SUM(L49:L51)</f>
        <v>81518.06</v>
      </c>
      <c r="M52" s="18"/>
    </row>
    <row r="54" spans="1:13" x14ac:dyDescent="0.2">
      <c r="L54" s="103"/>
    </row>
    <row r="55" spans="1:13" x14ac:dyDescent="0.2">
      <c r="L55" s="103"/>
    </row>
  </sheetData>
  <phoneticPr fontId="0" type="noConversion"/>
  <pageMargins left="0.75" right="0.75" top="0.66" bottom="0.66" header="0.5" footer="0.5"/>
  <pageSetup scale="70" orientation="landscape" r:id="rId1"/>
  <headerFooter alignWithMargins="0">
    <oddHeader>&amp;L&amp;"Arial,Bold"&amp;11Tennesse Pipeline</oddHeader>
    <oddFooter>&amp;L&amp;F&amp;R&amp;D&amp;T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 Summary</vt:lpstr>
      <vt:lpstr>Summary-Breakout</vt:lpstr>
      <vt:lpstr>Prior Amount-Detail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mgarza1</dc:creator>
  <cp:lastModifiedBy>Felienne</cp:lastModifiedBy>
  <cp:lastPrinted>2002-03-07T16:51:01Z</cp:lastPrinted>
  <dcterms:created xsi:type="dcterms:W3CDTF">2002-02-28T17:20:24Z</dcterms:created>
  <dcterms:modified xsi:type="dcterms:W3CDTF">2014-09-03T12:23:27Z</dcterms:modified>
</cp:coreProperties>
</file>