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0" yWindow="210" windowWidth="15285" windowHeight="8805" tabRatio="602" activeTab="3"/>
  </bookViews>
  <sheets>
    <sheet name="Pricing" sheetId="21" r:id="rId1"/>
    <sheet name="CGAS" sheetId="22" r:id="rId2"/>
    <sheet name="Ces Retail" sheetId="19" r:id="rId3"/>
    <sheet name="Local Prod" sheetId="24" r:id="rId4"/>
    <sheet name="TxGas" sheetId="25" r:id="rId5"/>
  </sheets>
  <calcPr calcId="152511"/>
</workbook>
</file>

<file path=xl/calcChain.xml><?xml version="1.0" encoding="utf-8"?>
<calcChain xmlns="http://schemas.openxmlformats.org/spreadsheetml/2006/main">
  <c r="J12" i="19" l="1"/>
  <c r="P12" i="19"/>
  <c r="U12" i="19"/>
  <c r="P13" i="19"/>
  <c r="U13" i="19"/>
  <c r="J14" i="19"/>
  <c r="P14" i="19"/>
  <c r="U14" i="19"/>
  <c r="J15" i="19"/>
  <c r="P15" i="19"/>
  <c r="U15" i="19"/>
  <c r="P16" i="19"/>
  <c r="U16" i="19"/>
  <c r="P17" i="19"/>
  <c r="U17" i="19"/>
  <c r="P18" i="19"/>
  <c r="U18" i="19"/>
  <c r="P19" i="19"/>
  <c r="U19" i="19"/>
  <c r="A20" i="19"/>
  <c r="P20" i="19"/>
  <c r="U20" i="19"/>
  <c r="S21" i="19"/>
  <c r="U21" i="19"/>
  <c r="V21" i="19"/>
  <c r="J23" i="19"/>
  <c r="P23" i="19"/>
  <c r="U23" i="19"/>
  <c r="J24" i="19"/>
  <c r="P24" i="19" s="1"/>
  <c r="J25" i="19"/>
  <c r="J26" i="19"/>
  <c r="J27" i="19"/>
  <c r="P27" i="19"/>
  <c r="U27" i="19"/>
  <c r="J28" i="19"/>
  <c r="P28" i="19"/>
  <c r="U28" i="19"/>
  <c r="P29" i="19"/>
  <c r="U29" i="19"/>
  <c r="J30" i="19"/>
  <c r="P30" i="19"/>
  <c r="U30" i="19"/>
  <c r="J31" i="19"/>
  <c r="P31" i="19"/>
  <c r="U31" i="19"/>
  <c r="U32" i="19"/>
  <c r="U33" i="19"/>
  <c r="S34" i="19"/>
  <c r="V34" i="19"/>
  <c r="Y35" i="19"/>
  <c r="J36" i="19"/>
  <c r="P36" i="19"/>
  <c r="U36" i="19"/>
  <c r="P37" i="19"/>
  <c r="U37" i="19"/>
  <c r="P38" i="19"/>
  <c r="U38" i="19"/>
  <c r="J39" i="19"/>
  <c r="P39" i="19" s="1"/>
  <c r="U39" i="19"/>
  <c r="J40" i="19"/>
  <c r="J41" i="19"/>
  <c r="U41" i="19" s="1"/>
  <c r="P41" i="19"/>
  <c r="J42" i="19"/>
  <c r="P42" i="19"/>
  <c r="U42" i="19"/>
  <c r="J43" i="19"/>
  <c r="P43" i="19" s="1"/>
  <c r="U43" i="19"/>
  <c r="J44" i="19"/>
  <c r="J45" i="19"/>
  <c r="P45" i="19"/>
  <c r="U45" i="19"/>
  <c r="J46" i="19"/>
  <c r="P46" i="19"/>
  <c r="U46" i="19"/>
  <c r="J47" i="19"/>
  <c r="P47" i="19" s="1"/>
  <c r="U47" i="19"/>
  <c r="J48" i="19"/>
  <c r="U48" i="19" s="1"/>
  <c r="P48" i="19"/>
  <c r="J49" i="19"/>
  <c r="U49" i="19" s="1"/>
  <c r="P49" i="19"/>
  <c r="J50" i="19"/>
  <c r="P50" i="19"/>
  <c r="U50" i="19"/>
  <c r="J51" i="19"/>
  <c r="P51" i="19" s="1"/>
  <c r="U51" i="19"/>
  <c r="J52" i="19"/>
  <c r="P53" i="19"/>
  <c r="U53" i="19"/>
  <c r="P54" i="19"/>
  <c r="U54" i="19"/>
  <c r="J55" i="19"/>
  <c r="J56" i="19"/>
  <c r="P56" i="19"/>
  <c r="U56" i="19"/>
  <c r="J57" i="19"/>
  <c r="P57" i="19" s="1"/>
  <c r="U57" i="19"/>
  <c r="J58" i="19"/>
  <c r="J59" i="19"/>
  <c r="J60" i="19"/>
  <c r="P60" i="19"/>
  <c r="U60" i="19"/>
  <c r="J61" i="19"/>
  <c r="P61" i="19" s="1"/>
  <c r="U61" i="19"/>
  <c r="J62" i="19"/>
  <c r="J63" i="19"/>
  <c r="U63" i="19" s="1"/>
  <c r="P63" i="19"/>
  <c r="J64" i="19"/>
  <c r="P64" i="19"/>
  <c r="U64" i="19"/>
  <c r="J65" i="19"/>
  <c r="J66" i="19"/>
  <c r="J67" i="19"/>
  <c r="P67" i="19"/>
  <c r="U67" i="19"/>
  <c r="J68" i="19"/>
  <c r="P68" i="19"/>
  <c r="U68" i="19"/>
  <c r="J69" i="19"/>
  <c r="P69" i="19" s="1"/>
  <c r="U69" i="19"/>
  <c r="J70" i="19"/>
  <c r="U70" i="19" s="1"/>
  <c r="P70" i="19"/>
  <c r="J71" i="19"/>
  <c r="U71" i="19"/>
  <c r="J72" i="19"/>
  <c r="P72" i="19" s="1"/>
  <c r="U72" i="19"/>
  <c r="J73" i="19"/>
  <c r="J74" i="19"/>
  <c r="U74" i="19" s="1"/>
  <c r="P74" i="19"/>
  <c r="J75" i="19"/>
  <c r="U75" i="19"/>
  <c r="J76" i="19"/>
  <c r="U76" i="19" s="1"/>
  <c r="P76" i="19"/>
  <c r="J77" i="19"/>
  <c r="J78" i="19"/>
  <c r="P78" i="19"/>
  <c r="U78" i="19"/>
  <c r="J79" i="19"/>
  <c r="U79" i="19" s="1"/>
  <c r="J80" i="19"/>
  <c r="U80" i="19"/>
  <c r="J81" i="19"/>
  <c r="U81" i="19" s="1"/>
  <c r="U82" i="19"/>
  <c r="U83" i="19"/>
  <c r="U84" i="19"/>
  <c r="S85" i="19"/>
  <c r="V85" i="19"/>
  <c r="Y86" i="19"/>
  <c r="J87" i="19"/>
  <c r="P87" i="19"/>
  <c r="J88" i="19"/>
  <c r="P88" i="19"/>
  <c r="J89" i="19"/>
  <c r="P89" i="19"/>
  <c r="J90" i="19"/>
  <c r="J91" i="19"/>
  <c r="U91" i="19" s="1"/>
  <c r="P91" i="19"/>
  <c r="J92" i="19"/>
  <c r="P92" i="19"/>
  <c r="U92" i="19"/>
  <c r="J93" i="19"/>
  <c r="P93" i="19" s="1"/>
  <c r="U93" i="19"/>
  <c r="J94" i="19"/>
  <c r="U94" i="19" s="1"/>
  <c r="P94" i="19"/>
  <c r="J95" i="19"/>
  <c r="U95" i="19" s="1"/>
  <c r="P95" i="19"/>
  <c r="J96" i="19"/>
  <c r="P96" i="19"/>
  <c r="U96" i="19"/>
  <c r="J97" i="19"/>
  <c r="P97" i="19" s="1"/>
  <c r="U97" i="19"/>
  <c r="J98" i="19"/>
  <c r="J99" i="19"/>
  <c r="P99" i="19"/>
  <c r="U99" i="19"/>
  <c r="J100" i="19"/>
  <c r="P100" i="19"/>
  <c r="U100" i="19"/>
  <c r="J101" i="19"/>
  <c r="P101" i="19" s="1"/>
  <c r="U101" i="19"/>
  <c r="J102" i="19"/>
  <c r="U102" i="19" s="1"/>
  <c r="P102" i="19"/>
  <c r="J103" i="19"/>
  <c r="U103" i="19" s="1"/>
  <c r="P103" i="19"/>
  <c r="J104" i="19"/>
  <c r="P104" i="19"/>
  <c r="U104" i="19"/>
  <c r="J105" i="19"/>
  <c r="J106" i="19"/>
  <c r="U106" i="19" s="1"/>
  <c r="U107" i="19"/>
  <c r="S110" i="19"/>
  <c r="Y111" i="19"/>
  <c r="J112" i="19"/>
  <c r="P112" i="19"/>
  <c r="U112" i="19"/>
  <c r="U113" i="19" s="1"/>
  <c r="Y114" i="19"/>
  <c r="P115" i="19"/>
  <c r="U115" i="19"/>
  <c r="P116" i="19"/>
  <c r="U116" i="19"/>
  <c r="J117" i="19"/>
  <c r="U117" i="19"/>
  <c r="J118" i="19"/>
  <c r="S118" i="19"/>
  <c r="U118" i="19"/>
  <c r="U120" i="19"/>
  <c r="Y122" i="19"/>
  <c r="J123" i="19"/>
  <c r="J124" i="19"/>
  <c r="P124" i="19"/>
  <c r="U124" i="19"/>
  <c r="J125" i="19"/>
  <c r="P125" i="19" s="1"/>
  <c r="P126" i="19"/>
  <c r="U126" i="19"/>
  <c r="P127" i="19"/>
  <c r="U127" i="19"/>
  <c r="J128" i="19"/>
  <c r="U128" i="19" s="1"/>
  <c r="P128" i="19"/>
  <c r="P129" i="19"/>
  <c r="U129" i="19"/>
  <c r="U131" i="19"/>
  <c r="U132" i="19"/>
  <c r="Y136" i="19"/>
  <c r="P137" i="19"/>
  <c r="U137" i="19"/>
  <c r="P138" i="19"/>
  <c r="U138" i="19"/>
  <c r="P139" i="19"/>
  <c r="U139" i="19"/>
  <c r="P140" i="19"/>
  <c r="U140" i="19"/>
  <c r="P141" i="19"/>
  <c r="U141" i="19"/>
  <c r="P142" i="19"/>
  <c r="U142" i="19"/>
  <c r="P143" i="19"/>
  <c r="U143" i="19"/>
  <c r="P144" i="19"/>
  <c r="U144" i="19"/>
  <c r="J145" i="19"/>
  <c r="P145" i="19" s="1"/>
  <c r="U146" i="19"/>
  <c r="P147" i="19"/>
  <c r="P148" i="19"/>
  <c r="U148" i="19"/>
  <c r="P149" i="19"/>
  <c r="U149" i="19"/>
  <c r="J150" i="19"/>
  <c r="U150" i="19" s="1"/>
  <c r="J151" i="19"/>
  <c r="U151" i="19"/>
  <c r="S152" i="19"/>
  <c r="Y153" i="19"/>
  <c r="P154" i="19"/>
  <c r="U154" i="19"/>
  <c r="U162" i="19" s="1"/>
  <c r="P155" i="19"/>
  <c r="U155" i="19"/>
  <c r="P156" i="19"/>
  <c r="U156" i="19"/>
  <c r="P157" i="19"/>
  <c r="U157" i="19"/>
  <c r="P158" i="19"/>
  <c r="U158" i="19"/>
  <c r="P159" i="19"/>
  <c r="U159" i="19"/>
  <c r="U160" i="19"/>
  <c r="P161" i="19"/>
  <c r="U161" i="19"/>
  <c r="S162" i="19"/>
  <c r="Y163" i="19"/>
  <c r="P164" i="19"/>
  <c r="U164" i="19"/>
  <c r="P165" i="19"/>
  <c r="U165" i="19"/>
  <c r="P166" i="19"/>
  <c r="U166" i="19"/>
  <c r="J167" i="19"/>
  <c r="U167" i="19" s="1"/>
  <c r="P167" i="19"/>
  <c r="J168" i="19"/>
  <c r="J169" i="19"/>
  <c r="P169" i="19"/>
  <c r="S169" i="19"/>
  <c r="U169" i="19" s="1"/>
  <c r="J170" i="19"/>
  <c r="P170" i="19"/>
  <c r="U170" i="19"/>
  <c r="J171" i="19"/>
  <c r="P171" i="19" s="1"/>
  <c r="U171" i="19"/>
  <c r="J172" i="19"/>
  <c r="U172" i="19" s="1"/>
  <c r="P172" i="19"/>
  <c r="S172" i="19"/>
  <c r="J173" i="19"/>
  <c r="J174" i="19"/>
  <c r="U174" i="19" s="1"/>
  <c r="P175" i="19"/>
  <c r="U175" i="19"/>
  <c r="P176" i="19"/>
  <c r="U176" i="19"/>
  <c r="P177" i="19"/>
  <c r="U177" i="19"/>
  <c r="P178" i="19"/>
  <c r="U178" i="19"/>
  <c r="J179" i="19"/>
  <c r="P179" i="19" s="1"/>
  <c r="U179" i="19"/>
  <c r="J180" i="19"/>
  <c r="J181" i="19"/>
  <c r="P182" i="19"/>
  <c r="U183" i="19"/>
  <c r="U184" i="19"/>
  <c r="F6" i="22"/>
  <c r="I6" i="22"/>
  <c r="K6" i="22"/>
  <c r="S6" i="22" s="1"/>
  <c r="O6" i="22"/>
  <c r="Q6" i="22"/>
  <c r="V6" i="22"/>
  <c r="AJ6" i="22"/>
  <c r="AT6" i="22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D7" i="22"/>
  <c r="F7" i="22"/>
  <c r="I7" i="22"/>
  <c r="O7" i="22"/>
  <c r="P7" i="22"/>
  <c r="P8" i="22" s="1"/>
  <c r="Q7" i="22"/>
  <c r="V7" i="22"/>
  <c r="AC7" i="22"/>
  <c r="AD7" i="22"/>
  <c r="AE7" i="22"/>
  <c r="AF7" i="22"/>
  <c r="AG7" i="22"/>
  <c r="AG8" i="22" s="1"/>
  <c r="AG9" i="22" s="1"/>
  <c r="AG10" i="22" s="1"/>
  <c r="AH7" i="22"/>
  <c r="AM7" i="22"/>
  <c r="AN7" i="22"/>
  <c r="AN8" i="22" s="1"/>
  <c r="AO7" i="22"/>
  <c r="AP7" i="22"/>
  <c r="AQ7" i="22"/>
  <c r="AR7" i="22"/>
  <c r="AW7" i="22"/>
  <c r="AX7" i="22"/>
  <c r="AX8" i="22" s="1"/>
  <c r="AZ7" i="22"/>
  <c r="BA7" i="22"/>
  <c r="BB7" i="22"/>
  <c r="BC7" i="22"/>
  <c r="BD7" i="22"/>
  <c r="BE7" i="22"/>
  <c r="BE8" i="22" s="1"/>
  <c r="BE9" i="22" s="1"/>
  <c r="BE10" i="22" s="1"/>
  <c r="BE11" i="22" s="1"/>
  <c r="BE12" i="22" s="1"/>
  <c r="D8" i="22"/>
  <c r="F8" i="22"/>
  <c r="K8" i="22" s="1"/>
  <c r="I8" i="22"/>
  <c r="O8" i="22"/>
  <c r="V8" i="22"/>
  <c r="AC8" i="22"/>
  <c r="AD8" i="22"/>
  <c r="AE8" i="22"/>
  <c r="AE9" i="22" s="1"/>
  <c r="AE10" i="22" s="1"/>
  <c r="AE11" i="22" s="1"/>
  <c r="AE12" i="22" s="1"/>
  <c r="AE13" i="22" s="1"/>
  <c r="AE14" i="22" s="1"/>
  <c r="AE15" i="22" s="1"/>
  <c r="AE16" i="22" s="1"/>
  <c r="AE17" i="22" s="1"/>
  <c r="AE18" i="22" s="1"/>
  <c r="AE19" i="22" s="1"/>
  <c r="AE20" i="22" s="1"/>
  <c r="AE21" i="22" s="1"/>
  <c r="AE22" i="22" s="1"/>
  <c r="AE23" i="22" s="1"/>
  <c r="AE24" i="22" s="1"/>
  <c r="AE25" i="22" s="1"/>
  <c r="AE26" i="22" s="1"/>
  <c r="AE27" i="22" s="1"/>
  <c r="AE28" i="22" s="1"/>
  <c r="AE29" i="22" s="1"/>
  <c r="AE30" i="22" s="1"/>
  <c r="AE31" i="22" s="1"/>
  <c r="AE32" i="22" s="1"/>
  <c r="AE33" i="22" s="1"/>
  <c r="AE34" i="22" s="1"/>
  <c r="AE35" i="22" s="1"/>
  <c r="AE36" i="22" s="1"/>
  <c r="AF8" i="22"/>
  <c r="AF9" i="22" s="1"/>
  <c r="AF10" i="22" s="1"/>
  <c r="AF11" i="22" s="1"/>
  <c r="AF12" i="22" s="1"/>
  <c r="AL8" i="22"/>
  <c r="AO8" i="22"/>
  <c r="AO9" i="22" s="1"/>
  <c r="AO10" i="22" s="1"/>
  <c r="AO11" i="22" s="1"/>
  <c r="AO12" i="22" s="1"/>
  <c r="AP8" i="22"/>
  <c r="AP9" i="22" s="1"/>
  <c r="AP10" i="22" s="1"/>
  <c r="AQ8" i="22"/>
  <c r="AR8" i="22"/>
  <c r="AR9" i="22" s="1"/>
  <c r="AR10" i="22" s="1"/>
  <c r="AR11" i="22" s="1"/>
  <c r="AR12" i="22" s="1"/>
  <c r="AR13" i="22" s="1"/>
  <c r="AR14" i="22" s="1"/>
  <c r="AW8" i="22"/>
  <c r="AZ8" i="22"/>
  <c r="AZ9" i="22" s="1"/>
  <c r="AZ10" i="22" s="1"/>
  <c r="AZ11" i="22" s="1"/>
  <c r="AZ12" i="22" s="1"/>
  <c r="AZ13" i="22" s="1"/>
  <c r="AZ14" i="22" s="1"/>
  <c r="AZ15" i="22" s="1"/>
  <c r="AZ16" i="22" s="1"/>
  <c r="AZ17" i="22" s="1"/>
  <c r="AZ18" i="22" s="1"/>
  <c r="AZ19" i="22" s="1"/>
  <c r="AZ20" i="22" s="1"/>
  <c r="AZ21" i="22" s="1"/>
  <c r="AZ22" i="22" s="1"/>
  <c r="AZ23" i="22" s="1"/>
  <c r="AZ24" i="22" s="1"/>
  <c r="AZ25" i="22" s="1"/>
  <c r="AZ26" i="22" s="1"/>
  <c r="AZ27" i="22" s="1"/>
  <c r="AZ28" i="22" s="1"/>
  <c r="AZ29" i="22" s="1"/>
  <c r="AZ30" i="22" s="1"/>
  <c r="AZ31" i="22" s="1"/>
  <c r="AZ32" i="22" s="1"/>
  <c r="AZ33" i="22" s="1"/>
  <c r="AZ34" i="22" s="1"/>
  <c r="AZ35" i="22" s="1"/>
  <c r="AZ36" i="22" s="1"/>
  <c r="BA8" i="22"/>
  <c r="BA9" i="22" s="1"/>
  <c r="BB8" i="22"/>
  <c r="BC8" i="22"/>
  <c r="BD8" i="22"/>
  <c r="BD9" i="22" s="1"/>
  <c r="BD10" i="22" s="1"/>
  <c r="BD11" i="22" s="1"/>
  <c r="BD12" i="22" s="1"/>
  <c r="BD13" i="22" s="1"/>
  <c r="I9" i="22"/>
  <c r="O9" i="22"/>
  <c r="O10" i="22" s="1"/>
  <c r="O11" i="22" s="1"/>
  <c r="U9" i="22"/>
  <c r="V9" i="22" s="1"/>
  <c r="AC9" i="22"/>
  <c r="AD9" i="22"/>
  <c r="AD10" i="22" s="1"/>
  <c r="AD11" i="22" s="1"/>
  <c r="AD12" i="22" s="1"/>
  <c r="AD13" i="22" s="1"/>
  <c r="AQ9" i="22"/>
  <c r="AQ10" i="22" s="1"/>
  <c r="AQ11" i="22" s="1"/>
  <c r="AV9" i="22"/>
  <c r="AW9" i="22"/>
  <c r="AW38" i="22" s="1"/>
  <c r="AX9" i="22"/>
  <c r="AX10" i="22" s="1"/>
  <c r="AX11" i="22" s="1"/>
  <c r="AX12" i="22" s="1"/>
  <c r="AX13" i="22" s="1"/>
  <c r="BB9" i="22"/>
  <c r="BB10" i="22" s="1"/>
  <c r="I10" i="22"/>
  <c r="U10" i="22"/>
  <c r="V10" i="22"/>
  <c r="AV10" i="22"/>
  <c r="AV11" i="22" s="1"/>
  <c r="AV12" i="22" s="1"/>
  <c r="AV13" i="22" s="1"/>
  <c r="BA10" i="22"/>
  <c r="F11" i="22"/>
  <c r="I11" i="22"/>
  <c r="K11" i="22"/>
  <c r="V11" i="22"/>
  <c r="AG11" i="22"/>
  <c r="AG12" i="22" s="1"/>
  <c r="AG13" i="22" s="1"/>
  <c r="AG14" i="22" s="1"/>
  <c r="AG15" i="22" s="1"/>
  <c r="AG16" i="22" s="1"/>
  <c r="AG17" i="22" s="1"/>
  <c r="AG18" i="22" s="1"/>
  <c r="AG19" i="22" s="1"/>
  <c r="AG20" i="22" s="1"/>
  <c r="AG21" i="22" s="1"/>
  <c r="AG22" i="22" s="1"/>
  <c r="AG23" i="22" s="1"/>
  <c r="AG24" i="22" s="1"/>
  <c r="AG25" i="22" s="1"/>
  <c r="AG26" i="22" s="1"/>
  <c r="AG27" i="22" s="1"/>
  <c r="AG28" i="22" s="1"/>
  <c r="AG29" i="22" s="1"/>
  <c r="AG30" i="22" s="1"/>
  <c r="AG31" i="22" s="1"/>
  <c r="AG32" i="22" s="1"/>
  <c r="AG33" i="22" s="1"/>
  <c r="AG34" i="22" s="1"/>
  <c r="AG35" i="22" s="1"/>
  <c r="AG36" i="22" s="1"/>
  <c r="AM11" i="22"/>
  <c r="AM12" i="22" s="1"/>
  <c r="AM13" i="22" s="1"/>
  <c r="AN11" i="22"/>
  <c r="AN12" i="22" s="1"/>
  <c r="AN13" i="22" s="1"/>
  <c r="AP11" i="22"/>
  <c r="AW11" i="22"/>
  <c r="BA11" i="22"/>
  <c r="BA12" i="22" s="1"/>
  <c r="BA13" i="22" s="1"/>
  <c r="BA14" i="22" s="1"/>
  <c r="BA15" i="22" s="1"/>
  <c r="BA16" i="22" s="1"/>
  <c r="BB11" i="22"/>
  <c r="BB12" i="22" s="1"/>
  <c r="C12" i="22"/>
  <c r="D12" i="22"/>
  <c r="F12" i="22"/>
  <c r="I12" i="22"/>
  <c r="K12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V12" i="22"/>
  <c r="AP12" i="22"/>
  <c r="AQ12" i="22"/>
  <c r="AQ13" i="22" s="1"/>
  <c r="AQ14" i="22" s="1"/>
  <c r="AQ15" i="22" s="1"/>
  <c r="AW12" i="22"/>
  <c r="C13" i="22"/>
  <c r="D13" i="22"/>
  <c r="D14" i="22" s="1"/>
  <c r="D15" i="22" s="1"/>
  <c r="F15" i="22" s="1"/>
  <c r="K15" i="22" s="1"/>
  <c r="F13" i="22"/>
  <c r="K13" i="22" s="1"/>
  <c r="I13" i="22"/>
  <c r="V13" i="22"/>
  <c r="AF13" i="22"/>
  <c r="AP13" i="22"/>
  <c r="AP14" i="22" s="1"/>
  <c r="AP15" i="22" s="1"/>
  <c r="AP16" i="22" s="1"/>
  <c r="BB13" i="22"/>
  <c r="BB14" i="22" s="1"/>
  <c r="BB15" i="22" s="1"/>
  <c r="BB16" i="22" s="1"/>
  <c r="BB17" i="22" s="1"/>
  <c r="BB18" i="22" s="1"/>
  <c r="BB19" i="22" s="1"/>
  <c r="BB20" i="22" s="1"/>
  <c r="BB21" i="22" s="1"/>
  <c r="BB22" i="22" s="1"/>
  <c r="BB23" i="22" s="1"/>
  <c r="BB24" i="22" s="1"/>
  <c r="BB25" i="22" s="1"/>
  <c r="BB26" i="22" s="1"/>
  <c r="BB27" i="22" s="1"/>
  <c r="BB28" i="22" s="1"/>
  <c r="BB29" i="22" s="1"/>
  <c r="BB30" i="22" s="1"/>
  <c r="BB31" i="22" s="1"/>
  <c r="BB32" i="22" s="1"/>
  <c r="BB33" i="22" s="1"/>
  <c r="BB34" i="22" s="1"/>
  <c r="BB35" i="22" s="1"/>
  <c r="BB36" i="22" s="1"/>
  <c r="BE13" i="22"/>
  <c r="BE14" i="22" s="1"/>
  <c r="BE15" i="22" s="1"/>
  <c r="BE16" i="22" s="1"/>
  <c r="BE17" i="22" s="1"/>
  <c r="BE18" i="22" s="1"/>
  <c r="BE19" i="22" s="1"/>
  <c r="BE20" i="22" s="1"/>
  <c r="BE21" i="22" s="1"/>
  <c r="BE22" i="22" s="1"/>
  <c r="BE23" i="22" s="1"/>
  <c r="BE24" i="22" s="1"/>
  <c r="BE25" i="22" s="1"/>
  <c r="BE26" i="22" s="1"/>
  <c r="BE27" i="22" s="1"/>
  <c r="BE28" i="22" s="1"/>
  <c r="BE29" i="22" s="1"/>
  <c r="BE30" i="22" s="1"/>
  <c r="BE31" i="22" s="1"/>
  <c r="BE32" i="22" s="1"/>
  <c r="BE33" i="22" s="1"/>
  <c r="BE34" i="22" s="1"/>
  <c r="BE35" i="22" s="1"/>
  <c r="BE36" i="22" s="1"/>
  <c r="I14" i="22"/>
  <c r="V14" i="22"/>
  <c r="AD14" i="22"/>
  <c r="AD15" i="22" s="1"/>
  <c r="AD16" i="22" s="1"/>
  <c r="AD17" i="22" s="1"/>
  <c r="AD18" i="22" s="1"/>
  <c r="AF14" i="22"/>
  <c r="AF15" i="22" s="1"/>
  <c r="AF16" i="22" s="1"/>
  <c r="AF17" i="22" s="1"/>
  <c r="AF18" i="22" s="1"/>
  <c r="AF19" i="22" s="1"/>
  <c r="AF20" i="22" s="1"/>
  <c r="AF21" i="22" s="1"/>
  <c r="AF22" i="22" s="1"/>
  <c r="AF23" i="22" s="1"/>
  <c r="AF24" i="22" s="1"/>
  <c r="AF25" i="22" s="1"/>
  <c r="AF26" i="22" s="1"/>
  <c r="AF27" i="22" s="1"/>
  <c r="AF28" i="22" s="1"/>
  <c r="AF29" i="22" s="1"/>
  <c r="AF30" i="22" s="1"/>
  <c r="AF31" i="22" s="1"/>
  <c r="AF32" i="22" s="1"/>
  <c r="AF33" i="22" s="1"/>
  <c r="AF34" i="22" s="1"/>
  <c r="AF35" i="22" s="1"/>
  <c r="AF36" i="22" s="1"/>
  <c r="AV14" i="22"/>
  <c r="AV15" i="22" s="1"/>
  <c r="AV16" i="22" s="1"/>
  <c r="AV17" i="22" s="1"/>
  <c r="AV18" i="22" s="1"/>
  <c r="AV19" i="22" s="1"/>
  <c r="AV20" i="22" s="1"/>
  <c r="AV21" i="22" s="1"/>
  <c r="AV22" i="22" s="1"/>
  <c r="AV23" i="22" s="1"/>
  <c r="AV24" i="22" s="1"/>
  <c r="AV25" i="22" s="1"/>
  <c r="AV26" i="22" s="1"/>
  <c r="AV27" i="22" s="1"/>
  <c r="AV28" i="22" s="1"/>
  <c r="AV29" i="22" s="1"/>
  <c r="AV30" i="22" s="1"/>
  <c r="AV31" i="22" s="1"/>
  <c r="AV32" i="22" s="1"/>
  <c r="AV33" i="22" s="1"/>
  <c r="AV34" i="22" s="1"/>
  <c r="AV35" i="22" s="1"/>
  <c r="AV36" i="22" s="1"/>
  <c r="BD14" i="22"/>
  <c r="C15" i="22"/>
  <c r="I15" i="22"/>
  <c r="V15" i="22"/>
  <c r="AM15" i="22"/>
  <c r="AN15" i="22"/>
  <c r="AR15" i="22"/>
  <c r="AR16" i="22" s="1"/>
  <c r="AR17" i="22" s="1"/>
  <c r="AR18" i="22" s="1"/>
  <c r="AR19" i="22" s="1"/>
  <c r="AR20" i="22" s="1"/>
  <c r="AR21" i="22" s="1"/>
  <c r="AR22" i="22" s="1"/>
  <c r="AW15" i="22"/>
  <c r="AW16" i="22" s="1"/>
  <c r="AW17" i="22" s="1"/>
  <c r="AW18" i="22" s="1"/>
  <c r="AW19" i="22" s="1"/>
  <c r="AW20" i="22" s="1"/>
  <c r="AW21" i="22" s="1"/>
  <c r="BD15" i="22"/>
  <c r="BD16" i="22" s="1"/>
  <c r="BD17" i="22" s="1"/>
  <c r="BD18" i="22" s="1"/>
  <c r="BD19" i="22" s="1"/>
  <c r="BD20" i="22" s="1"/>
  <c r="BD21" i="22" s="1"/>
  <c r="BD22" i="22" s="1"/>
  <c r="BD23" i="22" s="1"/>
  <c r="BD24" i="22" s="1"/>
  <c r="BD25" i="22" s="1"/>
  <c r="BD26" i="22" s="1"/>
  <c r="BD27" i="22" s="1"/>
  <c r="BD28" i="22" s="1"/>
  <c r="BD29" i="22" s="1"/>
  <c r="BD30" i="22" s="1"/>
  <c r="BD31" i="22" s="1"/>
  <c r="BD32" i="22" s="1"/>
  <c r="BD33" i="22" s="1"/>
  <c r="BD34" i="22" s="1"/>
  <c r="BD35" i="22" s="1"/>
  <c r="BD36" i="22" s="1"/>
  <c r="D16" i="22"/>
  <c r="I16" i="22"/>
  <c r="V16" i="22"/>
  <c r="AN16" i="22"/>
  <c r="AN17" i="22" s="1"/>
  <c r="AN18" i="22" s="1"/>
  <c r="AN19" i="22" s="1"/>
  <c r="AN20" i="22" s="1"/>
  <c r="AN21" i="22" s="1"/>
  <c r="AN22" i="22" s="1"/>
  <c r="AN23" i="22" s="1"/>
  <c r="AN24" i="22" s="1"/>
  <c r="AN25" i="22" s="1"/>
  <c r="AN26" i="22" s="1"/>
  <c r="AN27" i="22" s="1"/>
  <c r="AN28" i="22" s="1"/>
  <c r="AN29" i="22" s="1"/>
  <c r="AN30" i="22" s="1"/>
  <c r="AN31" i="22" s="1"/>
  <c r="AN32" i="22" s="1"/>
  <c r="AN33" i="22" s="1"/>
  <c r="AN34" i="22" s="1"/>
  <c r="AN35" i="22" s="1"/>
  <c r="AN36" i="22" s="1"/>
  <c r="AX16" i="22"/>
  <c r="A17" i="22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I17" i="22"/>
  <c r="U17" i="22"/>
  <c r="V17" i="22"/>
  <c r="AP17" i="22"/>
  <c r="AP18" i="22" s="1"/>
  <c r="AX17" i="22"/>
  <c r="I18" i="22"/>
  <c r="U18" i="22"/>
  <c r="V18" i="22"/>
  <c r="AL18" i="22"/>
  <c r="AQ18" i="22"/>
  <c r="AX18" i="22"/>
  <c r="AX19" i="22" s="1"/>
  <c r="I19" i="22"/>
  <c r="V19" i="22"/>
  <c r="AD19" i="22"/>
  <c r="AD20" i="22" s="1"/>
  <c r="AD21" i="22" s="1"/>
  <c r="AD22" i="22" s="1"/>
  <c r="AD23" i="22" s="1"/>
  <c r="AD24" i="22" s="1"/>
  <c r="AD25" i="22" s="1"/>
  <c r="AD26" i="22" s="1"/>
  <c r="AD27" i="22" s="1"/>
  <c r="AD28" i="22" s="1"/>
  <c r="AD29" i="22" s="1"/>
  <c r="AD30" i="22" s="1"/>
  <c r="AD31" i="22" s="1"/>
  <c r="AD32" i="22" s="1"/>
  <c r="AD33" i="22" s="1"/>
  <c r="AD34" i="22" s="1"/>
  <c r="AD35" i="22" s="1"/>
  <c r="AD36" i="22" s="1"/>
  <c r="AL19" i="22"/>
  <c r="AP19" i="22"/>
  <c r="AP20" i="22" s="1"/>
  <c r="AP21" i="22" s="1"/>
  <c r="AP22" i="22" s="1"/>
  <c r="AP23" i="22" s="1"/>
  <c r="AP24" i="22" s="1"/>
  <c r="AQ19" i="22"/>
  <c r="I20" i="22"/>
  <c r="V20" i="22"/>
  <c r="AL20" i="22"/>
  <c r="AL21" i="22" s="1"/>
  <c r="C21" i="22"/>
  <c r="I21" i="22"/>
  <c r="V21" i="22"/>
  <c r="I22" i="22"/>
  <c r="V22" i="22"/>
  <c r="AQ22" i="22"/>
  <c r="AQ23" i="22" s="1"/>
  <c r="AW22" i="22"/>
  <c r="AW23" i="22" s="1"/>
  <c r="AW24" i="22" s="1"/>
  <c r="AW25" i="22" s="1"/>
  <c r="AW26" i="22" s="1"/>
  <c r="AW27" i="22" s="1"/>
  <c r="AW28" i="22" s="1"/>
  <c r="AW29" i="22" s="1"/>
  <c r="AW30" i="22" s="1"/>
  <c r="AW31" i="22" s="1"/>
  <c r="AW32" i="22" s="1"/>
  <c r="AW33" i="22" s="1"/>
  <c r="AW34" i="22" s="1"/>
  <c r="AW35" i="22" s="1"/>
  <c r="AW36" i="22" s="1"/>
  <c r="AX22" i="22"/>
  <c r="I23" i="22"/>
  <c r="AX23" i="22"/>
  <c r="AX24" i="22" s="1"/>
  <c r="I24" i="22"/>
  <c r="U24" i="22"/>
  <c r="U23" i="22" s="1"/>
  <c r="V23" i="22" s="1"/>
  <c r="V24" i="22"/>
  <c r="AQ24" i="22"/>
  <c r="AR24" i="22"/>
  <c r="I25" i="22"/>
  <c r="V25" i="22"/>
  <c r="AQ25" i="22"/>
  <c r="AQ26" i="22" s="1"/>
  <c r="AQ27" i="22" s="1"/>
  <c r="AQ28" i="22" s="1"/>
  <c r="AQ29" i="22" s="1"/>
  <c r="AQ30" i="22" s="1"/>
  <c r="AQ31" i="22" s="1"/>
  <c r="AQ32" i="22" s="1"/>
  <c r="AQ33" i="22" s="1"/>
  <c r="AQ34" i="22" s="1"/>
  <c r="AQ35" i="22" s="1"/>
  <c r="AQ36" i="22" s="1"/>
  <c r="AR25" i="22"/>
  <c r="AR26" i="22" s="1"/>
  <c r="AR27" i="22" s="1"/>
  <c r="AR28" i="22" s="1"/>
  <c r="AX25" i="22"/>
  <c r="AX26" i="22" s="1"/>
  <c r="I26" i="22"/>
  <c r="V26" i="22"/>
  <c r="I27" i="22"/>
  <c r="V27" i="22"/>
  <c r="AX27" i="22"/>
  <c r="AX28" i="22" s="1"/>
  <c r="I28" i="22"/>
  <c r="V28" i="22"/>
  <c r="H29" i="22"/>
  <c r="I29" i="22" s="1"/>
  <c r="V29" i="22"/>
  <c r="AL29" i="22"/>
  <c r="AX29" i="22"/>
  <c r="AX30" i="22" s="1"/>
  <c r="AX31" i="22" s="1"/>
  <c r="AX32" i="22" s="1"/>
  <c r="AX33" i="22" s="1"/>
  <c r="AX34" i="22" s="1"/>
  <c r="AX35" i="22" s="1"/>
  <c r="AX36" i="22" s="1"/>
  <c r="H30" i="22"/>
  <c r="I30" i="22"/>
  <c r="V30" i="22"/>
  <c r="AR30" i="22"/>
  <c r="H31" i="22"/>
  <c r="I31" i="22" s="1"/>
  <c r="U31" i="22"/>
  <c r="U30" i="22" s="1"/>
  <c r="V31" i="22"/>
  <c r="AR31" i="22"/>
  <c r="AR32" i="22" s="1"/>
  <c r="AR33" i="22" s="1"/>
  <c r="AR34" i="22" s="1"/>
  <c r="AR35" i="22" s="1"/>
  <c r="AR36" i="22" s="1"/>
  <c r="H32" i="22"/>
  <c r="I32" i="22" s="1"/>
  <c r="V32" i="22"/>
  <c r="C33" i="22"/>
  <c r="H33" i="22"/>
  <c r="I33" i="22"/>
  <c r="V33" i="22"/>
  <c r="C34" i="22"/>
  <c r="C35" i="22" s="1"/>
  <c r="H34" i="22"/>
  <c r="I34" i="22" s="1"/>
  <c r="V34" i="22"/>
  <c r="H35" i="22"/>
  <c r="I35" i="22" s="1"/>
  <c r="V35" i="22"/>
  <c r="F36" i="22"/>
  <c r="H36" i="22"/>
  <c r="I36" i="22" s="1"/>
  <c r="V36" i="22"/>
  <c r="B38" i="22"/>
  <c r="M38" i="22"/>
  <c r="S42" i="22"/>
  <c r="H46" i="22"/>
  <c r="C5" i="21"/>
  <c r="C7" i="21"/>
  <c r="C8" i="21" s="1"/>
  <c r="C14" i="21"/>
  <c r="C16" i="21"/>
  <c r="E16" i="21"/>
  <c r="C17" i="21"/>
  <c r="E17" i="21"/>
  <c r="C29" i="21"/>
  <c r="C31" i="21" s="1"/>
  <c r="C33" i="21" s="1"/>
  <c r="E29" i="21"/>
  <c r="E31" i="21" s="1"/>
  <c r="E33" i="21"/>
  <c r="C48" i="21"/>
  <c r="E48" i="21"/>
  <c r="E50" i="21" s="1"/>
  <c r="G48" i="21"/>
  <c r="G50" i="21" s="1"/>
  <c r="G52" i="21" s="1"/>
  <c r="C50" i="21"/>
  <c r="C52" i="21" s="1"/>
  <c r="E52" i="21"/>
  <c r="C53" i="21"/>
  <c r="E53" i="21"/>
  <c r="E67" i="21"/>
  <c r="C70" i="21"/>
  <c r="E70" i="21"/>
  <c r="C72" i="21"/>
  <c r="E72" i="21"/>
  <c r="E73" i="21" s="1"/>
  <c r="C73" i="21"/>
  <c r="E81" i="21"/>
  <c r="E84" i="21" s="1"/>
  <c r="C82" i="21"/>
  <c r="C84" i="21" s="1"/>
  <c r="C85" i="21" s="1"/>
  <c r="E82" i="21"/>
  <c r="E85" i="21"/>
  <c r="C94" i="21"/>
  <c r="C96" i="21" s="1"/>
  <c r="C97" i="21" s="1"/>
  <c r="C104" i="21"/>
  <c r="C106" i="21" s="1"/>
  <c r="C107" i="21" s="1"/>
  <c r="C125" i="21"/>
  <c r="C127" i="21"/>
  <c r="C128" i="21" s="1"/>
  <c r="C136" i="21"/>
  <c r="C138" i="21"/>
  <c r="C139" i="21" s="1"/>
  <c r="C147" i="21"/>
  <c r="K147" i="21"/>
  <c r="C149" i="21"/>
  <c r="K149" i="21"/>
  <c r="K150" i="21" s="1"/>
  <c r="C150" i="21"/>
  <c r="C156" i="21"/>
  <c r="C158" i="21" s="1"/>
  <c r="C160" i="21" s="1"/>
  <c r="C171" i="21"/>
  <c r="C172" i="21"/>
  <c r="C7" i="25"/>
  <c r="C8" i="25"/>
  <c r="D13" i="25"/>
  <c r="A14" i="25"/>
  <c r="A15" i="25" s="1"/>
  <c r="D14" i="25"/>
  <c r="D15" i="25"/>
  <c r="A16" i="25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D16" i="25"/>
  <c r="E16" i="25"/>
  <c r="D17" i="25"/>
  <c r="E17" i="25"/>
  <c r="D18" i="25"/>
  <c r="I18" i="25"/>
  <c r="D19" i="25"/>
  <c r="I19" i="25"/>
  <c r="D20" i="25"/>
  <c r="I20" i="25" s="1"/>
  <c r="D21" i="25"/>
  <c r="D45" i="25" s="1"/>
  <c r="D22" i="25"/>
  <c r="D23" i="25"/>
  <c r="D24" i="25"/>
  <c r="E24" i="25"/>
  <c r="D25" i="25"/>
  <c r="E25" i="25"/>
  <c r="D26" i="25"/>
  <c r="D27" i="25"/>
  <c r="I27" i="25"/>
  <c r="D28" i="25"/>
  <c r="D29" i="25"/>
  <c r="D30" i="25"/>
  <c r="D31" i="25"/>
  <c r="E31" i="25"/>
  <c r="E30" i="25" s="1"/>
  <c r="D32" i="25"/>
  <c r="D33" i="25"/>
  <c r="D34" i="25"/>
  <c r="I34" i="25"/>
  <c r="D35" i="25"/>
  <c r="I35" i="25"/>
  <c r="D36" i="25"/>
  <c r="I36" i="25"/>
  <c r="D37" i="25"/>
  <c r="I37" i="25" s="1"/>
  <c r="E37" i="25"/>
  <c r="D38" i="25"/>
  <c r="E38" i="25"/>
  <c r="I38" i="25"/>
  <c r="D39" i="25"/>
  <c r="I39" i="25"/>
  <c r="D40" i="25"/>
  <c r="I40" i="25" s="1"/>
  <c r="D41" i="25"/>
  <c r="I41" i="25"/>
  <c r="D42" i="25"/>
  <c r="I42" i="25"/>
  <c r="D43" i="25"/>
  <c r="I43" i="25" s="1"/>
  <c r="B45" i="25"/>
  <c r="C45" i="25"/>
  <c r="BA17" i="22" l="1"/>
  <c r="BA18" i="22" s="1"/>
  <c r="BA19" i="22" s="1"/>
  <c r="BA20" i="22" s="1"/>
  <c r="BA21" i="22" s="1"/>
  <c r="BA22" i="22" s="1"/>
  <c r="BA23" i="22" s="1"/>
  <c r="BA24" i="22" s="1"/>
  <c r="BA25" i="22" s="1"/>
  <c r="BA26" i="22" s="1"/>
  <c r="BA27" i="22" s="1"/>
  <c r="BA28" i="22" s="1"/>
  <c r="BA29" i="22" s="1"/>
  <c r="BA30" i="22" s="1"/>
  <c r="BA31" i="22" s="1"/>
  <c r="BA32" i="22" s="1"/>
  <c r="BA33" i="22" s="1"/>
  <c r="BA34" i="22" s="1"/>
  <c r="BA35" i="22" s="1"/>
  <c r="BA36" i="22" s="1"/>
  <c r="AO13" i="22"/>
  <c r="AO14" i="22" s="1"/>
  <c r="AO15" i="22" s="1"/>
  <c r="AO16" i="22" s="1"/>
  <c r="AO17" i="22" s="1"/>
  <c r="AO18" i="22" s="1"/>
  <c r="AO19" i="22" s="1"/>
  <c r="AO20" i="22" s="1"/>
  <c r="AO21" i="22" s="1"/>
  <c r="AO22" i="22" s="1"/>
  <c r="AO23" i="22" s="1"/>
  <c r="AO24" i="22" s="1"/>
  <c r="AO25" i="22" s="1"/>
  <c r="AO26" i="22" s="1"/>
  <c r="AO27" i="22" s="1"/>
  <c r="AO28" i="22" s="1"/>
  <c r="AO29" i="22" s="1"/>
  <c r="AO30" i="22" s="1"/>
  <c r="AO31" i="22" s="1"/>
  <c r="AO32" i="22" s="1"/>
  <c r="AO33" i="22" s="1"/>
  <c r="AO34" i="22" s="1"/>
  <c r="AO35" i="22" s="1"/>
  <c r="AO36" i="22" s="1"/>
  <c r="AO38" i="22"/>
  <c r="AP25" i="22"/>
  <c r="AP26" i="22" s="1"/>
  <c r="AP27" i="22" s="1"/>
  <c r="AP28" i="22" s="1"/>
  <c r="AP29" i="22" s="1"/>
  <c r="AP30" i="22" s="1"/>
  <c r="AP31" i="22" s="1"/>
  <c r="AP32" i="22" s="1"/>
  <c r="AP33" i="22" s="1"/>
  <c r="AP34" i="22" s="1"/>
  <c r="AP35" i="22" s="1"/>
  <c r="AP36" i="22" s="1"/>
  <c r="AP38" i="22"/>
  <c r="AL22" i="22"/>
  <c r="I38" i="22"/>
  <c r="F16" i="22"/>
  <c r="K16" i="22" s="1"/>
  <c r="D17" i="22"/>
  <c r="AC10" i="22"/>
  <c r="AJ9" i="22"/>
  <c r="P26" i="19"/>
  <c r="U26" i="19"/>
  <c r="U123" i="19"/>
  <c r="U135" i="19" s="1"/>
  <c r="P123" i="19"/>
  <c r="P65" i="19"/>
  <c r="U65" i="19"/>
  <c r="P52" i="19"/>
  <c r="U52" i="19"/>
  <c r="P25" i="19"/>
  <c r="U25" i="19"/>
  <c r="I21" i="25"/>
  <c r="I45" i="25" s="1"/>
  <c r="BB38" i="22"/>
  <c r="AN38" i="22"/>
  <c r="O38" i="22"/>
  <c r="P180" i="19"/>
  <c r="U180" i="19"/>
  <c r="U185" i="19" s="1"/>
  <c r="U188" i="19" s="1"/>
  <c r="U168" i="19"/>
  <c r="P168" i="19"/>
  <c r="U77" i="19"/>
  <c r="P77" i="19"/>
  <c r="U24" i="19"/>
  <c r="AG38" i="22"/>
  <c r="AV38" i="22"/>
  <c r="AF38" i="22"/>
  <c r="AE38" i="22"/>
  <c r="BD38" i="22"/>
  <c r="AH8" i="22"/>
  <c r="AH9" i="22" s="1"/>
  <c r="AH10" i="22" s="1"/>
  <c r="AH11" i="22" s="1"/>
  <c r="AH12" i="22" s="1"/>
  <c r="AH13" i="22" s="1"/>
  <c r="AH14" i="22" s="1"/>
  <c r="AH15" i="22" s="1"/>
  <c r="AH16" i="22" s="1"/>
  <c r="AH17" i="22" s="1"/>
  <c r="AH18" i="22" s="1"/>
  <c r="AH19" i="22" s="1"/>
  <c r="AH20" i="22" s="1"/>
  <c r="AH21" i="22" s="1"/>
  <c r="AH22" i="22" s="1"/>
  <c r="AH23" i="22" s="1"/>
  <c r="AH24" i="22" s="1"/>
  <c r="AH25" i="22" s="1"/>
  <c r="AH26" i="22" s="1"/>
  <c r="AH27" i="22" s="1"/>
  <c r="AH28" i="22" s="1"/>
  <c r="AH29" i="22" s="1"/>
  <c r="AH30" i="22" s="1"/>
  <c r="AH31" i="22" s="1"/>
  <c r="AH32" i="22" s="1"/>
  <c r="AH33" i="22" s="1"/>
  <c r="AH34" i="22" s="1"/>
  <c r="AH35" i="22" s="1"/>
  <c r="AH36" i="22" s="1"/>
  <c r="AH38" i="22"/>
  <c r="W6" i="22"/>
  <c r="U40" i="19"/>
  <c r="P40" i="19"/>
  <c r="AZ38" i="22"/>
  <c r="K36" i="22"/>
  <c r="U85" i="19"/>
  <c r="AX38" i="22"/>
  <c r="AM16" i="22"/>
  <c r="BC9" i="22"/>
  <c r="BC10" i="22" s="1"/>
  <c r="BC11" i="22" s="1"/>
  <c r="BC12" i="22" s="1"/>
  <c r="BC13" i="22" s="1"/>
  <c r="BC14" i="22" s="1"/>
  <c r="BC15" i="22" s="1"/>
  <c r="BC16" i="22" s="1"/>
  <c r="BC17" i="22" s="1"/>
  <c r="BC18" i="22" s="1"/>
  <c r="BC19" i="22" s="1"/>
  <c r="BC20" i="22" s="1"/>
  <c r="BC21" i="22" s="1"/>
  <c r="BC22" i="22" s="1"/>
  <c r="BC23" i="22" s="1"/>
  <c r="BC24" i="22" s="1"/>
  <c r="BC25" i="22" s="1"/>
  <c r="BC26" i="22" s="1"/>
  <c r="BC27" i="22" s="1"/>
  <c r="BC28" i="22" s="1"/>
  <c r="BC29" i="22" s="1"/>
  <c r="BC30" i="22" s="1"/>
  <c r="BC31" i="22" s="1"/>
  <c r="BC32" i="22" s="1"/>
  <c r="BC33" i="22" s="1"/>
  <c r="BC34" i="22" s="1"/>
  <c r="BC35" i="22" s="1"/>
  <c r="BC36" i="22" s="1"/>
  <c r="BC38" i="22"/>
  <c r="AT7" i="22"/>
  <c r="AL30" i="22"/>
  <c r="AQ38" i="22"/>
  <c r="AD38" i="22"/>
  <c r="H38" i="22"/>
  <c r="F14" i="22"/>
  <c r="K14" i="22" s="1"/>
  <c r="D9" i="22"/>
  <c r="P173" i="19"/>
  <c r="U173" i="19"/>
  <c r="P105" i="19"/>
  <c r="U105" i="19"/>
  <c r="P98" i="19"/>
  <c r="U98" i="19"/>
  <c r="U55" i="19"/>
  <c r="P55" i="19"/>
  <c r="U34" i="19"/>
  <c r="Q8" i="22"/>
  <c r="S8" i="22" s="1"/>
  <c r="W8" i="22" s="1"/>
  <c r="P9" i="22"/>
  <c r="P90" i="19"/>
  <c r="U90" i="19"/>
  <c r="U110" i="19" s="1"/>
  <c r="P59" i="19"/>
  <c r="U59" i="19"/>
  <c r="U121" i="19"/>
  <c r="P58" i="19"/>
  <c r="U58" i="19"/>
  <c r="BE38" i="22"/>
  <c r="AR38" i="22"/>
  <c r="C22" i="22"/>
  <c r="P181" i="19"/>
  <c r="U181" i="19"/>
  <c r="U152" i="19"/>
  <c r="U125" i="19"/>
  <c r="U62" i="19"/>
  <c r="P62" i="19"/>
  <c r="AT8" i="22"/>
  <c r="AL9" i="22"/>
  <c r="AJ7" i="22"/>
  <c r="K7" i="22"/>
  <c r="S7" i="22" s="1"/>
  <c r="W7" i="22" s="1"/>
  <c r="U73" i="19"/>
  <c r="P73" i="19"/>
  <c r="P66" i="19"/>
  <c r="U66" i="19"/>
  <c r="P44" i="19"/>
  <c r="U44" i="19"/>
  <c r="AL31" i="22" l="1"/>
  <c r="C38" i="22"/>
  <c r="AC11" i="22"/>
  <c r="AJ10" i="22"/>
  <c r="Q9" i="22"/>
  <c r="P10" i="22"/>
  <c r="AT15" i="22"/>
  <c r="AT16" i="22"/>
  <c r="AM17" i="22"/>
  <c r="AL10" i="22"/>
  <c r="AT9" i="22"/>
  <c r="F9" i="22"/>
  <c r="D10" i="22"/>
  <c r="D18" i="22"/>
  <c r="F17" i="22"/>
  <c r="K17" i="22" s="1"/>
  <c r="AJ8" i="22"/>
  <c r="AL23" i="22"/>
  <c r="BA38" i="22"/>
  <c r="D19" i="22" l="1"/>
  <c r="F18" i="22"/>
  <c r="K18" i="22" s="1"/>
  <c r="F10" i="22"/>
  <c r="K10" i="22" s="1"/>
  <c r="AT17" i="22"/>
  <c r="AM18" i="22"/>
  <c r="K9" i="22"/>
  <c r="AJ11" i="22"/>
  <c r="AC12" i="22"/>
  <c r="AL24" i="22"/>
  <c r="AL11" i="22"/>
  <c r="AT10" i="22"/>
  <c r="AL32" i="22"/>
  <c r="Q10" i="22"/>
  <c r="P11" i="22"/>
  <c r="AM19" i="22" l="1"/>
  <c r="AT18" i="22"/>
  <c r="S10" i="22"/>
  <c r="W10" i="22" s="1"/>
  <c r="D20" i="22"/>
  <c r="F19" i="22"/>
  <c r="K19" i="22" s="1"/>
  <c r="AT11" i="22"/>
  <c r="AL12" i="22"/>
  <c r="AL25" i="22"/>
  <c r="P12" i="22"/>
  <c r="Q11" i="22"/>
  <c r="S11" i="22" s="1"/>
  <c r="W11" i="22" s="1"/>
  <c r="AJ12" i="22"/>
  <c r="AC13" i="22"/>
  <c r="AL33" i="22"/>
  <c r="S9" i="22"/>
  <c r="Q12" i="22" l="1"/>
  <c r="S12" i="22" s="1"/>
  <c r="W12" i="22" s="1"/>
  <c r="P13" i="22"/>
  <c r="AL26" i="22"/>
  <c r="D21" i="22"/>
  <c r="F20" i="22"/>
  <c r="W9" i="22"/>
  <c r="AL34" i="22"/>
  <c r="AC14" i="22"/>
  <c r="AJ13" i="22"/>
  <c r="AT12" i="22"/>
  <c r="AL13" i="22"/>
  <c r="AM20" i="22"/>
  <c r="AT19" i="22"/>
  <c r="K20" i="22" l="1"/>
  <c r="AT13" i="22"/>
  <c r="AL14" i="22"/>
  <c r="AT14" i="22" s="1"/>
  <c r="AC15" i="22"/>
  <c r="AJ14" i="22"/>
  <c r="AM21" i="22"/>
  <c r="AT20" i="22"/>
  <c r="AL35" i="22"/>
  <c r="AL27" i="22"/>
  <c r="AL38" i="22" s="1"/>
  <c r="Q13" i="22"/>
  <c r="S13" i="22" s="1"/>
  <c r="P14" i="22"/>
  <c r="D22" i="22"/>
  <c r="F21" i="22"/>
  <c r="K21" i="22" s="1"/>
  <c r="D23" i="22" l="1"/>
  <c r="F22" i="22"/>
  <c r="K22" i="22" s="1"/>
  <c r="Q14" i="22"/>
  <c r="S14" i="22" s="1"/>
  <c r="W14" i="22" s="1"/>
  <c r="P15" i="22"/>
  <c r="AM22" i="22"/>
  <c r="AT21" i="22"/>
  <c r="AC16" i="22"/>
  <c r="AJ15" i="22"/>
  <c r="W13" i="22"/>
  <c r="AM23" i="22" l="1"/>
  <c r="AT22" i="22"/>
  <c r="P16" i="22"/>
  <c r="Q15" i="22"/>
  <c r="S15" i="22" s="1"/>
  <c r="W15" i="22" s="1"/>
  <c r="AC17" i="22"/>
  <c r="AJ16" i="22"/>
  <c r="D24" i="22"/>
  <c r="F23" i="22"/>
  <c r="K23" i="22" s="1"/>
  <c r="AC18" i="22" l="1"/>
  <c r="AJ17" i="22"/>
  <c r="Q16" i="22"/>
  <c r="S16" i="22" s="1"/>
  <c r="W16" i="22" s="1"/>
  <c r="P17" i="22"/>
  <c r="F24" i="22"/>
  <c r="K24" i="22" s="1"/>
  <c r="D25" i="22"/>
  <c r="AM24" i="22"/>
  <c r="AT23" i="22"/>
  <c r="F25" i="22" l="1"/>
  <c r="K25" i="22" s="1"/>
  <c r="D26" i="22"/>
  <c r="Q17" i="22"/>
  <c r="S17" i="22" s="1"/>
  <c r="W17" i="22" s="1"/>
  <c r="P18" i="22"/>
  <c r="AM25" i="22"/>
  <c r="AT24" i="22"/>
  <c r="AC19" i="22"/>
  <c r="AJ18" i="22"/>
  <c r="Q18" i="22" l="1"/>
  <c r="S18" i="22" s="1"/>
  <c r="W18" i="22" s="1"/>
  <c r="P19" i="22"/>
  <c r="AJ19" i="22"/>
  <c r="AC20" i="22"/>
  <c r="AM26" i="22"/>
  <c r="AT25" i="22"/>
  <c r="F26" i="22"/>
  <c r="K26" i="22" s="1"/>
  <c r="D27" i="22"/>
  <c r="D28" i="22" l="1"/>
  <c r="F27" i="22"/>
  <c r="K27" i="22" s="1"/>
  <c r="AM27" i="22"/>
  <c r="AT26" i="22"/>
  <c r="AC21" i="22"/>
  <c r="AJ20" i="22"/>
  <c r="P20" i="22"/>
  <c r="Q19" i="22"/>
  <c r="S19" i="22" s="1"/>
  <c r="W19" i="22" s="1"/>
  <c r="P21" i="22" l="1"/>
  <c r="Q20" i="22"/>
  <c r="S20" i="22" s="1"/>
  <c r="W20" i="22" s="1"/>
  <c r="AJ21" i="22"/>
  <c r="AC22" i="22"/>
  <c r="AM28" i="22"/>
  <c r="AT27" i="22"/>
  <c r="F28" i="22"/>
  <c r="K28" i="22" s="1"/>
  <c r="D29" i="22"/>
  <c r="D30" i="22" l="1"/>
  <c r="F29" i="22"/>
  <c r="K29" i="22" s="1"/>
  <c r="AM29" i="22"/>
  <c r="AT28" i="22"/>
  <c r="AJ22" i="22"/>
  <c r="AC23" i="22"/>
  <c r="P22" i="22"/>
  <c r="Q21" i="22"/>
  <c r="S21" i="22" s="1"/>
  <c r="W21" i="22" s="1"/>
  <c r="P23" i="22" l="1"/>
  <c r="Q22" i="22"/>
  <c r="S22" i="22" s="1"/>
  <c r="W22" i="22" s="1"/>
  <c r="AC24" i="22"/>
  <c r="AJ23" i="22"/>
  <c r="AM30" i="22"/>
  <c r="AT29" i="22"/>
  <c r="F30" i="22"/>
  <c r="K30" i="22" s="1"/>
  <c r="D31" i="22"/>
  <c r="D32" i="22" l="1"/>
  <c r="F31" i="22"/>
  <c r="K31" i="22" s="1"/>
  <c r="AM31" i="22"/>
  <c r="AT30" i="22"/>
  <c r="AC25" i="22"/>
  <c r="AJ24" i="22"/>
  <c r="P24" i="22"/>
  <c r="Q23" i="22"/>
  <c r="S23" i="22" s="1"/>
  <c r="W23" i="22" s="1"/>
  <c r="P25" i="22" l="1"/>
  <c r="Q24" i="22"/>
  <c r="S24" i="22" s="1"/>
  <c r="W24" i="22" s="1"/>
  <c r="AJ25" i="22"/>
  <c r="AC26" i="22"/>
  <c r="AM32" i="22"/>
  <c r="AT31" i="22"/>
  <c r="D33" i="22"/>
  <c r="F32" i="22"/>
  <c r="K32" i="22" s="1"/>
  <c r="D34" i="22" l="1"/>
  <c r="F33" i="22"/>
  <c r="K33" i="22" s="1"/>
  <c r="AM33" i="22"/>
  <c r="AT32" i="22"/>
  <c r="AJ26" i="22"/>
  <c r="AC27" i="22"/>
  <c r="P26" i="22"/>
  <c r="Q25" i="22"/>
  <c r="S25" i="22" s="1"/>
  <c r="W25" i="22" s="1"/>
  <c r="P27" i="22" l="1"/>
  <c r="Q26" i="22"/>
  <c r="S26" i="22" s="1"/>
  <c r="W26" i="22" s="1"/>
  <c r="AJ27" i="22"/>
  <c r="AC28" i="22"/>
  <c r="AM34" i="22"/>
  <c r="AT33" i="22"/>
  <c r="D35" i="22"/>
  <c r="F34" i="22"/>
  <c r="K34" i="22" s="1"/>
  <c r="F35" i="22" l="1"/>
  <c r="D38" i="22"/>
  <c r="AM35" i="22"/>
  <c r="AT34" i="22"/>
  <c r="AC29" i="22"/>
  <c r="AJ28" i="22"/>
  <c r="Q27" i="22"/>
  <c r="S27" i="22" s="1"/>
  <c r="W27" i="22" s="1"/>
  <c r="P28" i="22"/>
  <c r="Q28" i="22" l="1"/>
  <c r="S28" i="22" s="1"/>
  <c r="W28" i="22" s="1"/>
  <c r="P29" i="22"/>
  <c r="AM36" i="22"/>
  <c r="AT35" i="22"/>
  <c r="AJ29" i="22"/>
  <c r="AC30" i="22"/>
  <c r="K35" i="22"/>
  <c r="K38" i="22" s="1"/>
  <c r="F38" i="22"/>
  <c r="AC31" i="22" l="1"/>
  <c r="AJ30" i="22"/>
  <c r="AT36" i="22"/>
  <c r="AT38" i="22" s="1"/>
  <c r="AM38" i="22"/>
  <c r="P30" i="22"/>
  <c r="Q29" i="22"/>
  <c r="S29" i="22" s="1"/>
  <c r="W29" i="22" s="1"/>
  <c r="Q30" i="22" l="1"/>
  <c r="S30" i="22" s="1"/>
  <c r="W30" i="22" s="1"/>
  <c r="P31" i="22"/>
  <c r="AC32" i="22"/>
  <c r="AJ31" i="22"/>
  <c r="AJ32" i="22" l="1"/>
  <c r="AC33" i="22"/>
  <c r="P32" i="22"/>
  <c r="Q31" i="22"/>
  <c r="S31" i="22" s="1"/>
  <c r="W31" i="22" s="1"/>
  <c r="AC34" i="22" l="1"/>
  <c r="AJ33" i="22"/>
  <c r="Q32" i="22"/>
  <c r="S32" i="22" s="1"/>
  <c r="W32" i="22" s="1"/>
  <c r="P33" i="22"/>
  <c r="P34" i="22" l="1"/>
  <c r="Q33" i="22"/>
  <c r="S33" i="22" s="1"/>
  <c r="W33" i="22" s="1"/>
  <c r="AC35" i="22"/>
  <c r="AJ34" i="22"/>
  <c r="AJ35" i="22" l="1"/>
  <c r="AC36" i="22"/>
  <c r="P35" i="22"/>
  <c r="Q34" i="22"/>
  <c r="S34" i="22" s="1"/>
  <c r="W34" i="22" s="1"/>
  <c r="W38" i="22" s="1"/>
  <c r="Q35" i="22" l="1"/>
  <c r="S35" i="22" s="1"/>
  <c r="W35" i="22" s="1"/>
  <c r="P36" i="22"/>
  <c r="AJ36" i="22"/>
  <c r="AJ38" i="22" s="1"/>
  <c r="AC38" i="22"/>
  <c r="Q36" i="22" l="1"/>
  <c r="P38" i="22"/>
  <c r="S36" i="22" l="1"/>
  <c r="Q38" i="22"/>
  <c r="W36" i="22" l="1"/>
  <c r="S38" i="22"/>
  <c r="S40" i="22" s="1"/>
</calcChain>
</file>

<file path=xl/comments1.xml><?xml version="1.0" encoding="utf-8"?>
<comments xmlns="http://schemas.openxmlformats.org/spreadsheetml/2006/main">
  <authors>
    <author>cgerman</author>
  </authors>
  <commentList>
    <comment ref="AG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Booked out with deal 209122 and included in the FOM volumes.</t>
        </r>
      </text>
    </comment>
    <comment ref="AH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Booked out with deal 209005
 and included in the FOM volumes.</t>
        </r>
      </text>
    </comment>
    <comment ref="AJ5" authorId="0" shapeId="0">
      <text>
        <r>
          <rPr>
            <b/>
            <sz val="8"/>
            <color indexed="81"/>
            <rFont val="Tahoma"/>
          </rPr>
          <t xml:space="preserve">cgerman: </t>
        </r>
      </text>
    </comment>
    <comment ref="P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Withdrawal goal for March
</t>
        </r>
      </text>
    </comment>
    <comment ref="I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Purchases are for Storage withdrawals.  Price = 2.7300 (CGAS FOM IF)
 + .0075 (Index preimum) - .0153 (Withdrawal Cost)</t>
        </r>
      </text>
    </comment>
  </commentList>
</comments>
</file>

<file path=xl/sharedStrings.xml><?xml version="1.0" encoding="utf-8"?>
<sst xmlns="http://schemas.openxmlformats.org/spreadsheetml/2006/main" count="1690" uniqueCount="514">
  <si>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</si>
  <si>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</si>
  <si>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</si>
  <si>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</si>
  <si>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</si>
  <si>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</si>
  <si>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</si>
  <si>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</si>
  <si>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</si>
  <si>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</si>
  <si>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</si>
  <si>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</si>
  <si>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</si>
  <si>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</si>
  <si>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</si>
  <si>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</si>
  <si>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</si>
  <si>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</si>
  <si>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</si>
  <si>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</si>
  <si>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</si>
  <si>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</si>
  <si>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</si>
  <si>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</si>
  <si>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</si>
  <si>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</si>
  <si>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</si>
  <si>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</si>
  <si>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</si>
  <si>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</si>
  <si>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</si>
  <si>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</si>
  <si>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</si>
  <si>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</si>
  <si>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</si>
  <si>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</si>
  <si>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</si>
  <si>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</si>
  <si>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</si>
  <si>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</si>
  <si>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</si>
  <si>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</si>
  <si>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</si>
  <si>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</si>
  <si>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</si>
  <si>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</si>
  <si>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</si>
  <si>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</si>
  <si>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</si>
  <si>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</si>
  <si>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</si>
  <si>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</si>
  <si>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</si>
  <si>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</si>
  <si>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</si>
  <si>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</si>
  <si>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</si>
  <si>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</si>
  <si>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</si>
  <si>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</si>
  <si>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</si>
  <si>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</si>
  <si>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</si>
  <si>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</si>
  <si>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</si>
  <si>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</si>
  <si>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</si>
  <si>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</si>
  <si>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</si>
  <si>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</si>
  <si>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</si>
  <si>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</si>
  <si>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</si>
  <si>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</si>
  <si>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</si>
  <si>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</si>
  <si>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</si>
  <si>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</si>
  <si>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</si>
  <si>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</si>
  <si>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</si>
  <si>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</si>
  <si>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</si>
  <si>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</si>
  <si>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</si>
  <si>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</si>
  <si>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</si>
  <si>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</si>
  <si>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</si>
  <si>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</si>
  <si>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</si>
  <si>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</si>
  <si>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COH-03</t>
  </si>
  <si>
    <t>SST</t>
  </si>
  <si>
    <t>#26984</t>
  </si>
  <si>
    <t>COH-03, COH-07, COH-05, COH-08</t>
  </si>
  <si>
    <t>#24857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</si>
  <si>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</si>
  <si>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</si>
  <si>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</si>
  <si>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</si>
  <si>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</si>
  <si>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</si>
  <si>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</si>
  <si>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</si>
  <si>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</si>
  <si>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</si>
  <si>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</si>
  <si>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</si>
  <si>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</si>
  <si>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</si>
  <si>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</si>
  <si>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</si>
  <si>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</si>
  <si>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</si>
  <si>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60001 Lebanon</t>
  </si>
  <si>
    <t>40208 Oakford</t>
  </si>
  <si>
    <t>5A1982</t>
  </si>
  <si>
    <t>20700 NYSEG</t>
  </si>
  <si>
    <t>5A2083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</si>
  <si>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</si>
  <si>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</si>
  <si>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</si>
  <si>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</si>
  <si>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</si>
  <si>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</si>
  <si>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</si>
  <si>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</si>
  <si>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</si>
  <si>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</si>
  <si>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</si>
  <si>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</si>
  <si>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</si>
  <si>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</si>
  <si>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</si>
  <si>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</si>
  <si>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</si>
  <si>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</si>
  <si>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</si>
  <si>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</si>
  <si>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</si>
  <si>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</si>
  <si>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</si>
  <si>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</si>
  <si>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</si>
  <si>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</si>
  <si>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</si>
  <si>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</si>
  <si>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</si>
  <si>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</si>
  <si>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</si>
  <si>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</si>
  <si>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</si>
  <si>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</si>
  <si>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</si>
  <si>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</si>
  <si>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</si>
  <si>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</si>
  <si>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</si>
  <si>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</si>
  <si>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</si>
  <si>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</si>
  <si>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</si>
  <si>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</si>
  <si>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</si>
  <si>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</si>
  <si>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</si>
  <si>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</si>
  <si>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</si>
  <si>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St 45</t>
  </si>
  <si>
    <t>Z3</t>
  </si>
  <si>
    <t>6484 Atlanta</t>
  </si>
  <si>
    <t>6971 St 85</t>
  </si>
  <si>
    <t>FTCHR</t>
  </si>
  <si>
    <t>FTSR</t>
  </si>
  <si>
    <t>St 65</t>
  </si>
  <si>
    <t>PSNC</t>
  </si>
  <si>
    <t>6608 PSNC</t>
  </si>
  <si>
    <t>FTR</t>
  </si>
  <si>
    <t>00211 Hanover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</si>
  <si>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</si>
  <si>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</si>
  <si>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</si>
  <si>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</si>
  <si>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</si>
  <si>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</si>
  <si>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</si>
  <si>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</si>
  <si>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</si>
  <si>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</si>
  <si>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</si>
  <si>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</si>
  <si>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</si>
  <si>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</si>
  <si>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</si>
  <si>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3.3114 / 2.7502</t>
  </si>
  <si>
    <t>143926 / 143927</t>
  </si>
  <si>
    <t>143929 / 143928</t>
  </si>
  <si>
    <t>143930 / 143928</t>
  </si>
  <si>
    <t>143931 / 143928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</si>
  <si>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</si>
  <si>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</si>
  <si>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</si>
  <si>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</si>
  <si>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</si>
  <si>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</si>
  <si>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</si>
  <si>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</si>
  <si>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East Tenn</t>
  </si>
  <si>
    <t>Lobelville</t>
  </si>
  <si>
    <t>B9 Broad run</t>
  </si>
  <si>
    <t>#24854, Sheet No 29</t>
  </si>
  <si>
    <t>Goodell</t>
  </si>
  <si>
    <t>Midwestern</t>
  </si>
  <si>
    <t>Z1</t>
  </si>
  <si>
    <t>FT-a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</si>
  <si>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</si>
  <si>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</si>
  <si>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</si>
  <si>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</si>
  <si>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</si>
  <si>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</si>
  <si>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</si>
  <si>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</si>
  <si>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</si>
  <si>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</si>
  <si>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</si>
  <si>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Total Transport</t>
  </si>
  <si>
    <t>Delivered Price</t>
  </si>
  <si>
    <t>Algo Comm</t>
  </si>
  <si>
    <t>Algo Transport</t>
  </si>
  <si>
    <t>Index Prem</t>
  </si>
  <si>
    <t>CGAS</t>
  </si>
  <si>
    <t>Old K#</t>
  </si>
  <si>
    <t>New K#</t>
  </si>
  <si>
    <t>New Sitara</t>
  </si>
  <si>
    <t>Old Sitara</t>
  </si>
  <si>
    <t>ENA</t>
  </si>
  <si>
    <t>3.3438/.7537</t>
  </si>
  <si>
    <t>3.3435/.7537</t>
  </si>
  <si>
    <t>3.3436/.7537</t>
  </si>
  <si>
    <t>6128 Holmesville</t>
  </si>
  <si>
    <t>3.3432/3.3433</t>
  </si>
  <si>
    <t>Pending Release</t>
  </si>
  <si>
    <t>5A2276</t>
  </si>
  <si>
    <t>5A2275</t>
  </si>
  <si>
    <t>#12954</t>
  </si>
  <si>
    <t>#012962</t>
  </si>
  <si>
    <t>20500 NIMO-E</t>
  </si>
  <si>
    <t>20500 NIMO-W</t>
  </si>
  <si>
    <t xml:space="preserve">#012891,Meter 40105 - Cornwell is a primary eeceipt and delivery point. </t>
  </si>
  <si>
    <t>5A2292</t>
  </si>
  <si>
    <t>5A2291</t>
  </si>
  <si>
    <t>CEM Base 5A2289</t>
  </si>
  <si>
    <t>CEM Base 5A2288</t>
  </si>
  <si>
    <t>3.3509/3.3508</t>
  </si>
  <si>
    <t>801-Leach</t>
  </si>
  <si>
    <t>19-26</t>
  </si>
  <si>
    <t>19-27</t>
  </si>
  <si>
    <t>#27772</t>
  </si>
  <si>
    <t>Is this date correct?</t>
  </si>
  <si>
    <t>Expired?</t>
  </si>
  <si>
    <t>#13011</t>
  </si>
  <si>
    <t>5A2308</t>
  </si>
  <si>
    <t>#13014</t>
  </si>
  <si>
    <t>RECALLED</t>
  </si>
  <si>
    <t>NA</t>
  </si>
  <si>
    <t>Dayton</t>
  </si>
  <si>
    <t>T015955</t>
  </si>
  <si>
    <t>#015836</t>
  </si>
  <si>
    <t>#015839</t>
  </si>
  <si>
    <t>#15841</t>
  </si>
  <si>
    <t>#15843</t>
  </si>
  <si>
    <t>9/d</t>
  </si>
  <si>
    <t>16/d</t>
  </si>
  <si>
    <t>143310 14331roll into this deal  was 49</t>
  </si>
  <si>
    <t>na</t>
  </si>
  <si>
    <t>157610/143913</t>
  </si>
  <si>
    <t>157611/143913</t>
  </si>
  <si>
    <t>T015982</t>
  </si>
  <si>
    <t>SNAT</t>
  </si>
  <si>
    <t>AGL</t>
  </si>
  <si>
    <t>CSS</t>
  </si>
  <si>
    <t>SSNG45</t>
  </si>
  <si>
    <t>Offshore</t>
  </si>
  <si>
    <t>Onshore</t>
  </si>
  <si>
    <t>3.3542/3.3541</t>
  </si>
  <si>
    <t>Union Camp</t>
  </si>
  <si>
    <t>8696 Sta 165</t>
  </si>
  <si>
    <t>Emporia</t>
  </si>
  <si>
    <t>Con Ed</t>
  </si>
  <si>
    <t>WLA</t>
  </si>
  <si>
    <t>#14726</t>
  </si>
  <si>
    <t>5A2383</t>
  </si>
  <si>
    <t>5A2382</t>
  </si>
  <si>
    <t>#13172, Nimo East;  Nimo released this capacity to CES offer #13126, we re-released it to ENA</t>
  </si>
  <si>
    <t>#13171, Nimo West;  Nimo released this capacity to CES offer #13125, we re-released it to ENA</t>
  </si>
  <si>
    <t>3.3751/3.3508</t>
  </si>
  <si>
    <t>3.3752/3.3541</t>
  </si>
  <si>
    <t>3.3701/.7537</t>
  </si>
  <si>
    <t>3.3701/.7538</t>
  </si>
  <si>
    <t>3.3701/.7539</t>
  </si>
  <si>
    <t>#18465</t>
  </si>
  <si>
    <t>#18509</t>
  </si>
  <si>
    <t>#18510</t>
  </si>
  <si>
    <t>3.3702/2.7055</t>
  </si>
  <si>
    <t>#18464</t>
  </si>
  <si>
    <t>3.3703/.7537</t>
  </si>
  <si>
    <t>#18463</t>
  </si>
  <si>
    <t>#200002000047</t>
  </si>
  <si>
    <t>T016026</t>
  </si>
  <si>
    <t>#15963</t>
  </si>
  <si>
    <t>???</t>
  </si>
  <si>
    <t>n/a</t>
  </si>
  <si>
    <t>#3550; BGC k#9B100, seasional volumes  104 peak, 69 fall &amp; spring, 0 summer</t>
  </si>
  <si>
    <t>#3540; BGC k#93302C, static MDQ</t>
  </si>
  <si>
    <t>3.3677 /1.1703</t>
  </si>
  <si>
    <t>#18427</t>
  </si>
  <si>
    <t>206152/143913</t>
  </si>
  <si>
    <t>#18643, PSNC released 190 dt and then recalled 45 dt</t>
  </si>
  <si>
    <t>Deal 211642</t>
  </si>
  <si>
    <t>#16008</t>
  </si>
  <si>
    <t>3.3863/3.3433</t>
  </si>
  <si>
    <t>#18615</t>
  </si>
  <si>
    <t>Bear Creek</t>
  </si>
  <si>
    <t>Stor</t>
  </si>
  <si>
    <t>TEnn</t>
  </si>
  <si>
    <t>#28092</t>
  </si>
  <si>
    <t>#28093</t>
  </si>
  <si>
    <t>from CES K#66617</t>
  </si>
  <si>
    <t>from CES K#66616</t>
  </si>
  <si>
    <t>From CES #66615</t>
  </si>
  <si>
    <t>#015940</t>
  </si>
  <si>
    <t>M1</t>
  </si>
  <si>
    <t>LLFT</t>
  </si>
  <si>
    <t>#15941</t>
  </si>
  <si>
    <t>Rel 394 and 398</t>
  </si>
  <si>
    <t>FSNG11</t>
  </si>
  <si>
    <t>REL 387</t>
  </si>
  <si>
    <t>REL 390</t>
  </si>
  <si>
    <t>SGA</t>
  </si>
  <si>
    <t>REL 428</t>
  </si>
  <si>
    <t>FSGA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</si>
  <si>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</si>
  <si>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</si>
  <si>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</si>
  <si>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</si>
  <si>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</si>
  <si>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</si>
  <si>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</si>
  <si>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</si>
  <si>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</si>
  <si>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</si>
  <si>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</si>
  <si>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</si>
  <si>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</si>
  <si>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</si>
  <si>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</si>
  <si>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</si>
  <si>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</si>
  <si>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</si>
  <si>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</si>
  <si>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</si>
  <si>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</si>
  <si>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</si>
  <si>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</si>
  <si>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</si>
  <si>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</si>
  <si>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</si>
  <si>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</si>
  <si>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</si>
  <si>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</si>
  <si>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</si>
  <si>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</si>
  <si>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</si>
  <si>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</si>
  <si>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</si>
  <si>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</si>
  <si>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</si>
  <si>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</si>
  <si>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</si>
  <si>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</si>
  <si>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</si>
  <si>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</si>
  <si>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</si>
  <si>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</si>
  <si>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</si>
  <si>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</si>
  <si>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#26694;  Primary receipt Toledo agg., ROFR, total MDQ is 20,000 day, contract will be split between retail and wholesale with 15,000/day going to Retail-Mass Markets.  Old contract was 62039.</t>
  </si>
  <si>
    <t>#26714</t>
  </si>
  <si>
    <t>No offer</t>
  </si>
  <si>
    <t>#27098</t>
  </si>
  <si>
    <t>#28160</t>
  </si>
  <si>
    <t>#24563;  Delivery to CPA Op. Area 8</t>
  </si>
  <si>
    <t>volumetric</t>
  </si>
  <si>
    <t>100% Reimbursed from CES</t>
  </si>
  <si>
    <t>CES S-N Transport</t>
  </si>
  <si>
    <t>North Citygate</t>
  </si>
  <si>
    <t>South Citygate</t>
  </si>
  <si>
    <t>Total Volume Deal 145638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</si>
  <si>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</si>
  <si>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</si>
  <si>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</si>
  <si>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</si>
  <si>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</si>
  <si>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</si>
  <si>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</si>
  <si>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</si>
  <si>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</si>
  <si>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</si>
  <si>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</si>
  <si>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</si>
  <si>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The balance of the volumes on this deal will be billed Tetco M3 IF + $.025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</si>
  <si>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</si>
  <si>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</si>
  <si>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</si>
  <si>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</si>
  <si>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</si>
  <si>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</si>
  <si>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Volumetric Demand</t>
  </si>
  <si>
    <t>for the capacity is included in the sales price.  There should not be a demand</t>
  </si>
  <si>
    <t>charge for this contract on the capacity worksheet.</t>
  </si>
  <si>
    <t>Prior to March, ENA would purchase the gas from CES at Mendon.  This portion</t>
  </si>
  <si>
    <t>of the deal went away effective 3/1/2000</t>
  </si>
  <si>
    <t>Deal 204694  CES has 69 dt of capacity at this rate</t>
  </si>
  <si>
    <t>Deal 204701</t>
  </si>
  <si>
    <t>Comment:  CES has 1,167 dt/day of South to North Space.</t>
  </si>
  <si>
    <t>Ignore the following CES deals</t>
  </si>
  <si>
    <t>Deal</t>
  </si>
  <si>
    <t>Comment</t>
  </si>
  <si>
    <t>Appalachian production, wholesale activity.</t>
  </si>
  <si>
    <t>149346/ change to 214854 on 4/1/2000</t>
  </si>
  <si>
    <t>#23652</t>
  </si>
  <si>
    <t>Just added to march</t>
  </si>
  <si>
    <t>Leah</t>
  </si>
  <si>
    <t>Deal 206316</t>
  </si>
  <si>
    <t xml:space="preserve">Deal </t>
  </si>
  <si>
    <t>Deal 206321</t>
  </si>
  <si>
    <t>Deal 206266</t>
  </si>
  <si>
    <t>CES East Desk Transportation Capacity for Mar, 2000</t>
  </si>
  <si>
    <t>CES has 908 dth of Algonquin capacity.  69 dth is priced under deal 204694.</t>
  </si>
  <si>
    <t>will be priced at $3.1500</t>
  </si>
  <si>
    <t>839 dth on deal 204701 will be priced at $3.0138,  all volume greater than 839 dth/day</t>
  </si>
  <si>
    <t>ENA Transport</t>
  </si>
  <si>
    <t>Deal 203277  CES has 1,000 dth of FTS, price 1,000 day at the FTS rate, balance at the IT rate.</t>
  </si>
  <si>
    <t>CES has 825 dt of Access to M3 space.</t>
  </si>
  <si>
    <t>Deal 204678 ENA will bill CES 825 dth/day at Ela + $.01 + transport</t>
  </si>
  <si>
    <t>Deal 206398</t>
  </si>
  <si>
    <t>Deal 204427</t>
  </si>
  <si>
    <t>Deal 205887 is IF M3 + $.025</t>
  </si>
  <si>
    <t>Deal 205914 priced at Ela $.01 (UGI)</t>
  </si>
  <si>
    <t>Deal 206069.  PSNC sends ENA an invoice for this gas.  ENA will forward this to PSNC each month.</t>
  </si>
  <si>
    <t>Deal 206465.  Because this is a volumetric contract, the demand charge</t>
  </si>
  <si>
    <t>Deal 206483</t>
  </si>
  <si>
    <t>Transport Fixed Price Deals</t>
  </si>
  <si>
    <t>Total 1st of</t>
  </si>
  <si>
    <t>Incremental Transported Spot Deals</t>
  </si>
  <si>
    <t>Supplied with delivered gas</t>
  </si>
  <si>
    <t>Month Fixed Price</t>
  </si>
  <si>
    <t>Incremental</t>
  </si>
  <si>
    <t>Comment:  Baseload fixed price deals will be included in the</t>
  </si>
  <si>
    <t>first of the month volume for pricing purposes.</t>
  </si>
  <si>
    <t>SL</t>
  </si>
  <si>
    <t>Local Production</t>
  </si>
  <si>
    <t>Prod:</t>
  </si>
  <si>
    <t>Belden &amp; Balke</t>
  </si>
  <si>
    <t>#204787</t>
  </si>
  <si>
    <t>Pipe: CGAS</t>
  </si>
  <si>
    <t>#204789</t>
  </si>
  <si>
    <t>#204785</t>
  </si>
  <si>
    <t>CNG Field Ser</t>
  </si>
  <si>
    <t>Phoenix Dominion</t>
  </si>
  <si>
    <t>#204784</t>
  </si>
  <si>
    <t>#204781</t>
  </si>
  <si>
    <t>Power Gas Marketing</t>
  </si>
  <si>
    <t>#142787</t>
  </si>
  <si>
    <t>LDC: CPA 4 25E</t>
  </si>
  <si>
    <t>LDC: CPA8 25-34</t>
  </si>
  <si>
    <t>LDC: CPA8 25-35</t>
  </si>
  <si>
    <t>LDC: CPA8 25-36</t>
  </si>
  <si>
    <t>Totals</t>
  </si>
  <si>
    <t>Discount</t>
  </si>
  <si>
    <t>Using the FOM Index to calculate transport expense.</t>
  </si>
  <si>
    <t>FOM volume</t>
  </si>
  <si>
    <t>Actual Volume</t>
  </si>
  <si>
    <t>Undertakes</t>
  </si>
  <si>
    <t>Dollars</t>
  </si>
  <si>
    <t xml:space="preserve">Average Price: </t>
  </si>
  <si>
    <t>IF CNG App</t>
  </si>
  <si>
    <t>Pord:</t>
  </si>
  <si>
    <t>LDC: Peoples</t>
  </si>
  <si>
    <t>Pipe:  CNG</t>
  </si>
  <si>
    <t>LDC: East Ohio</t>
  </si>
  <si>
    <t>Buy from CES: Deal 243649</t>
  </si>
  <si>
    <t>Sale to CES:  Deal 243650</t>
  </si>
  <si>
    <t>GD - $.01</t>
  </si>
  <si>
    <t>FOM CGAS IF + $.0075  Deal 244689</t>
  </si>
  <si>
    <t xml:space="preserve">  Average Rate Deal 244691</t>
  </si>
  <si>
    <t>Notes:  CES had transport to meet their daily citygate needs for the month of March.</t>
  </si>
  <si>
    <t>Total Sales</t>
  </si>
  <si>
    <t>Volume</t>
  </si>
  <si>
    <t>Price</t>
  </si>
  <si>
    <t>FOM pricing using CES transport</t>
  </si>
  <si>
    <t>Purchases</t>
  </si>
  <si>
    <t>CGAS IF + .0075 - .0153</t>
  </si>
  <si>
    <t>SL/1</t>
  </si>
  <si>
    <t>1247 Lebannon</t>
  </si>
  <si>
    <t>T016065</t>
  </si>
  <si>
    <t>Capacity was released to ENA for Feb.  Billed to CES for Jan and Mar.</t>
  </si>
  <si>
    <t>#15775</t>
  </si>
  <si>
    <t>#141963</t>
  </si>
  <si>
    <t>#131896</t>
  </si>
  <si>
    <t>LDC: NYSEG</t>
  </si>
  <si>
    <t>CNG Field Ser should be 0 for March because CPA shut down the interconnect.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</si>
</sst>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1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0" fontId="8" fillId="0" borderId="0" xfId="0" applyFont="1" applyFill="1"/>
    <xf numFmtId="0" fontId="8" fillId="2" borderId="0" xfId="0" applyFont="1" applyFill="1"/>
    <xf numFmtId="0" fontId="0" fillId="2" borderId="0" xfId="0" applyFill="1"/>
    <xf numFmtId="0" fontId="10" fillId="2" borderId="0" xfId="0" applyFont="1" applyFill="1"/>
    <xf numFmtId="165" fontId="8" fillId="2" borderId="0" xfId="0" applyNumberFormat="1" applyFont="1" applyFill="1"/>
    <xf numFmtId="10" fontId="8" fillId="2" borderId="0" xfId="3" applyNumberFormat="1" applyFont="1" applyFill="1"/>
    <xf numFmtId="165" fontId="8" fillId="2" borderId="2" xfId="0" applyNumberFormat="1" applyFont="1" applyFill="1" applyBorder="1"/>
    <xf numFmtId="177" fontId="8" fillId="0" borderId="0" xfId="1" applyNumberFormat="1" applyFont="1" applyFill="1"/>
    <xf numFmtId="165" fontId="8" fillId="0" borderId="0" xfId="0" applyNumberFormat="1" applyFont="1" applyFill="1"/>
    <xf numFmtId="165" fontId="8" fillId="2" borderId="3" xfId="0" applyNumberFormat="1" applyFont="1" applyFill="1" applyBorder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2" fillId="5" borderId="0" xfId="0" applyNumberFormat="1" applyFont="1" applyFill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0" fontId="5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0" fontId="2" fillId="2" borderId="0" xfId="0" quotePrefix="1" applyNumberFormat="1" applyFont="1" applyFill="1" applyAlignment="1">
      <alignment horizontal="right"/>
    </xf>
    <xf numFmtId="1" fontId="2" fillId="2" borderId="0" xfId="0" quotePrefix="1" applyNumberFormat="1" applyFont="1" applyFill="1" applyAlignment="1">
      <alignment horizontal="center"/>
    </xf>
    <xf numFmtId="38" fontId="5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168" fontId="7" fillId="2" borderId="0" xfId="0" applyNumberFormat="1" applyFont="1" applyFill="1" applyAlignment="1">
      <alignment horizontal="center"/>
    </xf>
    <xf numFmtId="38" fontId="7" fillId="2" borderId="0" xfId="0" applyNumberFormat="1" applyFont="1" applyFill="1" applyAlignment="1">
      <alignment horizontal="right"/>
    </xf>
    <xf numFmtId="0" fontId="7" fillId="2" borderId="0" xfId="0" applyNumberFormat="1" applyFont="1" applyFill="1" applyAlignment="1">
      <alignment horizontal="right"/>
    </xf>
    <xf numFmtId="168" fontId="2" fillId="2" borderId="0" xfId="0" applyNumberFormat="1" applyFont="1" applyFill="1" applyBorder="1" applyAlignment="1">
      <alignment horizontal="center"/>
    </xf>
    <xf numFmtId="38" fontId="0" fillId="0" borderId="0" xfId="0" applyNumberFormat="1" applyFill="1"/>
    <xf numFmtId="38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center"/>
    </xf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9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10" xfId="1" applyNumberFormat="1" applyFont="1" applyBorder="1" applyAlignment="1">
      <alignment horizontal="center"/>
    </xf>
    <xf numFmtId="38" fontId="2" fillId="3" borderId="0" xfId="0" quotePrefix="1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38" fontId="2" fillId="6" borderId="0" xfId="0" applyNumberFormat="1" applyFont="1" applyFill="1" applyAlignment="1">
      <alignment horizontal="right"/>
    </xf>
    <xf numFmtId="38" fontId="2" fillId="0" borderId="3" xfId="0" applyNumberFormat="1" applyFont="1" applyFill="1" applyBorder="1" applyAlignment="1">
      <alignment horizontal="right"/>
    </xf>
    <xf numFmtId="9" fontId="8" fillId="0" borderId="0" xfId="3" applyFont="1" applyFill="1"/>
    <xf numFmtId="7" fontId="8" fillId="0" borderId="0" xfId="0" applyNumberFormat="1" applyFont="1" applyFill="1"/>
    <xf numFmtId="0" fontId="8" fillId="2" borderId="0" xfId="0" applyFont="1" applyFill="1" applyBorder="1"/>
    <xf numFmtId="165" fontId="8" fillId="2" borderId="0" xfId="0" applyNumberFormat="1" applyFont="1" applyFill="1" applyBorder="1"/>
    <xf numFmtId="177" fontId="8" fillId="0" borderId="0" xfId="1" applyNumberFormat="1" applyFont="1" applyFill="1" applyBorder="1"/>
    <xf numFmtId="170" fontId="8" fillId="0" borderId="0" xfId="3" applyNumberFormat="1" applyFont="1" applyFill="1" applyBorder="1"/>
    <xf numFmtId="177" fontId="8" fillId="0" borderId="0" xfId="0" applyNumberFormat="1" applyFont="1" applyFill="1"/>
    <xf numFmtId="0" fontId="8" fillId="0" borderId="0" xfId="0" applyFont="1" applyFill="1" applyAlignment="1">
      <alignment horizontal="center"/>
    </xf>
    <xf numFmtId="0" fontId="0" fillId="2" borderId="0" xfId="0" applyFill="1" applyBorder="1"/>
    <xf numFmtId="10" fontId="8" fillId="2" borderId="0" xfId="3" applyNumberFormat="1" applyFont="1" applyFill="1" applyBorder="1"/>
    <xf numFmtId="165" fontId="8" fillId="2" borderId="11" xfId="0" applyNumberFormat="1" applyFont="1" applyFill="1" applyBorder="1"/>
    <xf numFmtId="177" fontId="8" fillId="2" borderId="0" xfId="1" applyNumberFormat="1" applyFont="1" applyFill="1" applyBorder="1"/>
    <xf numFmtId="40" fontId="2" fillId="0" borderId="0" xfId="0" applyNumberFormat="1" applyFont="1" applyFill="1" applyAlignment="1">
      <alignment horizontal="right"/>
    </xf>
    <xf numFmtId="38" fontId="2" fillId="3" borderId="0" xfId="0" quotePrefix="1" applyNumberFormat="1" applyFont="1" applyFill="1" applyAlignment="1">
      <alignment horizontal="left"/>
    </xf>
    <xf numFmtId="170" fontId="8" fillId="2" borderId="0" xfId="3" applyNumberFormat="1" applyFont="1" applyFill="1"/>
    <xf numFmtId="177" fontId="8" fillId="2" borderId="0" xfId="1" applyNumberFormat="1" applyFont="1" applyFill="1"/>
    <xf numFmtId="191" fontId="8" fillId="2" borderId="0" xfId="3" applyNumberFormat="1" applyFont="1" applyFill="1"/>
    <xf numFmtId="165" fontId="8" fillId="2" borderId="7" xfId="0" applyNumberFormat="1" applyFont="1" applyFill="1" applyBorder="1"/>
    <xf numFmtId="0" fontId="8" fillId="2" borderId="0" xfId="0" applyFont="1" applyFill="1" applyAlignment="1">
      <alignment horizontal="center"/>
    </xf>
    <xf numFmtId="0" fontId="9" fillId="2" borderId="0" xfId="0" applyFont="1" applyFill="1"/>
    <xf numFmtId="0" fontId="11" fillId="2" borderId="0" xfId="0" applyFont="1" applyFill="1" applyAlignment="1">
      <alignment horizontal="right"/>
    </xf>
    <xf numFmtId="0" fontId="0" fillId="0" borderId="0" xfId="1" applyNumberFormat="1" applyFont="1"/>
    <xf numFmtId="177" fontId="0" fillId="0" borderId="3" xfId="1" applyNumberFormat="1" applyFont="1" applyBorder="1"/>
    <xf numFmtId="177" fontId="1" fillId="0" borderId="0" xfId="1" applyNumberFormat="1" applyAlignment="1">
      <alignment horizontal="center"/>
    </xf>
    <xf numFmtId="177" fontId="1" fillId="0" borderId="0" xfId="1" applyNumberFormat="1" applyFont="1" applyAlignment="1">
      <alignment horizontal="center"/>
    </xf>
    <xf numFmtId="177" fontId="1" fillId="0" borderId="0" xfId="1" applyNumberFormat="1"/>
    <xf numFmtId="177" fontId="1" fillId="0" borderId="0" xfId="1" applyNumberFormat="1" applyFont="1"/>
    <xf numFmtId="0" fontId="1" fillId="0" borderId="0" xfId="1" applyNumberFormat="1"/>
    <xf numFmtId="167" fontId="1" fillId="0" borderId="0" xfId="2" applyNumberFormat="1" applyAlignment="1">
      <alignment horizontal="center"/>
    </xf>
    <xf numFmtId="44" fontId="1" fillId="0" borderId="0" xfId="2" applyAlignment="1">
      <alignment horizontal="center"/>
    </xf>
    <xf numFmtId="177" fontId="1" fillId="0" borderId="3" xfId="1" applyNumberFormat="1" applyBorder="1"/>
    <xf numFmtId="167" fontId="0" fillId="0" borderId="0" xfId="2" applyNumberFormat="1" applyFont="1"/>
    <xf numFmtId="167" fontId="1" fillId="0" borderId="0" xfId="2" applyNumberFormat="1"/>
    <xf numFmtId="167" fontId="1" fillId="0" borderId="0" xfId="2" applyNumberFormat="1" applyFont="1"/>
    <xf numFmtId="43" fontId="0" fillId="0" borderId="0" xfId="1" applyNumberFormat="1" applyFont="1" applyAlignment="1">
      <alignment horizontal="center"/>
    </xf>
    <xf numFmtId="177" fontId="12" fillId="0" borderId="0" xfId="1" applyNumberFormat="1" applyFont="1" applyAlignment="1">
      <alignment horizontal="center"/>
    </xf>
    <xf numFmtId="177" fontId="1" fillId="0" borderId="3" xfId="1" applyNumberFormat="1" applyFont="1" applyBorder="1" applyAlignment="1">
      <alignment horizontal="center"/>
    </xf>
    <xf numFmtId="44" fontId="1" fillId="0" borderId="0" xfId="2"/>
    <xf numFmtId="1" fontId="0" fillId="0" borderId="0" xfId="2" applyNumberFormat="1" applyFont="1"/>
    <xf numFmtId="37" fontId="1" fillId="0" borderId="0" xfId="2" applyNumberFormat="1" applyAlignment="1">
      <alignment horizontal="center"/>
    </xf>
    <xf numFmtId="44" fontId="1" fillId="0" borderId="3" xfId="2" applyBorder="1"/>
    <xf numFmtId="0" fontId="0" fillId="2" borderId="0" xfId="1" applyNumberFormat="1" applyFont="1" applyFill="1" applyAlignment="1">
      <alignment horizontal="center"/>
    </xf>
    <xf numFmtId="0" fontId="0" fillId="2" borderId="0" xfId="1" applyNumberFormat="1" applyFont="1" applyFill="1"/>
    <xf numFmtId="167" fontId="0" fillId="0" borderId="11" xfId="2" applyNumberFormat="1" applyFont="1" applyBorder="1"/>
    <xf numFmtId="177" fontId="0" fillId="0" borderId="0" xfId="1" applyNumberFormat="1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"/>
  <sheetViews>
    <sheetView topLeftCell="A10" workbookViewId="0">
      <selection activeCell="C33" sqref="C33"/>
    </sheetView>
  </sheetViews>
  <sheetFormatPr defaultRowHeight="12" x14ac:dyDescent="0.2"/>
  <cols>
    <col min="1" max="1" width="15.5703125" style="68" customWidth="1"/>
    <col min="2" max="2" width="9.140625" style="68"/>
    <col min="3" max="3" width="12.42578125" style="68" customWidth="1"/>
    <col min="4" max="4" width="9.140625" style="68"/>
    <col min="5" max="5" width="11" style="68" customWidth="1"/>
    <col min="6" max="6" width="9.140625" style="68"/>
    <col min="7" max="7" width="13.42578125" style="68" customWidth="1"/>
    <col min="8" max="16384" width="9.140625" style="68"/>
  </cols>
  <sheetData>
    <row r="1" spans="1:12" x14ac:dyDescent="0.2">
      <c r="A1" s="71" t="s">
        <v>32</v>
      </c>
      <c r="B1" s="69"/>
      <c r="C1" s="69"/>
      <c r="D1" s="69"/>
      <c r="E1" s="69"/>
      <c r="F1" s="69"/>
      <c r="G1" s="69"/>
      <c r="H1" s="69"/>
      <c r="I1" s="69"/>
      <c r="J1" s="69"/>
    </row>
    <row r="2" spans="1:12" x14ac:dyDescent="0.2">
      <c r="A2" s="69" t="s">
        <v>222</v>
      </c>
      <c r="B2" s="69" t="s">
        <v>24</v>
      </c>
      <c r="C2" s="72">
        <v>2.95</v>
      </c>
      <c r="D2" s="69" t="s">
        <v>422</v>
      </c>
      <c r="E2" s="69"/>
      <c r="F2" s="69"/>
      <c r="G2" s="136"/>
      <c r="H2" s="136"/>
      <c r="I2" s="137"/>
      <c r="J2" s="136"/>
      <c r="K2" s="79"/>
      <c r="L2" s="79"/>
    </row>
    <row r="3" spans="1:12" x14ac:dyDescent="0.2">
      <c r="A3" s="69" t="s">
        <v>231</v>
      </c>
      <c r="B3" s="69"/>
      <c r="C3" s="72">
        <v>0.01</v>
      </c>
      <c r="D3" s="69" t="s">
        <v>423</v>
      </c>
      <c r="E3" s="69"/>
      <c r="F3" s="69"/>
      <c r="G3" s="136"/>
      <c r="H3" s="136"/>
      <c r="I3" s="137"/>
      <c r="J3" s="136"/>
      <c r="K3" s="79"/>
      <c r="L3" s="79"/>
    </row>
    <row r="4" spans="1:12" ht="12.75" x14ac:dyDescent="0.2">
      <c r="A4" s="69" t="s">
        <v>223</v>
      </c>
      <c r="B4" s="70"/>
      <c r="C4" s="72">
        <v>0</v>
      </c>
      <c r="D4" s="69"/>
      <c r="E4" s="69"/>
      <c r="F4" s="69"/>
      <c r="G4" s="136"/>
      <c r="H4" s="136"/>
      <c r="I4" s="137"/>
      <c r="J4" s="136"/>
      <c r="K4" s="79"/>
      <c r="L4" s="79"/>
    </row>
    <row r="5" spans="1:12" ht="12.75" x14ac:dyDescent="0.2">
      <c r="A5" s="69" t="s">
        <v>224</v>
      </c>
      <c r="B5" s="70"/>
      <c r="C5" s="72">
        <f>0.0022+0.0072</f>
        <v>9.4000000000000004E-3</v>
      </c>
      <c r="D5" s="69"/>
      <c r="E5" s="69"/>
      <c r="F5" s="69"/>
      <c r="G5" s="136"/>
      <c r="H5" s="142"/>
      <c r="I5" s="137"/>
      <c r="J5" s="136"/>
      <c r="K5" s="79"/>
      <c r="L5" s="79"/>
    </row>
    <row r="6" spans="1:12" ht="12.75" x14ac:dyDescent="0.2">
      <c r="A6" s="69" t="s">
        <v>225</v>
      </c>
      <c r="B6" s="70"/>
      <c r="C6" s="73">
        <v>1.11E-2</v>
      </c>
      <c r="D6" s="69"/>
      <c r="E6" s="69"/>
      <c r="F6" s="69"/>
      <c r="G6" s="136"/>
      <c r="H6" s="142"/>
      <c r="I6" s="137"/>
      <c r="J6" s="136"/>
      <c r="K6" s="79"/>
      <c r="L6" s="79"/>
    </row>
    <row r="7" spans="1:12" ht="12.75" x14ac:dyDescent="0.2">
      <c r="A7" s="69" t="s">
        <v>227</v>
      </c>
      <c r="B7" s="69"/>
      <c r="C7" s="74">
        <f>ROUND(+C2/(1-C6)+(C4+C5),4)-C2</f>
        <v>4.2499999999999982E-2</v>
      </c>
      <c r="D7" s="69"/>
      <c r="E7" s="69"/>
      <c r="F7" s="69"/>
      <c r="G7" s="136"/>
      <c r="H7" s="142"/>
      <c r="I7" s="143"/>
      <c r="J7" s="136"/>
      <c r="K7" s="79"/>
      <c r="L7" s="79"/>
    </row>
    <row r="8" spans="1:12" ht="12.75" thickBot="1" x14ac:dyDescent="0.25">
      <c r="A8" s="69" t="s">
        <v>228</v>
      </c>
      <c r="B8" s="69"/>
      <c r="C8" s="77">
        <f>SUM(C2,C3,C7)</f>
        <v>3.0024999999999999</v>
      </c>
      <c r="D8" s="69" t="s">
        <v>424</v>
      </c>
      <c r="E8" s="69"/>
      <c r="F8" s="69"/>
      <c r="G8" s="136"/>
      <c r="H8" s="136"/>
      <c r="I8" s="137"/>
      <c r="J8" s="136"/>
      <c r="K8" s="79"/>
      <c r="L8" s="79"/>
    </row>
    <row r="9" spans="1:12" ht="12.75" thickTop="1" x14ac:dyDescent="0.2">
      <c r="G9" s="79"/>
      <c r="H9" s="79"/>
      <c r="I9" s="80"/>
      <c r="J9" s="79"/>
      <c r="K9" s="79"/>
      <c r="L9" s="79"/>
    </row>
    <row r="11" spans="1:12" x14ac:dyDescent="0.2">
      <c r="A11" s="69" t="s">
        <v>222</v>
      </c>
      <c r="B11" s="69" t="s">
        <v>24</v>
      </c>
      <c r="C11" s="72">
        <v>2.95</v>
      </c>
      <c r="D11" s="69"/>
      <c r="E11" s="72">
        <v>2.95</v>
      </c>
      <c r="F11" s="69"/>
      <c r="G11" s="69"/>
      <c r="H11" s="69"/>
    </row>
    <row r="12" spans="1:12" x14ac:dyDescent="0.2">
      <c r="A12" s="69" t="s">
        <v>231</v>
      </c>
      <c r="B12" s="69"/>
      <c r="C12" s="72">
        <v>0.01</v>
      </c>
      <c r="D12" s="69"/>
      <c r="E12" s="72">
        <v>0.2</v>
      </c>
      <c r="F12" s="69"/>
      <c r="G12" s="69"/>
      <c r="H12" s="69"/>
    </row>
    <row r="13" spans="1:12" x14ac:dyDescent="0.2">
      <c r="A13" s="69" t="s">
        <v>229</v>
      </c>
      <c r="B13" s="69"/>
      <c r="C13" s="72">
        <v>1.12E-2</v>
      </c>
      <c r="D13" s="69"/>
      <c r="E13" s="72">
        <v>0</v>
      </c>
      <c r="F13" s="69"/>
      <c r="G13" s="69"/>
      <c r="H13" s="69"/>
    </row>
    <row r="14" spans="1:12" x14ac:dyDescent="0.2">
      <c r="A14" s="69" t="s">
        <v>224</v>
      </c>
      <c r="B14" s="69"/>
      <c r="C14" s="72">
        <f>0.0022+0.0072</f>
        <v>9.4000000000000004E-3</v>
      </c>
      <c r="D14" s="69"/>
      <c r="E14" s="72">
        <v>0</v>
      </c>
      <c r="F14" s="69"/>
      <c r="G14" s="69"/>
      <c r="H14" s="69"/>
    </row>
    <row r="15" spans="1:12" x14ac:dyDescent="0.2">
      <c r="A15" s="69" t="s">
        <v>225</v>
      </c>
      <c r="B15" s="69"/>
      <c r="C15" s="73">
        <v>1.11E-2</v>
      </c>
      <c r="D15" s="69"/>
      <c r="E15" s="73">
        <v>0</v>
      </c>
      <c r="F15" s="69"/>
      <c r="G15" s="69"/>
      <c r="H15" s="69"/>
    </row>
    <row r="16" spans="1:12" x14ac:dyDescent="0.2">
      <c r="A16" s="69" t="s">
        <v>230</v>
      </c>
      <c r="B16" s="69"/>
      <c r="C16" s="74">
        <f>ROUND((+C11+C12)/(1-C15)-(C11+C12)+C13+C14,4)</f>
        <v>5.3800000000000001E-2</v>
      </c>
      <c r="D16" s="69"/>
      <c r="E16" s="74">
        <f>ROUND((+E11+E12)/(1-E15)-(E11+E12)+E13+E14,4)</f>
        <v>0</v>
      </c>
      <c r="F16" s="69"/>
      <c r="G16" s="69"/>
      <c r="H16" s="69"/>
    </row>
    <row r="17" spans="1:8" ht="12.75" thickBot="1" x14ac:dyDescent="0.25">
      <c r="A17" s="69"/>
      <c r="B17" s="69"/>
      <c r="C17" s="77">
        <f>SUM(C16,C11:C12)</f>
        <v>3.0137999999999998</v>
      </c>
      <c r="D17" s="69"/>
      <c r="E17" s="77">
        <f>SUM(E16,E11:E12)</f>
        <v>3.1500000000000004</v>
      </c>
      <c r="F17" s="69"/>
      <c r="G17" s="69"/>
      <c r="H17" s="69"/>
    </row>
    <row r="18" spans="1:8" ht="12.75" thickTop="1" x14ac:dyDescent="0.2">
      <c r="A18" s="69"/>
      <c r="B18" s="69"/>
      <c r="C18" s="69"/>
      <c r="D18" s="69"/>
      <c r="E18" s="69"/>
      <c r="F18" s="69"/>
      <c r="G18" s="69"/>
      <c r="H18" s="69"/>
    </row>
    <row r="19" spans="1:8" x14ac:dyDescent="0.2">
      <c r="A19" s="69" t="s">
        <v>425</v>
      </c>
      <c r="B19" s="69" t="s">
        <v>440</v>
      </c>
      <c r="C19" s="69"/>
      <c r="D19" s="69"/>
      <c r="E19" s="69"/>
      <c r="F19" s="69"/>
      <c r="G19" s="69"/>
      <c r="H19" s="69"/>
    </row>
    <row r="20" spans="1:8" x14ac:dyDescent="0.2">
      <c r="A20" s="69"/>
      <c r="B20" s="69" t="s">
        <v>442</v>
      </c>
      <c r="C20" s="69"/>
      <c r="D20" s="69"/>
      <c r="E20" s="69"/>
      <c r="F20" s="69"/>
      <c r="G20" s="69"/>
      <c r="H20" s="69"/>
    </row>
    <row r="21" spans="1:8" x14ac:dyDescent="0.2">
      <c r="A21" s="69"/>
      <c r="B21" s="69" t="s">
        <v>441</v>
      </c>
      <c r="C21" s="69"/>
      <c r="D21" s="69"/>
      <c r="E21" s="69"/>
      <c r="F21" s="69"/>
      <c r="G21" s="69"/>
      <c r="H21" s="69"/>
    </row>
    <row r="25" spans="1:8" x14ac:dyDescent="0.2">
      <c r="A25" s="78" t="s">
        <v>232</v>
      </c>
      <c r="C25" s="68" t="s">
        <v>57</v>
      </c>
      <c r="E25" s="68" t="s">
        <v>443</v>
      </c>
    </row>
    <row r="26" spans="1:8" x14ac:dyDescent="0.2">
      <c r="A26" s="68" t="s">
        <v>222</v>
      </c>
      <c r="B26" s="68" t="s">
        <v>232</v>
      </c>
      <c r="C26" s="72">
        <v>2.73</v>
      </c>
      <c r="E26" s="72">
        <v>2.73</v>
      </c>
    </row>
    <row r="27" spans="1:8" x14ac:dyDescent="0.2">
      <c r="A27" s="68" t="s">
        <v>231</v>
      </c>
      <c r="C27" s="72">
        <v>7.4999999999999997E-3</v>
      </c>
      <c r="E27" s="72">
        <v>7.4999999999999997E-3</v>
      </c>
    </row>
    <row r="28" spans="1:8" x14ac:dyDescent="0.2">
      <c r="A28" s="68" t="s">
        <v>223</v>
      </c>
      <c r="C28" s="72">
        <v>1.32E-2</v>
      </c>
      <c r="E28" s="72">
        <v>1.32E-2</v>
      </c>
    </row>
    <row r="29" spans="1:8" x14ac:dyDescent="0.2">
      <c r="A29" s="68" t="s">
        <v>224</v>
      </c>
      <c r="C29" s="72">
        <f>0.0022+0.0072</f>
        <v>9.4000000000000004E-3</v>
      </c>
      <c r="E29" s="72">
        <f>0.0022+0.0072</f>
        <v>9.4000000000000004E-3</v>
      </c>
    </row>
    <row r="30" spans="1:8" x14ac:dyDescent="0.2">
      <c r="A30" s="68" t="s">
        <v>225</v>
      </c>
      <c r="C30" s="150">
        <v>2.1160000000000002E-2</v>
      </c>
      <c r="E30" s="150">
        <v>2.1160000000000002E-2</v>
      </c>
    </row>
    <row r="31" spans="1:8" x14ac:dyDescent="0.2">
      <c r="A31" s="68" t="s">
        <v>226</v>
      </c>
      <c r="C31" s="74">
        <f>ROUND((+C26+C27)/(1-C30)-(C26+C27)+C28+C29,4)</f>
        <v>8.1799999999999998E-2</v>
      </c>
      <c r="E31" s="74">
        <f>ROUND((+E26+E27)/(1-E30)-(E26+E27)+E28+E29,4)</f>
        <v>8.1799999999999998E-2</v>
      </c>
    </row>
    <row r="32" spans="1:8" x14ac:dyDescent="0.2">
      <c r="A32" s="68" t="s">
        <v>0</v>
      </c>
      <c r="C32" s="151">
        <v>0</v>
      </c>
      <c r="E32" s="151">
        <v>0.1</v>
      </c>
    </row>
    <row r="33" spans="1:8" ht="12.75" thickBot="1" x14ac:dyDescent="0.25">
      <c r="C33" s="77">
        <f>SUM(C31,C26:C27)</f>
        <v>2.8192999999999997</v>
      </c>
      <c r="E33" s="77">
        <f>SUM(E26:E27,E31,E32)</f>
        <v>2.9192999999999998</v>
      </c>
    </row>
    <row r="34" spans="1:8" ht="12.75" thickTop="1" x14ac:dyDescent="0.2"/>
    <row r="35" spans="1:8" x14ac:dyDescent="0.2">
      <c r="C35" s="134"/>
      <c r="E35" s="134"/>
    </row>
    <row r="36" spans="1:8" x14ac:dyDescent="0.2">
      <c r="C36" s="135"/>
      <c r="E36" s="135"/>
    </row>
    <row r="37" spans="1:8" x14ac:dyDescent="0.2">
      <c r="C37" s="76"/>
    </row>
    <row r="44" spans="1:8" x14ac:dyDescent="0.2">
      <c r="A44" s="71" t="s">
        <v>26</v>
      </c>
      <c r="B44" s="69"/>
      <c r="C44" s="69" t="s">
        <v>396</v>
      </c>
      <c r="D44" s="69"/>
      <c r="E44" s="69" t="s">
        <v>397</v>
      </c>
      <c r="F44" s="69"/>
      <c r="G44" s="69" t="s">
        <v>398</v>
      </c>
      <c r="H44" s="69"/>
    </row>
    <row r="45" spans="1:8" x14ac:dyDescent="0.2">
      <c r="A45" s="69" t="s">
        <v>222</v>
      </c>
      <c r="B45" s="69" t="s">
        <v>26</v>
      </c>
      <c r="C45" s="72">
        <v>2.79</v>
      </c>
      <c r="D45" s="69"/>
      <c r="E45" s="72">
        <v>2.79</v>
      </c>
      <c r="F45" s="69"/>
      <c r="G45" s="72">
        <v>2.79</v>
      </c>
      <c r="H45" s="69"/>
    </row>
    <row r="46" spans="1:8" x14ac:dyDescent="0.2">
      <c r="A46" s="69" t="s">
        <v>231</v>
      </c>
      <c r="B46" s="69"/>
      <c r="C46" s="72">
        <v>1.4999999999999999E-2</v>
      </c>
      <c r="D46" s="69"/>
      <c r="E46" s="72">
        <v>7.4999999999999997E-2</v>
      </c>
      <c r="F46" s="69"/>
      <c r="G46" s="72">
        <v>1.4999999999999999E-2</v>
      </c>
      <c r="H46" s="69"/>
    </row>
    <row r="47" spans="1:8" x14ac:dyDescent="0.2">
      <c r="A47" s="69" t="s">
        <v>223</v>
      </c>
      <c r="B47" s="69"/>
      <c r="C47" s="72">
        <v>3.95E-2</v>
      </c>
      <c r="D47" s="69"/>
      <c r="E47" s="72">
        <v>3.95E-2</v>
      </c>
      <c r="F47" s="69"/>
      <c r="G47" s="72">
        <v>3.95E-2</v>
      </c>
      <c r="H47" s="69"/>
    </row>
    <row r="48" spans="1:8" x14ac:dyDescent="0.2">
      <c r="A48" s="69" t="s">
        <v>224</v>
      </c>
      <c r="B48" s="69"/>
      <c r="C48" s="72">
        <f>0.0022</f>
        <v>2.2000000000000001E-3</v>
      </c>
      <c r="D48" s="69"/>
      <c r="E48" s="72">
        <f>0.0022</f>
        <v>2.2000000000000001E-3</v>
      </c>
      <c r="F48" s="69"/>
      <c r="G48" s="72">
        <f>0.0022</f>
        <v>2.2000000000000001E-3</v>
      </c>
      <c r="H48" s="69"/>
    </row>
    <row r="49" spans="1:8" x14ac:dyDescent="0.2">
      <c r="A49" s="69" t="s">
        <v>225</v>
      </c>
      <c r="B49" s="69"/>
      <c r="C49" s="73">
        <v>2.2800000000000001E-2</v>
      </c>
      <c r="D49" s="69"/>
      <c r="E49" s="73">
        <v>2.2800000000000001E-2</v>
      </c>
      <c r="F49" s="69"/>
      <c r="G49" s="73">
        <v>2.2800000000000001E-2</v>
      </c>
      <c r="H49" s="69"/>
    </row>
    <row r="50" spans="1:8" x14ac:dyDescent="0.2">
      <c r="A50" s="69" t="s">
        <v>226</v>
      </c>
      <c r="B50" s="69"/>
      <c r="C50" s="74">
        <f>ROUND((+C45+C46)/(1-C49)-(C45+C46)+C47+C48,4)</f>
        <v>0.1071</v>
      </c>
      <c r="D50" s="69"/>
      <c r="E50" s="74">
        <f>ROUND((+E45+E46)/(1-E49)-(E45+E46)+E47+E48,4)</f>
        <v>0.1085</v>
      </c>
      <c r="F50" s="136"/>
      <c r="G50" s="74">
        <f>ROUND((+G45+G46)/(1-G49)-(G45+G46)+G47+G48,4)</f>
        <v>0.1071</v>
      </c>
      <c r="H50" s="69"/>
    </row>
    <row r="51" spans="1:8" x14ac:dyDescent="0.2">
      <c r="A51" s="69" t="s">
        <v>0</v>
      </c>
      <c r="B51" s="69"/>
      <c r="C51" s="74">
        <v>0</v>
      </c>
      <c r="D51" s="69"/>
      <c r="E51" s="74">
        <v>0.1</v>
      </c>
      <c r="F51" s="136"/>
      <c r="G51" s="74">
        <v>0.1</v>
      </c>
      <c r="H51" s="69"/>
    </row>
    <row r="52" spans="1:8" ht="12.75" thickBot="1" x14ac:dyDescent="0.25">
      <c r="A52" s="69" t="s">
        <v>228</v>
      </c>
      <c r="B52" s="69"/>
      <c r="C52" s="144">
        <f>SUM(C50,C45:C46,C51)</f>
        <v>2.9121000000000001</v>
      </c>
      <c r="D52" s="69"/>
      <c r="E52" s="144">
        <f>SUM(E50,E45:E46,E51)</f>
        <v>3.0735000000000001</v>
      </c>
      <c r="F52" s="136"/>
      <c r="G52" s="144">
        <f>SUM(G50,G45:G46,G51)</f>
        <v>3.0121000000000002</v>
      </c>
      <c r="H52" s="69"/>
    </row>
    <row r="53" spans="1:8" ht="12.75" thickTop="1" x14ac:dyDescent="0.2">
      <c r="A53" s="69" t="s">
        <v>399</v>
      </c>
      <c r="B53" s="69"/>
      <c r="C53" s="145">
        <f>1167*31</f>
        <v>36177</v>
      </c>
      <c r="D53" s="69"/>
      <c r="E53" s="145">
        <f>127249-C53</f>
        <v>91072</v>
      </c>
      <c r="F53" s="136"/>
      <c r="G53" s="145">
        <v>268668</v>
      </c>
      <c r="H53" s="69"/>
    </row>
    <row r="54" spans="1:8" x14ac:dyDescent="0.2">
      <c r="A54" s="69" t="s">
        <v>426</v>
      </c>
      <c r="B54" s="69"/>
      <c r="C54" s="137"/>
      <c r="D54" s="69"/>
      <c r="E54" s="136"/>
      <c r="F54" s="136"/>
      <c r="G54" s="136"/>
      <c r="H54" s="69"/>
    </row>
    <row r="55" spans="1:8" x14ac:dyDescent="0.2">
      <c r="C55" s="80"/>
    </row>
    <row r="56" spans="1:8" s="69" customFormat="1" x14ac:dyDescent="0.2">
      <c r="A56" s="69" t="s">
        <v>400</v>
      </c>
      <c r="C56" s="137"/>
    </row>
    <row r="57" spans="1:8" s="69" customFormat="1" x14ac:dyDescent="0.2">
      <c r="A57" s="69" t="s">
        <v>401</v>
      </c>
      <c r="C57" s="137"/>
    </row>
    <row r="58" spans="1:8" x14ac:dyDescent="0.2">
      <c r="C58" s="80"/>
    </row>
    <row r="59" spans="1:8" x14ac:dyDescent="0.2">
      <c r="A59" s="69" t="s">
        <v>427</v>
      </c>
      <c r="B59" s="69"/>
      <c r="C59" s="137"/>
      <c r="D59" s="69"/>
      <c r="E59" s="69"/>
    </row>
    <row r="60" spans="1:8" x14ac:dyDescent="0.2">
      <c r="A60" s="69" t="s">
        <v>428</v>
      </c>
      <c r="B60" s="69" t="s">
        <v>429</v>
      </c>
      <c r="C60" s="137"/>
      <c r="D60" s="69"/>
      <c r="E60" s="69"/>
    </row>
    <row r="61" spans="1:8" x14ac:dyDescent="0.2">
      <c r="A61" s="69">
        <v>145898</v>
      </c>
      <c r="B61" s="69" t="s">
        <v>430</v>
      </c>
      <c r="C61" s="137"/>
      <c r="D61" s="69"/>
      <c r="E61" s="69"/>
    </row>
    <row r="62" spans="1:8" x14ac:dyDescent="0.2">
      <c r="C62" s="80"/>
    </row>
    <row r="63" spans="1:8" x14ac:dyDescent="0.2">
      <c r="C63" s="80"/>
    </row>
    <row r="64" spans="1:8" x14ac:dyDescent="0.2">
      <c r="C64" s="80"/>
    </row>
    <row r="65" spans="1:9" x14ac:dyDescent="0.2">
      <c r="C65" s="80"/>
    </row>
    <row r="66" spans="1:9" x14ac:dyDescent="0.2">
      <c r="A66" s="78" t="s">
        <v>402</v>
      </c>
      <c r="C66" s="141" t="s">
        <v>403</v>
      </c>
      <c r="E66" s="141" t="s">
        <v>404</v>
      </c>
    </row>
    <row r="67" spans="1:9" x14ac:dyDescent="0.2">
      <c r="A67" s="68" t="s">
        <v>222</v>
      </c>
      <c r="B67" s="68" t="s">
        <v>405</v>
      </c>
      <c r="C67" s="72">
        <v>2.56</v>
      </c>
      <c r="E67" s="72">
        <f>+C73</f>
        <v>2.6793999999999998</v>
      </c>
    </row>
    <row r="68" spans="1:9" x14ac:dyDescent="0.2">
      <c r="A68" s="68" t="s">
        <v>231</v>
      </c>
      <c r="C68" s="72">
        <v>0.01</v>
      </c>
      <c r="E68" s="72">
        <v>0</v>
      </c>
    </row>
    <row r="69" spans="1:9" x14ac:dyDescent="0.2">
      <c r="A69" s="68" t="s">
        <v>223</v>
      </c>
      <c r="C69" s="72">
        <v>5.7200000000000001E-2</v>
      </c>
      <c r="E69" s="72">
        <v>1.1000000000000001E-3</v>
      </c>
    </row>
    <row r="70" spans="1:9" x14ac:dyDescent="0.2">
      <c r="A70" s="68" t="s">
        <v>224</v>
      </c>
      <c r="C70" s="72">
        <f>0.0022</f>
        <v>2.2000000000000001E-3</v>
      </c>
      <c r="E70" s="72">
        <f>0.0022+0.0072</f>
        <v>9.4000000000000004E-3</v>
      </c>
      <c r="F70" s="69" t="s">
        <v>406</v>
      </c>
      <c r="G70" s="69"/>
      <c r="H70" s="69"/>
      <c r="I70" s="69"/>
    </row>
    <row r="71" spans="1:9" x14ac:dyDescent="0.2">
      <c r="A71" s="68" t="s">
        <v>225</v>
      </c>
      <c r="C71" s="73">
        <v>1.9099999999999999E-2</v>
      </c>
      <c r="E71" s="73">
        <v>2.1999999999999999E-2</v>
      </c>
    </row>
    <row r="72" spans="1:9" x14ac:dyDescent="0.2">
      <c r="A72" s="68" t="s">
        <v>226</v>
      </c>
      <c r="C72" s="74">
        <f>ROUND((+C67+C68)/(1-C71)-(C67+C68)+C69+C70,4)</f>
        <v>0.1094</v>
      </c>
      <c r="E72" s="74">
        <f>ROUND((+E67+E68)/(1-E71)-(E67+E68)+E69+E70,4)</f>
        <v>7.0800000000000002E-2</v>
      </c>
    </row>
    <row r="73" spans="1:9" ht="12.75" thickBot="1" x14ac:dyDescent="0.25">
      <c r="A73" s="68" t="s">
        <v>228</v>
      </c>
      <c r="C73" s="77">
        <f>SUM(C72,C67:C68)</f>
        <v>2.6793999999999998</v>
      </c>
      <c r="E73" s="77">
        <f>SUM(E72,E67:E68)</f>
        <v>2.7502</v>
      </c>
      <c r="F73" s="69" t="s">
        <v>447</v>
      </c>
    </row>
    <row r="74" spans="1:9" ht="12.75" thickTop="1" x14ac:dyDescent="0.2"/>
    <row r="78" spans="1:9" x14ac:dyDescent="0.2">
      <c r="A78" s="71" t="s">
        <v>407</v>
      </c>
      <c r="B78" s="69"/>
      <c r="C78" s="152" t="s">
        <v>57</v>
      </c>
      <c r="D78" s="69"/>
      <c r="E78" s="152" t="s">
        <v>408</v>
      </c>
      <c r="F78" s="69"/>
      <c r="G78" s="69"/>
    </row>
    <row r="79" spans="1:9" x14ac:dyDescent="0.2">
      <c r="A79" s="69" t="s">
        <v>222</v>
      </c>
      <c r="B79" s="69" t="s">
        <v>26</v>
      </c>
      <c r="C79" s="72">
        <v>2.79</v>
      </c>
      <c r="D79" s="69"/>
      <c r="E79" s="72">
        <v>2.79</v>
      </c>
      <c r="F79" s="69"/>
      <c r="G79" s="69"/>
    </row>
    <row r="80" spans="1:9" x14ac:dyDescent="0.2">
      <c r="A80" s="69" t="s">
        <v>231</v>
      </c>
      <c r="B80" s="69"/>
      <c r="C80" s="72">
        <v>6.5000000000000002E-2</v>
      </c>
      <c r="D80" s="69"/>
      <c r="E80" s="72">
        <v>6.5000000000000002E-2</v>
      </c>
      <c r="F80" s="69"/>
      <c r="G80" s="69"/>
    </row>
    <row r="81" spans="1:7" x14ac:dyDescent="0.2">
      <c r="A81" s="69" t="s">
        <v>223</v>
      </c>
      <c r="B81" s="69"/>
      <c r="C81" s="72">
        <v>9.1999999999999998E-3</v>
      </c>
      <c r="D81" s="69"/>
      <c r="E81" s="72">
        <f>0.1953+0.0174</f>
        <v>0.2127</v>
      </c>
      <c r="F81" s="69"/>
      <c r="G81" s="69"/>
    </row>
    <row r="82" spans="1:7" x14ac:dyDescent="0.2">
      <c r="A82" s="69" t="s">
        <v>224</v>
      </c>
      <c r="B82" s="69"/>
      <c r="C82" s="72">
        <f>0.0022+0.0072</f>
        <v>9.4000000000000004E-3</v>
      </c>
      <c r="D82" s="69"/>
      <c r="E82" s="72">
        <f>0.0022+0.0072</f>
        <v>9.4000000000000004E-3</v>
      </c>
      <c r="F82" s="69"/>
      <c r="G82" s="69"/>
    </row>
    <row r="83" spans="1:7" x14ac:dyDescent="0.2">
      <c r="A83" s="69" t="s">
        <v>225</v>
      </c>
      <c r="B83" s="69"/>
      <c r="C83" s="73">
        <v>0.03</v>
      </c>
      <c r="D83" s="69"/>
      <c r="E83" s="73">
        <v>0.03</v>
      </c>
      <c r="F83" s="69"/>
      <c r="G83" s="69"/>
    </row>
    <row r="84" spans="1:7" x14ac:dyDescent="0.2">
      <c r="A84" s="69" t="s">
        <v>226</v>
      </c>
      <c r="B84" s="69"/>
      <c r="C84" s="74">
        <f>ROUND((+C79+C80)/(1-C83)-(C79+C80)+C81+C82,4)</f>
        <v>0.1069</v>
      </c>
      <c r="D84" s="69"/>
      <c r="E84" s="74">
        <f>ROUND((+E79+E80)/(1-E83)-(E79+E80)+E81+E82,4)</f>
        <v>0.31040000000000001</v>
      </c>
      <c r="F84" s="69"/>
      <c r="G84" s="69"/>
    </row>
    <row r="85" spans="1:7" ht="12.75" thickBot="1" x14ac:dyDescent="0.25">
      <c r="A85" s="69" t="s">
        <v>228</v>
      </c>
      <c r="B85" s="69"/>
      <c r="C85" s="77">
        <f>SUM(C84,C79:C80)</f>
        <v>2.9619</v>
      </c>
      <c r="D85" s="69"/>
      <c r="E85" s="77">
        <f>SUM(E84,E79:E80)</f>
        <v>3.1654</v>
      </c>
      <c r="F85" s="69"/>
      <c r="G85" s="69"/>
    </row>
    <row r="86" spans="1:7" ht="12.75" thickTop="1" x14ac:dyDescent="0.2">
      <c r="A86" s="69"/>
      <c r="B86" s="69"/>
      <c r="C86" s="69"/>
      <c r="D86" s="69"/>
      <c r="E86" s="69"/>
      <c r="F86" s="69"/>
      <c r="G86" s="69"/>
    </row>
    <row r="87" spans="1:7" x14ac:dyDescent="0.2">
      <c r="A87" s="69" t="s">
        <v>444</v>
      </c>
      <c r="B87" s="69"/>
      <c r="C87" s="69"/>
      <c r="D87" s="69"/>
      <c r="E87" s="69"/>
      <c r="F87" s="69"/>
      <c r="G87" s="69"/>
    </row>
    <row r="90" spans="1:7" x14ac:dyDescent="0.2">
      <c r="A90" s="71" t="s">
        <v>409</v>
      </c>
      <c r="B90" s="69"/>
      <c r="C90" s="69"/>
      <c r="D90" s="69"/>
      <c r="E90" s="69"/>
      <c r="F90" s="69"/>
      <c r="G90" s="69"/>
    </row>
    <row r="91" spans="1:7" x14ac:dyDescent="0.2">
      <c r="A91" s="69" t="s">
        <v>222</v>
      </c>
      <c r="B91" s="69" t="s">
        <v>214</v>
      </c>
      <c r="C91" s="72">
        <v>2.56</v>
      </c>
      <c r="D91" s="69"/>
      <c r="E91" s="69"/>
      <c r="F91" s="69"/>
      <c r="G91" s="69"/>
    </row>
    <row r="92" spans="1:7" x14ac:dyDescent="0.2">
      <c r="A92" s="69" t="s">
        <v>231</v>
      </c>
      <c r="B92" s="69"/>
      <c r="C92" s="72">
        <v>0.01</v>
      </c>
      <c r="D92" s="69"/>
      <c r="E92" s="69"/>
      <c r="F92" s="69"/>
      <c r="G92" s="69"/>
    </row>
    <row r="93" spans="1:7" x14ac:dyDescent="0.2">
      <c r="A93" s="69" t="s">
        <v>223</v>
      </c>
      <c r="B93" s="69"/>
      <c r="C93" s="72">
        <v>0.11260000000000001</v>
      </c>
      <c r="D93" s="69"/>
      <c r="E93" s="69"/>
      <c r="F93" s="69"/>
      <c r="G93" s="69"/>
    </row>
    <row r="94" spans="1:7" x14ac:dyDescent="0.2">
      <c r="A94" s="69" t="s">
        <v>224</v>
      </c>
      <c r="B94" s="69"/>
      <c r="C94" s="72">
        <f>0.0022+0.0072</f>
        <v>9.4000000000000004E-3</v>
      </c>
      <c r="D94" s="69"/>
      <c r="E94" s="69"/>
      <c r="F94" s="69"/>
      <c r="G94" s="69"/>
    </row>
    <row r="95" spans="1:7" x14ac:dyDescent="0.2">
      <c r="A95" s="69" t="s">
        <v>225</v>
      </c>
      <c r="B95" s="69"/>
      <c r="C95" s="73">
        <v>6.9900000000000004E-2</v>
      </c>
      <c r="D95" s="69"/>
      <c r="E95" s="69"/>
      <c r="F95" s="69"/>
      <c r="G95" s="69"/>
    </row>
    <row r="96" spans="1:7" x14ac:dyDescent="0.2">
      <c r="A96" s="69" t="s">
        <v>226</v>
      </c>
      <c r="B96" s="69"/>
      <c r="C96" s="74">
        <f>ROUND((+C91+C92)/(1-C95)-(C91+C92)+C93+C94,4)</f>
        <v>0.31509999999999999</v>
      </c>
      <c r="D96" s="69"/>
      <c r="E96" s="69"/>
      <c r="F96" s="69"/>
      <c r="G96" s="69"/>
    </row>
    <row r="97" spans="1:10" ht="12.75" thickBot="1" x14ac:dyDescent="0.25">
      <c r="A97" s="69"/>
      <c r="B97" s="69"/>
      <c r="C97" s="77">
        <f>SUM(C96,C91:C92)</f>
        <v>2.8851</v>
      </c>
      <c r="D97" s="69" t="s">
        <v>448</v>
      </c>
      <c r="E97" s="69"/>
      <c r="F97" s="69"/>
      <c r="G97" s="69"/>
    </row>
    <row r="98" spans="1:10" ht="12.75" thickTop="1" x14ac:dyDescent="0.2">
      <c r="A98" s="69"/>
      <c r="B98" s="69"/>
      <c r="C98" s="69"/>
      <c r="D98" s="69"/>
      <c r="E98" s="69"/>
      <c r="F98" s="69"/>
      <c r="G98" s="69"/>
    </row>
    <row r="100" spans="1:10" x14ac:dyDescent="0.2">
      <c r="A100" s="71" t="s">
        <v>410</v>
      </c>
      <c r="B100" s="69"/>
      <c r="C100" s="69"/>
      <c r="D100" s="69"/>
      <c r="E100" s="69"/>
      <c r="F100" s="69"/>
      <c r="G100" s="69"/>
      <c r="H100" s="69"/>
      <c r="I100" s="69"/>
      <c r="J100" s="69"/>
    </row>
    <row r="101" spans="1:10" x14ac:dyDescent="0.2">
      <c r="A101" s="69" t="s">
        <v>222</v>
      </c>
      <c r="B101" s="69" t="s">
        <v>411</v>
      </c>
      <c r="C101" s="72">
        <v>2.56</v>
      </c>
      <c r="D101" s="69"/>
      <c r="E101" s="69"/>
      <c r="F101" s="69"/>
      <c r="G101" s="69"/>
      <c r="H101" s="69"/>
      <c r="I101" s="69"/>
      <c r="J101" s="69"/>
    </row>
    <row r="102" spans="1:10" x14ac:dyDescent="0.2">
      <c r="A102" s="69" t="s">
        <v>231</v>
      </c>
      <c r="B102" s="69"/>
      <c r="C102" s="72">
        <v>0.01</v>
      </c>
      <c r="D102" s="69"/>
      <c r="E102" s="69"/>
      <c r="F102" s="69"/>
      <c r="G102" s="69"/>
      <c r="H102" s="69"/>
      <c r="I102" s="69"/>
      <c r="J102" s="69"/>
    </row>
    <row r="103" spans="1:10" x14ac:dyDescent="0.2">
      <c r="A103" s="69" t="s">
        <v>223</v>
      </c>
      <c r="B103" s="69"/>
      <c r="C103" s="72">
        <v>9.9400000000000002E-2</v>
      </c>
      <c r="D103" s="69"/>
      <c r="E103" s="69"/>
      <c r="F103" s="69"/>
      <c r="G103" s="69"/>
      <c r="H103" s="69"/>
      <c r="I103" s="69"/>
      <c r="J103" s="69"/>
    </row>
    <row r="104" spans="1:10" x14ac:dyDescent="0.2">
      <c r="A104" s="69" t="s">
        <v>224</v>
      </c>
      <c r="B104" s="69"/>
      <c r="C104" s="72">
        <f>0.0022+0.0072</f>
        <v>9.4000000000000004E-3</v>
      </c>
      <c r="D104" s="69"/>
      <c r="E104" s="69"/>
      <c r="F104" s="69"/>
      <c r="G104" s="69"/>
      <c r="H104" s="69"/>
      <c r="I104" s="69"/>
      <c r="J104" s="69"/>
    </row>
    <row r="105" spans="1:10" x14ac:dyDescent="0.2">
      <c r="A105" s="69" t="s">
        <v>225</v>
      </c>
      <c r="B105" s="69"/>
      <c r="C105" s="73">
        <v>9.2399999999999996E-2</v>
      </c>
      <c r="D105" s="69"/>
      <c r="E105" s="69"/>
      <c r="F105" s="69"/>
      <c r="G105" s="69"/>
      <c r="H105" s="69"/>
      <c r="I105" s="69"/>
      <c r="J105" s="69"/>
    </row>
    <row r="106" spans="1:10" x14ac:dyDescent="0.2">
      <c r="A106" s="69" t="s">
        <v>226</v>
      </c>
      <c r="B106" s="69"/>
      <c r="C106" s="74">
        <f>ROUND((+C101+C102)/(1-C105)-(C101+C102)+C103+C104,4)</f>
        <v>0.37040000000000001</v>
      </c>
      <c r="D106" s="69" t="s">
        <v>446</v>
      </c>
      <c r="E106" s="69"/>
      <c r="F106" s="69"/>
      <c r="G106" s="69"/>
      <c r="H106" s="69"/>
      <c r="I106" s="69"/>
      <c r="J106" s="69"/>
    </row>
    <row r="107" spans="1:10" ht="12.75" thickBot="1" x14ac:dyDescent="0.25">
      <c r="A107" s="69"/>
      <c r="B107" s="69"/>
      <c r="C107" s="77">
        <f>SUM(C106,C101:C102)</f>
        <v>2.9403999999999999</v>
      </c>
      <c r="D107" s="69" t="s">
        <v>412</v>
      </c>
      <c r="E107" s="69"/>
      <c r="F107" s="69"/>
      <c r="G107" s="69"/>
      <c r="H107" s="69"/>
      <c r="I107" s="69"/>
      <c r="J107" s="69"/>
    </row>
    <row r="108" spans="1:10" ht="12.75" thickTop="1" x14ac:dyDescent="0.2">
      <c r="A108" s="69"/>
      <c r="B108" s="69"/>
      <c r="C108" s="69"/>
      <c r="D108" s="69" t="s">
        <v>449</v>
      </c>
      <c r="E108" s="69"/>
      <c r="F108" s="69"/>
      <c r="G108" s="69"/>
      <c r="H108" s="69"/>
      <c r="I108" s="69"/>
      <c r="J108" s="69"/>
    </row>
    <row r="109" spans="1:10" x14ac:dyDescent="0.2">
      <c r="A109" s="69"/>
      <c r="B109" s="69"/>
      <c r="C109" s="69"/>
      <c r="D109" s="69" t="s">
        <v>450</v>
      </c>
      <c r="E109" s="69"/>
      <c r="F109" s="69"/>
      <c r="G109" s="69"/>
      <c r="H109" s="69"/>
      <c r="I109" s="69"/>
      <c r="J109" s="69"/>
    </row>
    <row r="110" spans="1:10" x14ac:dyDescent="0.2">
      <c r="A110" s="69"/>
      <c r="B110" s="69"/>
      <c r="C110" s="69"/>
      <c r="D110" s="69"/>
      <c r="E110" s="69"/>
      <c r="F110" s="69"/>
      <c r="G110" s="69"/>
      <c r="H110" s="69"/>
      <c r="I110" s="69"/>
      <c r="J110" s="69"/>
    </row>
    <row r="111" spans="1:10" x14ac:dyDescent="0.2">
      <c r="A111" s="69" t="s">
        <v>445</v>
      </c>
      <c r="B111" s="69"/>
      <c r="C111" s="69"/>
      <c r="D111" s="69"/>
      <c r="E111" s="69"/>
      <c r="F111" s="69"/>
      <c r="G111" s="69"/>
      <c r="H111" s="69"/>
      <c r="I111" s="69"/>
      <c r="J111" s="69"/>
    </row>
    <row r="112" spans="1:10" x14ac:dyDescent="0.2">
      <c r="A112" s="69"/>
      <c r="B112" s="69"/>
      <c r="C112" s="69"/>
      <c r="D112" s="69"/>
      <c r="E112" s="69"/>
      <c r="F112" s="69"/>
      <c r="G112" s="69"/>
      <c r="H112" s="69"/>
      <c r="I112" s="69"/>
      <c r="J112" s="69"/>
    </row>
    <row r="118" spans="1:14" ht="11.25" customHeight="1" x14ac:dyDescent="0.2"/>
    <row r="119" spans="1:14" ht="12.75" x14ac:dyDescent="0.2">
      <c r="A119" s="153" t="s">
        <v>1</v>
      </c>
      <c r="B119" s="69"/>
      <c r="C119" s="69"/>
      <c r="D119" s="69"/>
      <c r="E119" s="69"/>
      <c r="G119" s="25"/>
      <c r="H119" s="25"/>
    </row>
    <row r="120" spans="1:14" ht="12.75" x14ac:dyDescent="0.2">
      <c r="A120" s="69"/>
      <c r="B120" s="69"/>
      <c r="C120" s="69"/>
      <c r="D120" s="154"/>
      <c r="E120" s="69"/>
      <c r="F120" s="138"/>
      <c r="G120" s="25"/>
    </row>
    <row r="121" spans="1:14" x14ac:dyDescent="0.2">
      <c r="A121" s="69" t="s">
        <v>221</v>
      </c>
      <c r="B121" s="69"/>
      <c r="C121" s="69"/>
      <c r="D121" s="69"/>
      <c r="E121" s="136"/>
      <c r="F121" s="79"/>
      <c r="G121" s="79"/>
      <c r="H121" s="79"/>
      <c r="I121" s="79"/>
      <c r="J121" s="79"/>
      <c r="K121" s="79"/>
      <c r="L121" s="79"/>
    </row>
    <row r="122" spans="1:14" ht="12.75" x14ac:dyDescent="0.2">
      <c r="A122" s="69" t="s">
        <v>222</v>
      </c>
      <c r="B122" s="69" t="s">
        <v>175</v>
      </c>
      <c r="C122" s="72">
        <v>2.61</v>
      </c>
      <c r="D122" s="69"/>
      <c r="E122" s="136"/>
      <c r="F122" s="79"/>
      <c r="G122" s="80"/>
      <c r="H122" s="79"/>
      <c r="I122" s="79"/>
      <c r="J122" s="79"/>
      <c r="K122" s="80"/>
      <c r="L122" s="34"/>
    </row>
    <row r="123" spans="1:14" ht="12.75" x14ac:dyDescent="0.2">
      <c r="A123" s="69" t="s">
        <v>231</v>
      </c>
      <c r="B123" s="69"/>
      <c r="C123" s="72">
        <v>0.01</v>
      </c>
      <c r="D123" s="69"/>
      <c r="E123" s="136"/>
      <c r="F123" s="79"/>
      <c r="G123" s="80"/>
      <c r="H123" s="79"/>
      <c r="I123" s="79"/>
      <c r="J123" s="79"/>
      <c r="K123" s="80"/>
      <c r="L123" s="34"/>
    </row>
    <row r="124" spans="1:14" ht="12.75" x14ac:dyDescent="0.2">
      <c r="A124" s="69" t="s">
        <v>223</v>
      </c>
      <c r="B124" s="70"/>
      <c r="C124" s="72">
        <v>2.24E-2</v>
      </c>
      <c r="D124" s="69"/>
      <c r="E124" s="136"/>
      <c r="F124" s="34"/>
      <c r="G124" s="80"/>
      <c r="H124" s="79"/>
      <c r="I124" s="79"/>
      <c r="J124" s="34"/>
      <c r="K124" s="80"/>
      <c r="L124" s="34"/>
    </row>
    <row r="125" spans="1:14" ht="12.75" x14ac:dyDescent="0.2">
      <c r="A125" s="69" t="s">
        <v>224</v>
      </c>
      <c r="B125" s="70"/>
      <c r="C125" s="72">
        <f>0.0022+0.0072+0.0131</f>
        <v>2.2499999999999999E-2</v>
      </c>
      <c r="D125" s="69"/>
      <c r="E125" s="136"/>
      <c r="F125" s="34"/>
      <c r="G125" s="80"/>
      <c r="H125" s="79"/>
      <c r="I125" s="79"/>
      <c r="J125" s="34"/>
      <c r="K125" s="80"/>
      <c r="L125" s="34"/>
    </row>
    <row r="126" spans="1:14" ht="12.75" x14ac:dyDescent="0.2">
      <c r="A126" s="69" t="s">
        <v>225</v>
      </c>
      <c r="B126" s="148"/>
      <c r="C126" s="73">
        <v>4.7399999999999998E-2</v>
      </c>
      <c r="D126" s="69"/>
      <c r="E126" s="136"/>
      <c r="F126" s="139"/>
      <c r="G126" s="81"/>
      <c r="H126" s="79"/>
      <c r="I126" s="79"/>
      <c r="J126" s="139"/>
      <c r="K126" s="81"/>
      <c r="L126" s="34"/>
    </row>
    <row r="127" spans="1:14" ht="12.75" x14ac:dyDescent="0.2">
      <c r="A127" s="69" t="s">
        <v>226</v>
      </c>
      <c r="B127" s="69"/>
      <c r="C127" s="74">
        <f>ROUND((+C122+C123)/(1-C126)+(C124+C125),4)-C122-C123</f>
        <v>0.17530000000000023</v>
      </c>
      <c r="D127" s="69"/>
      <c r="E127" s="136"/>
      <c r="F127" s="79"/>
      <c r="G127" s="80"/>
      <c r="H127" s="79"/>
      <c r="I127" s="79"/>
      <c r="J127" s="79"/>
      <c r="K127" s="80"/>
      <c r="L127" s="34"/>
    </row>
    <row r="128" spans="1:14" ht="13.5" thickBot="1" x14ac:dyDescent="0.25">
      <c r="A128" s="69"/>
      <c r="B128" s="69"/>
      <c r="C128" s="77">
        <f>SUM(C127,C122:C123)</f>
        <v>2.7953000000000001</v>
      </c>
      <c r="D128" s="69" t="s">
        <v>453</v>
      </c>
      <c r="E128" s="136"/>
      <c r="F128" s="79"/>
      <c r="G128" s="79"/>
      <c r="H128" s="79"/>
      <c r="I128" s="79"/>
      <c r="J128" s="79"/>
      <c r="K128" s="79"/>
      <c r="L128" s="34"/>
      <c r="M128" s="75"/>
      <c r="N128" s="76"/>
    </row>
    <row r="129" spans="1:14" ht="13.5" thickTop="1" x14ac:dyDescent="0.2">
      <c r="A129" s="69"/>
      <c r="B129" s="70"/>
      <c r="C129" s="72"/>
      <c r="D129" s="69"/>
      <c r="E129" s="69"/>
      <c r="G129" s="75"/>
      <c r="H129" s="140"/>
    </row>
    <row r="130" spans="1:14" ht="12.75" x14ac:dyDescent="0.2">
      <c r="K130" s="25"/>
      <c r="L130" s="76"/>
    </row>
    <row r="132" spans="1:14" x14ac:dyDescent="0.2">
      <c r="A132" s="69" t="s">
        <v>413</v>
      </c>
      <c r="B132" s="69"/>
      <c r="C132" s="69"/>
      <c r="D132" s="69"/>
      <c r="E132" s="136"/>
      <c r="F132" s="79"/>
      <c r="G132" s="79"/>
      <c r="H132" s="79"/>
      <c r="I132" s="79"/>
      <c r="J132" s="79"/>
      <c r="K132" s="79"/>
      <c r="L132" s="79"/>
    </row>
    <row r="133" spans="1:14" ht="12.75" x14ac:dyDescent="0.2">
      <c r="A133" s="69" t="s">
        <v>222</v>
      </c>
      <c r="B133" s="69" t="s">
        <v>175</v>
      </c>
      <c r="C133" s="72">
        <v>2.61</v>
      </c>
      <c r="D133" s="69"/>
      <c r="E133" s="136"/>
      <c r="F133" s="79"/>
      <c r="G133" s="80"/>
      <c r="H133" s="79"/>
      <c r="I133" s="79"/>
      <c r="J133" s="79"/>
      <c r="K133" s="80"/>
      <c r="L133" s="34"/>
    </row>
    <row r="134" spans="1:14" ht="12.75" x14ac:dyDescent="0.2">
      <c r="A134" s="69"/>
      <c r="B134" s="69"/>
      <c r="C134" s="72">
        <v>7.4999999999999997E-3</v>
      </c>
      <c r="D134" s="69"/>
      <c r="E134" s="136"/>
      <c r="F134" s="79"/>
      <c r="G134" s="80"/>
      <c r="H134" s="79"/>
      <c r="I134" s="79"/>
      <c r="J134" s="79"/>
      <c r="K134" s="80"/>
      <c r="L134" s="34"/>
    </row>
    <row r="135" spans="1:14" ht="12.75" x14ac:dyDescent="0.2">
      <c r="A135" s="69" t="s">
        <v>223</v>
      </c>
      <c r="B135" s="70"/>
      <c r="C135" s="72">
        <v>1.15E-2</v>
      </c>
      <c r="D135" s="69"/>
      <c r="E135" s="136"/>
      <c r="F135" s="34"/>
      <c r="G135" s="80"/>
      <c r="H135" s="79"/>
      <c r="I135" s="79"/>
      <c r="J135" s="34"/>
      <c r="K135" s="80"/>
      <c r="L135" s="34"/>
    </row>
    <row r="136" spans="1:14" ht="12.75" x14ac:dyDescent="0.2">
      <c r="A136" s="69" t="s">
        <v>224</v>
      </c>
      <c r="B136" s="70"/>
      <c r="C136" s="72">
        <f>0.0022+0.0072+0.0131</f>
        <v>2.2499999999999999E-2</v>
      </c>
      <c r="D136" s="69"/>
      <c r="E136" s="136"/>
      <c r="F136" s="34"/>
      <c r="G136" s="80"/>
      <c r="H136" s="79"/>
      <c r="I136" s="79"/>
      <c r="J136" s="34"/>
      <c r="K136" s="80"/>
      <c r="L136" s="34"/>
    </row>
    <row r="137" spans="1:14" ht="12.75" x14ac:dyDescent="0.2">
      <c r="A137" s="69" t="s">
        <v>225</v>
      </c>
      <c r="B137" s="148"/>
      <c r="C137" s="73">
        <v>2.3800000000000002E-2</v>
      </c>
      <c r="D137" s="69"/>
      <c r="E137" s="136"/>
      <c r="F137" s="139"/>
      <c r="G137" s="81"/>
      <c r="H137" s="79"/>
      <c r="I137" s="79"/>
      <c r="J137" s="139"/>
      <c r="K137" s="81"/>
      <c r="L137" s="34"/>
    </row>
    <row r="138" spans="1:14" ht="12.75" x14ac:dyDescent="0.2">
      <c r="A138" s="69" t="s">
        <v>226</v>
      </c>
      <c r="B138" s="69"/>
      <c r="C138" s="74">
        <f>ROUND((+C133+C134)/(1-C137)+(C135+C136),4)-C133-C134</f>
        <v>9.7800000000000165E-2</v>
      </c>
      <c r="D138" s="69"/>
      <c r="E138" s="136"/>
      <c r="F138" s="79"/>
      <c r="G138" s="80"/>
      <c r="H138" s="79"/>
      <c r="I138" s="79"/>
      <c r="J138" s="79"/>
      <c r="K138" s="80"/>
      <c r="L138" s="34"/>
    </row>
    <row r="139" spans="1:14" ht="13.5" thickBot="1" x14ac:dyDescent="0.25">
      <c r="A139" s="69"/>
      <c r="B139" s="69"/>
      <c r="C139" s="77">
        <f>SUM(C138,C133:C134)</f>
        <v>2.7153</v>
      </c>
      <c r="D139" s="69" t="s">
        <v>435</v>
      </c>
      <c r="E139" s="136"/>
      <c r="F139" s="79"/>
      <c r="G139" s="79"/>
      <c r="H139" s="79"/>
      <c r="I139" s="79"/>
      <c r="J139" s="79"/>
      <c r="K139" s="79"/>
      <c r="L139" s="34"/>
      <c r="M139" s="75"/>
      <c r="N139" s="76"/>
    </row>
    <row r="140" spans="1:14" ht="13.5" thickTop="1" x14ac:dyDescent="0.2">
      <c r="B140" s="25"/>
      <c r="C140" s="76"/>
      <c r="G140" s="75"/>
      <c r="H140" s="140"/>
    </row>
    <row r="143" spans="1:14" x14ac:dyDescent="0.2">
      <c r="A143" s="69" t="s">
        <v>414</v>
      </c>
      <c r="B143" s="69"/>
      <c r="C143" s="69"/>
      <c r="D143" s="69"/>
      <c r="E143" s="69"/>
      <c r="I143" s="69" t="s">
        <v>415</v>
      </c>
      <c r="J143" s="69"/>
      <c r="K143" s="69"/>
      <c r="L143" s="69"/>
      <c r="M143" s="69"/>
      <c r="N143" s="69"/>
    </row>
    <row r="144" spans="1:14" ht="12.75" x14ac:dyDescent="0.2">
      <c r="A144" s="69" t="s">
        <v>222</v>
      </c>
      <c r="B144" s="69" t="s">
        <v>416</v>
      </c>
      <c r="C144" s="72">
        <v>2.63</v>
      </c>
      <c r="D144" s="69"/>
      <c r="E144" s="69"/>
      <c r="I144" s="69" t="s">
        <v>222</v>
      </c>
      <c r="J144" s="69" t="s">
        <v>416</v>
      </c>
      <c r="K144" s="72">
        <v>2.63</v>
      </c>
      <c r="L144" s="70"/>
      <c r="M144" s="69"/>
      <c r="N144" s="69"/>
    </row>
    <row r="145" spans="1:14" ht="12.75" x14ac:dyDescent="0.2">
      <c r="A145" s="69" t="s">
        <v>231</v>
      </c>
      <c r="B145" s="69"/>
      <c r="C145" s="72">
        <v>1.7500000000000002E-2</v>
      </c>
      <c r="D145" s="69"/>
      <c r="E145" s="69"/>
      <c r="I145" s="69"/>
      <c r="J145" s="69"/>
      <c r="K145" s="72">
        <v>1.7500000000000002E-2</v>
      </c>
      <c r="L145" s="70"/>
      <c r="M145" s="69"/>
      <c r="N145" s="69"/>
    </row>
    <row r="146" spans="1:14" ht="12.75" x14ac:dyDescent="0.2">
      <c r="A146" s="69" t="s">
        <v>223</v>
      </c>
      <c r="B146" s="70"/>
      <c r="C146" s="72">
        <v>1.18E-2</v>
      </c>
      <c r="D146" s="69"/>
      <c r="E146" s="69"/>
      <c r="I146" s="69" t="s">
        <v>223</v>
      </c>
      <c r="J146" s="70"/>
      <c r="K146" s="72">
        <v>2.3E-3</v>
      </c>
      <c r="L146" s="70"/>
      <c r="M146" s="69"/>
      <c r="N146" s="69"/>
    </row>
    <row r="147" spans="1:14" ht="12.75" x14ac:dyDescent="0.2">
      <c r="A147" s="69" t="s">
        <v>224</v>
      </c>
      <c r="B147" s="70"/>
      <c r="C147" s="72">
        <f>0.0022+0.0072</f>
        <v>9.4000000000000004E-3</v>
      </c>
      <c r="D147" s="69" t="s">
        <v>417</v>
      </c>
      <c r="E147" s="69"/>
      <c r="I147" s="69" t="s">
        <v>224</v>
      </c>
      <c r="J147" s="70"/>
      <c r="K147" s="72">
        <f>0.0022+0.0072</f>
        <v>9.4000000000000004E-3</v>
      </c>
      <c r="L147" s="69" t="s">
        <v>417</v>
      </c>
      <c r="M147" s="69"/>
      <c r="N147" s="69"/>
    </row>
    <row r="148" spans="1:14" ht="12.75" x14ac:dyDescent="0.2">
      <c r="A148" s="69" t="s">
        <v>225</v>
      </c>
      <c r="B148" s="148"/>
      <c r="C148" s="73">
        <v>1.9300000000000001E-2</v>
      </c>
      <c r="D148" s="69"/>
      <c r="E148" s="69"/>
      <c r="I148" s="69" t="s">
        <v>225</v>
      </c>
      <c r="J148" s="148"/>
      <c r="K148" s="73">
        <v>1.9300000000000001E-2</v>
      </c>
      <c r="L148" s="70"/>
      <c r="M148" s="69"/>
      <c r="N148" s="69"/>
    </row>
    <row r="149" spans="1:14" ht="12.75" x14ac:dyDescent="0.2">
      <c r="A149" s="69" t="s">
        <v>226</v>
      </c>
      <c r="B149" s="69"/>
      <c r="C149" s="74">
        <f>ROUND((+C144+C145)/(1-C148)+(C146+C147),4)-C144-C145</f>
        <v>7.3300000000000212E-2</v>
      </c>
      <c r="D149" s="69"/>
      <c r="E149" s="69"/>
      <c r="I149" s="69" t="s">
        <v>226</v>
      </c>
      <c r="J149" s="69"/>
      <c r="K149" s="74">
        <f>ROUND((+K144+K145)/(1-K148)+(K146+K147),4)-K144-K145</f>
        <v>6.3800000000000148E-2</v>
      </c>
      <c r="L149" s="70"/>
      <c r="M149" s="69"/>
      <c r="N149" s="69"/>
    </row>
    <row r="150" spans="1:14" ht="13.5" thickBot="1" x14ac:dyDescent="0.25">
      <c r="A150" s="69" t="s">
        <v>228</v>
      </c>
      <c r="B150" s="69"/>
      <c r="C150" s="77">
        <f>SUM(C144:C145,C149)</f>
        <v>2.7208000000000001</v>
      </c>
      <c r="D150" s="69" t="s">
        <v>437</v>
      </c>
      <c r="E150" s="69"/>
      <c r="I150" s="136" t="s">
        <v>228</v>
      </c>
      <c r="J150" s="136"/>
      <c r="K150" s="77">
        <f>SUM(K144:K145,K149)</f>
        <v>2.7113</v>
      </c>
      <c r="L150" s="70" t="s">
        <v>438</v>
      </c>
      <c r="M150" s="149"/>
      <c r="N150" s="72"/>
    </row>
    <row r="151" spans="1:14" ht="13.5" thickTop="1" x14ac:dyDescent="0.2">
      <c r="B151" s="25"/>
      <c r="C151" s="76"/>
      <c r="G151" s="75"/>
      <c r="H151" s="140"/>
    </row>
    <row r="153" spans="1:14" x14ac:dyDescent="0.2">
      <c r="A153" s="69" t="s">
        <v>418</v>
      </c>
      <c r="B153" s="69"/>
      <c r="C153" s="69"/>
      <c r="D153" s="69"/>
      <c r="E153" s="69"/>
      <c r="F153" s="69"/>
      <c r="G153" s="69"/>
      <c r="H153" s="69"/>
      <c r="I153" s="69"/>
      <c r="J153" s="69"/>
      <c r="K153" s="69"/>
    </row>
    <row r="154" spans="1:14" x14ac:dyDescent="0.2">
      <c r="A154" s="69" t="s">
        <v>222</v>
      </c>
      <c r="B154" s="69" t="s">
        <v>416</v>
      </c>
      <c r="C154" s="72">
        <v>2.63</v>
      </c>
      <c r="D154" s="69" t="s">
        <v>451</v>
      </c>
      <c r="E154" s="69"/>
      <c r="F154" s="69"/>
      <c r="G154" s="69"/>
      <c r="H154" s="69"/>
      <c r="I154" s="69"/>
      <c r="J154" s="69"/>
      <c r="K154" s="69"/>
    </row>
    <row r="155" spans="1:14" ht="12.75" x14ac:dyDescent="0.2">
      <c r="A155" s="69" t="s">
        <v>223</v>
      </c>
      <c r="B155" s="70"/>
      <c r="C155" s="72">
        <v>1.67E-2</v>
      </c>
      <c r="D155" s="69"/>
      <c r="E155" s="69"/>
      <c r="F155" s="69"/>
      <c r="G155" s="69"/>
      <c r="H155" s="69"/>
      <c r="I155" s="69"/>
      <c r="J155" s="69"/>
      <c r="K155" s="69"/>
    </row>
    <row r="156" spans="1:14" ht="12.75" x14ac:dyDescent="0.2">
      <c r="A156" s="69" t="s">
        <v>224</v>
      </c>
      <c r="B156" s="70"/>
      <c r="C156" s="72">
        <f>0.0022+0.0072</f>
        <v>9.4000000000000004E-3</v>
      </c>
      <c r="D156" s="69"/>
      <c r="E156" s="69"/>
      <c r="F156" s="69"/>
      <c r="G156" s="69"/>
      <c r="H156" s="69"/>
      <c r="I156" s="69"/>
      <c r="J156" s="69"/>
      <c r="K156" s="69"/>
    </row>
    <row r="157" spans="1:14" x14ac:dyDescent="0.2">
      <c r="A157" s="69" t="s">
        <v>225</v>
      </c>
      <c r="B157" s="148"/>
      <c r="C157" s="73">
        <v>3.4500000000000003E-2</v>
      </c>
      <c r="D157" s="69"/>
      <c r="E157" s="69"/>
      <c r="F157" s="69"/>
      <c r="G157" s="69"/>
      <c r="H157" s="69"/>
      <c r="I157" s="69"/>
      <c r="J157" s="69"/>
      <c r="K157" s="69"/>
    </row>
    <row r="158" spans="1:14" x14ac:dyDescent="0.2">
      <c r="A158" s="69" t="s">
        <v>226</v>
      </c>
      <c r="B158" s="69"/>
      <c r="C158" s="74">
        <f>ROUND((+C154)/(1-C157)+(C155+C156),4)-C154</f>
        <v>0.12010000000000032</v>
      </c>
      <c r="D158" s="69"/>
      <c r="E158" s="69"/>
      <c r="F158" s="69"/>
      <c r="G158" s="69"/>
      <c r="H158" s="69"/>
      <c r="I158" s="69"/>
      <c r="J158" s="69"/>
      <c r="K158" s="69"/>
    </row>
    <row r="159" spans="1:14" x14ac:dyDescent="0.2">
      <c r="A159" s="69" t="s">
        <v>419</v>
      </c>
      <c r="B159" s="69"/>
      <c r="C159" s="151">
        <v>0.22500000000000001</v>
      </c>
      <c r="D159" s="69"/>
      <c r="E159" s="69"/>
      <c r="F159" s="69"/>
      <c r="G159" s="69"/>
      <c r="H159" s="69"/>
      <c r="I159" s="69"/>
      <c r="J159" s="69"/>
      <c r="K159" s="69"/>
    </row>
    <row r="160" spans="1:14" ht="12.75" thickBot="1" x14ac:dyDescent="0.25">
      <c r="A160" s="69" t="s">
        <v>228</v>
      </c>
      <c r="B160" s="69"/>
      <c r="C160" s="77">
        <f>SUM(C154:C154,C158,C159)</f>
        <v>2.9751000000000003</v>
      </c>
      <c r="D160" s="69" t="s">
        <v>452</v>
      </c>
      <c r="E160" s="69"/>
      <c r="F160" s="69"/>
      <c r="G160" s="69"/>
      <c r="H160" s="69"/>
      <c r="I160" s="69"/>
      <c r="J160" s="69"/>
      <c r="K160" s="69"/>
    </row>
    <row r="161" spans="1:11" ht="12.75" thickTop="1" x14ac:dyDescent="0.2">
      <c r="A161" s="69"/>
      <c r="B161" s="69"/>
      <c r="C161" s="69"/>
      <c r="D161" s="69" t="s">
        <v>420</v>
      </c>
      <c r="E161" s="69"/>
      <c r="F161" s="69"/>
      <c r="G161" s="69"/>
      <c r="H161" s="69"/>
      <c r="I161" s="69"/>
      <c r="J161" s="69"/>
      <c r="K161" s="69"/>
    </row>
    <row r="162" spans="1:11" x14ac:dyDescent="0.2">
      <c r="A162" s="69"/>
      <c r="B162" s="69"/>
      <c r="C162" s="69"/>
      <c r="D162" s="69" t="s">
        <v>421</v>
      </c>
      <c r="E162" s="69"/>
      <c r="F162" s="69"/>
      <c r="G162" s="69"/>
      <c r="H162" s="69"/>
      <c r="I162" s="69"/>
      <c r="J162" s="69"/>
      <c r="K162" s="69"/>
    </row>
    <row r="165" spans="1:11" x14ac:dyDescent="0.2">
      <c r="A165" s="78" t="s">
        <v>158</v>
      </c>
    </row>
    <row r="166" spans="1:11" x14ac:dyDescent="0.2">
      <c r="A166" s="68" t="s">
        <v>222</v>
      </c>
      <c r="B166" s="68" t="s">
        <v>462</v>
      </c>
      <c r="C166" s="72">
        <v>2.58</v>
      </c>
    </row>
    <row r="167" spans="1:11" x14ac:dyDescent="0.2">
      <c r="A167" s="68" t="s">
        <v>231</v>
      </c>
      <c r="C167" s="72">
        <v>0.01</v>
      </c>
    </row>
    <row r="168" spans="1:11" x14ac:dyDescent="0.2">
      <c r="A168" s="68" t="s">
        <v>223</v>
      </c>
      <c r="C168" s="72">
        <v>3.2300000000000002E-2</v>
      </c>
    </row>
    <row r="169" spans="1:11" x14ac:dyDescent="0.2">
      <c r="A169" s="68" t="s">
        <v>224</v>
      </c>
      <c r="C169" s="72">
        <v>9.4000000000000004E-3</v>
      </c>
    </row>
    <row r="170" spans="1:11" x14ac:dyDescent="0.2">
      <c r="A170" s="68" t="s">
        <v>225</v>
      </c>
      <c r="C170" s="73">
        <v>3.3700000000000001E-2</v>
      </c>
    </row>
    <row r="171" spans="1:11" x14ac:dyDescent="0.2">
      <c r="A171" s="68" t="s">
        <v>226</v>
      </c>
      <c r="C171" s="74">
        <f>ROUND((+C166+C167)/(1-C170)-(C166+C167)+C168+C169,4)</f>
        <v>0.13200000000000001</v>
      </c>
    </row>
    <row r="172" spans="1:11" ht="12.75" thickBot="1" x14ac:dyDescent="0.25">
      <c r="A172" s="68" t="s">
        <v>228</v>
      </c>
      <c r="C172" s="77">
        <f>SUM(C171,C166:C167)</f>
        <v>2.722</v>
      </c>
      <c r="D172" s="68" t="s">
        <v>436</v>
      </c>
    </row>
    <row r="173" spans="1:11" ht="12.75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E46"/>
  <sheetViews>
    <sheetView workbookViewId="0">
      <pane xSplit="1" ySplit="5" topLeftCell="L31" activePane="bottomRight" state="frozen"/>
      <selection pane="topRight" activeCell="B1" sqref="B1"/>
      <selection pane="bottomLeft" activeCell="A6" sqref="A6"/>
      <selection pane="bottomRight" activeCell="T42" sqref="T42"/>
    </sheetView>
  </sheetViews>
  <sheetFormatPr defaultRowHeight="12.75" x14ac:dyDescent="0.2"/>
  <cols>
    <col min="1" max="1" width="5.7109375" style="110" customWidth="1"/>
    <col min="2" max="2" width="11" style="110" customWidth="1"/>
    <col min="3" max="4" width="11.28515625" style="110" customWidth="1"/>
    <col min="5" max="5" width="3.28515625" style="110" customWidth="1"/>
    <col min="6" max="6" width="12.85546875" style="110" customWidth="1"/>
    <col min="7" max="7" width="4.7109375" style="110" customWidth="1"/>
    <col min="8" max="8" width="12.85546875" style="110" customWidth="1"/>
    <col min="9" max="9" width="10.42578125" style="110" customWidth="1"/>
    <col min="10" max="10" width="3.28515625" style="110" customWidth="1"/>
    <col min="11" max="11" width="12.85546875" style="110" customWidth="1"/>
    <col min="12" max="12" width="9.140625" style="110"/>
    <col min="13" max="13" width="10.5703125" style="110" customWidth="1"/>
    <col min="14" max="14" width="9.140625" style="110"/>
    <col min="15" max="15" width="11.28515625" style="110" customWidth="1"/>
    <col min="16" max="16" width="10.28515625" style="110" customWidth="1"/>
    <col min="17" max="17" width="11.140625" style="110" customWidth="1"/>
    <col min="18" max="18" width="3.5703125" style="110" customWidth="1"/>
    <col min="19" max="19" width="13" style="110" customWidth="1"/>
    <col min="20" max="20" width="7.140625" style="110" customWidth="1"/>
    <col min="21" max="22" width="12.28515625" style="110" customWidth="1"/>
    <col min="23" max="23" width="13.85546875" style="110" customWidth="1"/>
    <col min="24" max="24" width="9.140625" style="110"/>
    <col min="25" max="25" width="12.7109375" style="110" customWidth="1"/>
    <col min="26" max="26" width="9.140625" style="110"/>
    <col min="27" max="27" width="13.85546875" style="110" customWidth="1"/>
    <col min="28" max="16384" width="9.140625" style="110"/>
  </cols>
  <sheetData>
    <row r="2" spans="1:57" s="109" customFormat="1" x14ac:dyDescent="0.2">
      <c r="B2" s="109" t="s">
        <v>343</v>
      </c>
      <c r="C2" s="109" t="s">
        <v>344</v>
      </c>
      <c r="D2" s="109" t="s">
        <v>345</v>
      </c>
      <c r="E2" s="109" t="s">
        <v>346</v>
      </c>
      <c r="F2" s="109" t="s">
        <v>347</v>
      </c>
      <c r="G2" s="109" t="s">
        <v>348</v>
      </c>
      <c r="H2" s="109" t="s">
        <v>349</v>
      </c>
      <c r="I2" s="109" t="s">
        <v>350</v>
      </c>
      <c r="J2" s="109" t="s">
        <v>351</v>
      </c>
      <c r="K2" s="109" t="s">
        <v>352</v>
      </c>
      <c r="L2" s="109" t="s">
        <v>353</v>
      </c>
      <c r="M2" s="109" t="s">
        <v>354</v>
      </c>
      <c r="N2" s="109" t="s">
        <v>355</v>
      </c>
      <c r="O2" s="109" t="s">
        <v>356</v>
      </c>
      <c r="P2" s="109" t="s">
        <v>357</v>
      </c>
      <c r="Q2" s="109" t="s">
        <v>358</v>
      </c>
      <c r="R2" s="109" t="s">
        <v>359</v>
      </c>
      <c r="S2" s="109" t="s">
        <v>360</v>
      </c>
      <c r="T2" s="109" t="s">
        <v>361</v>
      </c>
      <c r="U2" s="109" t="s">
        <v>362</v>
      </c>
      <c r="W2" s="109" t="s">
        <v>363</v>
      </c>
      <c r="X2" s="109" t="s">
        <v>364</v>
      </c>
      <c r="Y2" s="109" t="s">
        <v>365</v>
      </c>
      <c r="Z2" s="109" t="s">
        <v>366</v>
      </c>
    </row>
    <row r="3" spans="1:57" x14ac:dyDescent="0.2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</row>
    <row r="4" spans="1:57" x14ac:dyDescent="0.2">
      <c r="A4" s="109"/>
      <c r="B4" s="109"/>
      <c r="C4" s="109"/>
      <c r="D4" s="109"/>
      <c r="E4" s="109"/>
      <c r="F4" s="109" t="s">
        <v>367</v>
      </c>
      <c r="G4" s="109"/>
      <c r="H4" s="111" t="s">
        <v>368</v>
      </c>
      <c r="I4" s="112" t="s">
        <v>368</v>
      </c>
      <c r="J4" s="113"/>
      <c r="K4" s="109" t="s">
        <v>380</v>
      </c>
      <c r="L4" s="109"/>
      <c r="M4" s="109"/>
      <c r="N4" s="109"/>
      <c r="O4" s="109"/>
      <c r="P4" s="109"/>
      <c r="Q4" s="109"/>
      <c r="R4" s="109"/>
      <c r="S4" s="109" t="s">
        <v>485</v>
      </c>
      <c r="T4" s="109"/>
      <c r="U4" s="109"/>
      <c r="V4" s="109"/>
      <c r="W4" s="109"/>
      <c r="AC4" s="110" t="s">
        <v>454</v>
      </c>
      <c r="AJ4" s="110" t="s">
        <v>455</v>
      </c>
      <c r="AL4" s="110" t="s">
        <v>456</v>
      </c>
      <c r="AT4" s="110" t="s">
        <v>371</v>
      </c>
      <c r="AV4" s="110" t="s">
        <v>457</v>
      </c>
      <c r="AZ4" s="110" t="s">
        <v>463</v>
      </c>
    </row>
    <row r="5" spans="1:57" x14ac:dyDescent="0.2">
      <c r="A5" s="109"/>
      <c r="B5" s="109" t="s">
        <v>369</v>
      </c>
      <c r="C5" s="109" t="s">
        <v>370</v>
      </c>
      <c r="D5" s="109" t="s">
        <v>267</v>
      </c>
      <c r="E5" s="109"/>
      <c r="F5" s="109" t="s">
        <v>371</v>
      </c>
      <c r="G5" s="109"/>
      <c r="H5" s="120" t="s">
        <v>378</v>
      </c>
      <c r="I5" s="114" t="s">
        <v>379</v>
      </c>
      <c r="J5" s="113"/>
      <c r="K5" s="109"/>
      <c r="L5" s="109"/>
      <c r="M5" s="109" t="s">
        <v>372</v>
      </c>
      <c r="N5" s="109"/>
      <c r="O5" s="111" t="s">
        <v>373</v>
      </c>
      <c r="P5" s="115" t="s">
        <v>374</v>
      </c>
      <c r="Q5" s="112" t="s">
        <v>375</v>
      </c>
      <c r="R5" s="109"/>
      <c r="S5" s="109" t="s">
        <v>381</v>
      </c>
      <c r="T5" s="109"/>
      <c r="U5" s="109" t="s">
        <v>376</v>
      </c>
      <c r="V5" s="109" t="s">
        <v>495</v>
      </c>
      <c r="W5" s="109"/>
      <c r="AC5" s="175">
        <v>203433</v>
      </c>
      <c r="AD5" s="175">
        <v>153341</v>
      </c>
      <c r="AE5" s="175">
        <v>153359</v>
      </c>
      <c r="AF5" s="175">
        <v>159964</v>
      </c>
      <c r="AG5" s="175">
        <v>203315</v>
      </c>
      <c r="AH5" s="176">
        <v>204176</v>
      </c>
      <c r="AI5" s="155"/>
      <c r="AJ5" s="155" t="s">
        <v>458</v>
      </c>
      <c r="AK5" s="155"/>
      <c r="AL5" s="155">
        <v>223195</v>
      </c>
      <c r="AM5" s="155">
        <v>214106</v>
      </c>
      <c r="AN5" s="155">
        <v>213471</v>
      </c>
      <c r="AO5" s="155">
        <v>0</v>
      </c>
      <c r="AP5" s="155">
        <v>0</v>
      </c>
      <c r="AQ5" s="155">
        <v>0</v>
      </c>
      <c r="AR5" s="155">
        <v>0</v>
      </c>
      <c r="AS5" s="155"/>
      <c r="AT5" s="155" t="s">
        <v>459</v>
      </c>
      <c r="AU5" s="155"/>
      <c r="AV5" s="155">
        <v>160327</v>
      </c>
      <c r="AW5" s="155">
        <v>162797</v>
      </c>
      <c r="AX5" s="155">
        <v>164209</v>
      </c>
      <c r="AY5" s="155"/>
      <c r="AZ5" s="155">
        <v>204779</v>
      </c>
      <c r="BA5" s="155">
        <v>204782</v>
      </c>
      <c r="BB5" s="155">
        <v>204783</v>
      </c>
      <c r="BC5" s="155">
        <v>204786</v>
      </c>
      <c r="BD5" s="155">
        <v>204788</v>
      </c>
      <c r="BE5" s="155">
        <v>204791</v>
      </c>
    </row>
    <row r="6" spans="1:57" x14ac:dyDescent="0.2">
      <c r="A6" s="109">
        <v>1</v>
      </c>
      <c r="B6" s="109">
        <v>135949</v>
      </c>
      <c r="C6" s="109">
        <v>11185</v>
      </c>
      <c r="D6" s="109">
        <v>13262</v>
      </c>
      <c r="E6" s="109"/>
      <c r="F6" s="109">
        <f>SUM(B6:D6)</f>
        <v>160396</v>
      </c>
      <c r="G6" s="109"/>
      <c r="H6" s="109">
        <v>33135</v>
      </c>
      <c r="I6" s="109">
        <f>ROUND(+H6*(1-0.02116),0)</f>
        <v>32434</v>
      </c>
      <c r="J6" s="109"/>
      <c r="K6" s="109">
        <f>+F6-I6</f>
        <v>127962</v>
      </c>
      <c r="L6" s="109"/>
      <c r="M6" s="109" t="s">
        <v>313</v>
      </c>
      <c r="N6" s="109"/>
      <c r="O6" s="116">
        <f>182667-36300</f>
        <v>146367</v>
      </c>
      <c r="P6" s="113">
        <v>36300</v>
      </c>
      <c r="Q6" s="117">
        <f>+P6+O6</f>
        <v>182667</v>
      </c>
      <c r="R6" s="109"/>
      <c r="S6" s="109">
        <f>IF((+Q6-K6)&gt;0,+Q6-K6,0)</f>
        <v>54705</v>
      </c>
      <c r="T6" s="109"/>
      <c r="U6" s="165">
        <v>2.78</v>
      </c>
      <c r="V6" s="165">
        <f>+U6-0.01</f>
        <v>2.77</v>
      </c>
      <c r="W6" s="119">
        <f>+S6*V6</f>
        <v>151532.85</v>
      </c>
      <c r="AC6" s="110">
        <v>323</v>
      </c>
      <c r="AD6" s="110">
        <v>13</v>
      </c>
      <c r="AE6" s="110">
        <v>12</v>
      </c>
      <c r="AF6" s="110">
        <v>6</v>
      </c>
      <c r="AG6" s="110">
        <v>2097</v>
      </c>
      <c r="AH6" s="110">
        <v>14</v>
      </c>
      <c r="AJ6" s="110">
        <f t="shared" ref="AJ6:AJ36" si="0">SUM(AC6:AH6)</f>
        <v>2465</v>
      </c>
      <c r="AL6" s="110">
        <v>0</v>
      </c>
      <c r="AM6" s="110">
        <v>0</v>
      </c>
      <c r="AN6" s="110">
        <v>0</v>
      </c>
      <c r="AO6" s="110">
        <v>0</v>
      </c>
      <c r="AP6" s="110">
        <v>0</v>
      </c>
      <c r="AQ6" s="110">
        <v>0</v>
      </c>
      <c r="AR6" s="110">
        <v>0</v>
      </c>
      <c r="AT6" s="110">
        <f>SUM(AL6:AS6)</f>
        <v>0</v>
      </c>
      <c r="AV6" s="110">
        <v>0</v>
      </c>
      <c r="AW6" s="110">
        <v>0</v>
      </c>
      <c r="AX6" s="110">
        <v>0</v>
      </c>
      <c r="AY6" s="110">
        <v>0</v>
      </c>
      <c r="AZ6" s="110">
        <v>484</v>
      </c>
      <c r="BA6" s="110">
        <v>500</v>
      </c>
      <c r="BB6" s="110">
        <v>75</v>
      </c>
      <c r="BC6" s="110">
        <v>773</v>
      </c>
      <c r="BD6" s="110">
        <v>161</v>
      </c>
      <c r="BE6" s="110">
        <v>1000</v>
      </c>
    </row>
    <row r="7" spans="1:57" x14ac:dyDescent="0.2">
      <c r="A7" s="109">
        <f>+A6+1</f>
        <v>2</v>
      </c>
      <c r="B7" s="109">
        <v>172794</v>
      </c>
      <c r="C7" s="109">
        <v>11168</v>
      </c>
      <c r="D7" s="109">
        <f>+D6</f>
        <v>13262</v>
      </c>
      <c r="E7" s="109"/>
      <c r="F7" s="109">
        <f t="shared" ref="F7:F34" si="1">SUM(B7:D7)</f>
        <v>197224</v>
      </c>
      <c r="G7" s="109"/>
      <c r="H7" s="109">
        <v>44907</v>
      </c>
      <c r="I7" s="109">
        <f t="shared" ref="I7:I36" si="2">ROUND(+H7*(1-0.02116),0)</f>
        <v>43957</v>
      </c>
      <c r="J7" s="109"/>
      <c r="K7" s="109">
        <f t="shared" ref="K7:K36" si="3">+F7-I7</f>
        <v>153267</v>
      </c>
      <c r="L7" s="109"/>
      <c r="M7" s="109" t="s">
        <v>313</v>
      </c>
      <c r="N7" s="109"/>
      <c r="O7" s="116">
        <f>+O6</f>
        <v>146367</v>
      </c>
      <c r="P7" s="113">
        <f>+P6</f>
        <v>36300</v>
      </c>
      <c r="Q7" s="117">
        <f t="shared" ref="Q7:Q32" si="4">+P7+O7</f>
        <v>182667</v>
      </c>
      <c r="R7" s="109"/>
      <c r="S7" s="109">
        <f t="shared" ref="S7:S36" si="5">IF((+Q7-K7)&gt;0,+Q7-K7,0)</f>
        <v>29400</v>
      </c>
      <c r="T7" s="109"/>
      <c r="U7" s="165">
        <v>2.8450000000000002</v>
      </c>
      <c r="V7" s="165">
        <f t="shared" ref="V7:V36" si="6">+U7-0.01</f>
        <v>2.8350000000000004</v>
      </c>
      <c r="W7" s="119">
        <f t="shared" ref="W7:W36" si="7">+S7*V7</f>
        <v>83349.000000000015</v>
      </c>
      <c r="AC7" s="110">
        <f>+AC6</f>
        <v>323</v>
      </c>
      <c r="AD7" s="110">
        <f t="shared" ref="AD7:AM22" si="8">+AD6</f>
        <v>13</v>
      </c>
      <c r="AE7" s="110">
        <f t="shared" si="8"/>
        <v>12</v>
      </c>
      <c r="AF7" s="110">
        <f t="shared" si="8"/>
        <v>6</v>
      </c>
      <c r="AG7" s="110">
        <f t="shared" si="8"/>
        <v>2097</v>
      </c>
      <c r="AH7" s="110">
        <f t="shared" si="8"/>
        <v>14</v>
      </c>
      <c r="AJ7" s="110">
        <f t="shared" si="0"/>
        <v>2465</v>
      </c>
      <c r="AL7" s="110">
        <v>0</v>
      </c>
      <c r="AM7" s="110">
        <f t="shared" si="8"/>
        <v>0</v>
      </c>
      <c r="AN7" s="110">
        <f>+AN6</f>
        <v>0</v>
      </c>
      <c r="AO7" s="110">
        <f>+AO6</f>
        <v>0</v>
      </c>
      <c r="AP7" s="110">
        <f>+AP6</f>
        <v>0</v>
      </c>
      <c r="AQ7" s="110">
        <f>+AQ6</f>
        <v>0</v>
      </c>
      <c r="AR7" s="110">
        <f>+AR6</f>
        <v>0</v>
      </c>
      <c r="AT7" s="110">
        <f t="shared" ref="AT7:AT34" si="9">SUM(AL7:AS7)</f>
        <v>0</v>
      </c>
      <c r="AV7" s="110">
        <v>0</v>
      </c>
      <c r="AW7" s="110">
        <f>+AW6</f>
        <v>0</v>
      </c>
      <c r="AX7" s="110">
        <f>+AX6</f>
        <v>0</v>
      </c>
      <c r="AZ7" s="110">
        <f t="shared" ref="AZ7:BE7" si="10">+AZ6</f>
        <v>484</v>
      </c>
      <c r="BA7" s="110">
        <f t="shared" si="10"/>
        <v>500</v>
      </c>
      <c r="BB7" s="110">
        <f t="shared" si="10"/>
        <v>75</v>
      </c>
      <c r="BC7" s="110">
        <f t="shared" si="10"/>
        <v>773</v>
      </c>
      <c r="BD7" s="110">
        <f t="shared" si="10"/>
        <v>161</v>
      </c>
      <c r="BE7" s="110">
        <f t="shared" si="10"/>
        <v>1000</v>
      </c>
    </row>
    <row r="8" spans="1:57" x14ac:dyDescent="0.2">
      <c r="A8" s="109">
        <f t="shared" ref="A8:A34" si="11">+A7+1</f>
        <v>3</v>
      </c>
      <c r="B8" s="109">
        <v>158212</v>
      </c>
      <c r="C8" s="109">
        <v>10419</v>
      </c>
      <c r="D8" s="109">
        <f t="shared" ref="D8:D35" si="12">+D7</f>
        <v>13262</v>
      </c>
      <c r="E8" s="109"/>
      <c r="F8" s="109">
        <f t="shared" si="1"/>
        <v>181893</v>
      </c>
      <c r="G8" s="109"/>
      <c r="H8" s="109">
        <v>40994</v>
      </c>
      <c r="I8" s="109">
        <f t="shared" si="2"/>
        <v>40127</v>
      </c>
      <c r="J8" s="109"/>
      <c r="K8" s="109">
        <f t="shared" si="3"/>
        <v>141766</v>
      </c>
      <c r="L8" s="109"/>
      <c r="M8" s="109" t="s">
        <v>313</v>
      </c>
      <c r="N8" s="109"/>
      <c r="O8" s="116">
        <f t="shared" ref="O8:O32" si="13">+O7</f>
        <v>146367</v>
      </c>
      <c r="P8" s="113">
        <f t="shared" ref="P8:P32" si="14">+P7</f>
        <v>36300</v>
      </c>
      <c r="Q8" s="117">
        <f t="shared" si="4"/>
        <v>182667</v>
      </c>
      <c r="R8" s="109"/>
      <c r="S8" s="109">
        <f t="shared" si="5"/>
        <v>40901</v>
      </c>
      <c r="T8" s="109"/>
      <c r="U8" s="165">
        <v>2.94</v>
      </c>
      <c r="V8" s="165">
        <f t="shared" si="6"/>
        <v>2.93</v>
      </c>
      <c r="W8" s="119">
        <f t="shared" si="7"/>
        <v>119839.93000000001</v>
      </c>
      <c r="AC8" s="110">
        <f t="shared" ref="AC8:AH34" si="15">+AC7</f>
        <v>323</v>
      </c>
      <c r="AD8" s="110">
        <f t="shared" si="8"/>
        <v>13</v>
      </c>
      <c r="AE8" s="110">
        <f t="shared" si="8"/>
        <v>12</v>
      </c>
      <c r="AF8" s="110">
        <f t="shared" si="8"/>
        <v>6</v>
      </c>
      <c r="AG8" s="110">
        <f t="shared" si="8"/>
        <v>2097</v>
      </c>
      <c r="AH8" s="110">
        <f t="shared" si="8"/>
        <v>14</v>
      </c>
      <c r="AJ8" s="110">
        <f t="shared" si="0"/>
        <v>2465</v>
      </c>
      <c r="AL8" s="110">
        <f t="shared" ref="AL8:AN34" si="16">+AL7</f>
        <v>0</v>
      </c>
      <c r="AM8" s="110">
        <v>0</v>
      </c>
      <c r="AN8" s="110">
        <f>+AN7</f>
        <v>0</v>
      </c>
      <c r="AO8" s="110">
        <f t="shared" ref="AO8:AR34" si="17">+AO7</f>
        <v>0</v>
      </c>
      <c r="AP8" s="110">
        <f t="shared" si="17"/>
        <v>0</v>
      </c>
      <c r="AQ8" s="110">
        <f t="shared" si="17"/>
        <v>0</v>
      </c>
      <c r="AR8" s="110">
        <f t="shared" si="17"/>
        <v>0</v>
      </c>
      <c r="AT8" s="110">
        <f t="shared" si="9"/>
        <v>0</v>
      </c>
      <c r="AV8" s="110">
        <v>0</v>
      </c>
      <c r="AW8" s="110">
        <f t="shared" ref="AW8:AX34" si="18">+AW7</f>
        <v>0</v>
      </c>
      <c r="AX8" s="110">
        <f t="shared" si="18"/>
        <v>0</v>
      </c>
      <c r="AZ8" s="110">
        <f t="shared" ref="AZ8:AZ36" si="19">+AZ7</f>
        <v>484</v>
      </c>
      <c r="BA8" s="110">
        <f t="shared" ref="BA8:BA36" si="20">+BA7</f>
        <v>500</v>
      </c>
      <c r="BB8" s="110">
        <f t="shared" ref="BB8:BB36" si="21">+BB7</f>
        <v>75</v>
      </c>
      <c r="BC8" s="110">
        <f t="shared" ref="BC8:BE36" si="22">+BC7</f>
        <v>773</v>
      </c>
      <c r="BD8" s="110">
        <f t="shared" si="22"/>
        <v>161</v>
      </c>
      <c r="BE8" s="110">
        <f t="shared" si="22"/>
        <v>1000</v>
      </c>
    </row>
    <row r="9" spans="1:57" x14ac:dyDescent="0.2">
      <c r="A9" s="109">
        <f t="shared" si="11"/>
        <v>4</v>
      </c>
      <c r="B9" s="109">
        <v>135467</v>
      </c>
      <c r="C9" s="109">
        <v>10363</v>
      </c>
      <c r="D9" s="109">
        <f t="shared" si="12"/>
        <v>13262</v>
      </c>
      <c r="E9" s="109"/>
      <c r="F9" s="109">
        <f t="shared" si="1"/>
        <v>159092</v>
      </c>
      <c r="G9" s="109"/>
      <c r="H9" s="109">
        <v>30645</v>
      </c>
      <c r="I9" s="109">
        <f t="shared" si="2"/>
        <v>29997</v>
      </c>
      <c r="J9" s="109"/>
      <c r="K9" s="109">
        <f t="shared" si="3"/>
        <v>129095</v>
      </c>
      <c r="L9" s="109"/>
      <c r="M9" s="109" t="s">
        <v>313</v>
      </c>
      <c r="N9" s="109"/>
      <c r="O9" s="116">
        <f t="shared" si="13"/>
        <v>146367</v>
      </c>
      <c r="P9" s="113">
        <f t="shared" si="14"/>
        <v>36300</v>
      </c>
      <c r="Q9" s="117">
        <f t="shared" si="4"/>
        <v>182667</v>
      </c>
      <c r="R9" s="109"/>
      <c r="S9" s="109">
        <f t="shared" si="5"/>
        <v>53572</v>
      </c>
      <c r="T9" s="109"/>
      <c r="U9" s="165">
        <f>+U10</f>
        <v>2.8650000000000002</v>
      </c>
      <c r="V9" s="165">
        <f t="shared" si="6"/>
        <v>2.8550000000000004</v>
      </c>
      <c r="W9" s="119">
        <f t="shared" si="7"/>
        <v>152948.06000000003</v>
      </c>
      <c r="AC9" s="110">
        <f t="shared" si="15"/>
        <v>323</v>
      </c>
      <c r="AD9" s="110">
        <f t="shared" si="8"/>
        <v>13</v>
      </c>
      <c r="AE9" s="110">
        <f t="shared" si="8"/>
        <v>12</v>
      </c>
      <c r="AF9" s="110">
        <f t="shared" si="8"/>
        <v>6</v>
      </c>
      <c r="AG9" s="110">
        <f t="shared" si="8"/>
        <v>2097</v>
      </c>
      <c r="AH9" s="110">
        <f t="shared" si="8"/>
        <v>14</v>
      </c>
      <c r="AJ9" s="110">
        <f t="shared" si="0"/>
        <v>2465</v>
      </c>
      <c r="AL9" s="110">
        <f t="shared" si="16"/>
        <v>0</v>
      </c>
      <c r="AM9" s="110">
        <v>0</v>
      </c>
      <c r="AN9" s="110">
        <v>0</v>
      </c>
      <c r="AO9" s="110">
        <f t="shared" ref="AO9:AO15" si="23">+AO8</f>
        <v>0</v>
      </c>
      <c r="AP9" s="110">
        <f t="shared" ref="AP9:AP15" si="24">+AP8</f>
        <v>0</v>
      </c>
      <c r="AQ9" s="110">
        <f t="shared" ref="AQ9:AQ15" si="25">+AQ8</f>
        <v>0</v>
      </c>
      <c r="AR9" s="110">
        <f t="shared" ref="AR9:AR15" si="26">+AR8</f>
        <v>0</v>
      </c>
      <c r="AT9" s="110">
        <f t="shared" si="9"/>
        <v>0</v>
      </c>
      <c r="AV9" s="110">
        <f t="shared" ref="AV9:AV34" si="27">+AV8</f>
        <v>0</v>
      </c>
      <c r="AW9" s="110">
        <f t="shared" si="18"/>
        <v>0</v>
      </c>
      <c r="AX9" s="110">
        <f t="shared" si="18"/>
        <v>0</v>
      </c>
      <c r="AZ9" s="110">
        <f t="shared" si="19"/>
        <v>484</v>
      </c>
      <c r="BA9" s="110">
        <f t="shared" si="20"/>
        <v>500</v>
      </c>
      <c r="BB9" s="110">
        <f t="shared" si="21"/>
        <v>75</v>
      </c>
      <c r="BC9" s="110">
        <f t="shared" si="22"/>
        <v>773</v>
      </c>
      <c r="BD9" s="110">
        <f t="shared" si="22"/>
        <v>161</v>
      </c>
      <c r="BE9" s="110">
        <f t="shared" si="22"/>
        <v>1000</v>
      </c>
    </row>
    <row r="10" spans="1:57" x14ac:dyDescent="0.2">
      <c r="A10" s="109">
        <f t="shared" si="11"/>
        <v>5</v>
      </c>
      <c r="B10" s="109">
        <v>130402</v>
      </c>
      <c r="C10" s="109">
        <v>10383</v>
      </c>
      <c r="D10" s="109">
        <f t="shared" si="12"/>
        <v>13262</v>
      </c>
      <c r="E10" s="109"/>
      <c r="F10" s="109">
        <f t="shared" si="1"/>
        <v>154047</v>
      </c>
      <c r="G10" s="109"/>
      <c r="H10" s="109">
        <v>36065</v>
      </c>
      <c r="I10" s="109">
        <f t="shared" si="2"/>
        <v>35302</v>
      </c>
      <c r="J10" s="109"/>
      <c r="K10" s="109">
        <f t="shared" si="3"/>
        <v>118745</v>
      </c>
      <c r="L10" s="109"/>
      <c r="M10" s="109" t="s">
        <v>313</v>
      </c>
      <c r="N10" s="109"/>
      <c r="O10" s="116">
        <f t="shared" si="13"/>
        <v>146367</v>
      </c>
      <c r="P10" s="113">
        <f t="shared" si="14"/>
        <v>36300</v>
      </c>
      <c r="Q10" s="117">
        <f t="shared" si="4"/>
        <v>182667</v>
      </c>
      <c r="R10" s="109"/>
      <c r="S10" s="109">
        <f t="shared" si="5"/>
        <v>63922</v>
      </c>
      <c r="T10" s="109"/>
      <c r="U10" s="165">
        <f>+U11</f>
        <v>2.8650000000000002</v>
      </c>
      <c r="V10" s="165">
        <f t="shared" si="6"/>
        <v>2.8550000000000004</v>
      </c>
      <c r="W10" s="119">
        <f t="shared" si="7"/>
        <v>182497.31000000003</v>
      </c>
      <c r="AC10" s="110">
        <f t="shared" si="15"/>
        <v>323</v>
      </c>
      <c r="AD10" s="110">
        <f t="shared" si="8"/>
        <v>13</v>
      </c>
      <c r="AE10" s="110">
        <f t="shared" si="8"/>
        <v>12</v>
      </c>
      <c r="AF10" s="110">
        <f t="shared" si="8"/>
        <v>6</v>
      </c>
      <c r="AG10" s="110">
        <f t="shared" si="8"/>
        <v>2097</v>
      </c>
      <c r="AH10" s="110">
        <f t="shared" si="8"/>
        <v>14</v>
      </c>
      <c r="AJ10" s="110">
        <f t="shared" si="0"/>
        <v>2465</v>
      </c>
      <c r="AL10" s="110">
        <f t="shared" si="16"/>
        <v>0</v>
      </c>
      <c r="AM10" s="110">
        <v>0</v>
      </c>
      <c r="AN10" s="110">
        <v>0</v>
      </c>
      <c r="AO10" s="110">
        <f t="shared" si="23"/>
        <v>0</v>
      </c>
      <c r="AP10" s="110">
        <f t="shared" si="24"/>
        <v>0</v>
      </c>
      <c r="AQ10" s="110">
        <f t="shared" si="25"/>
        <v>0</v>
      </c>
      <c r="AR10" s="110">
        <f t="shared" si="26"/>
        <v>0</v>
      </c>
      <c r="AT10" s="110">
        <f t="shared" si="9"/>
        <v>0</v>
      </c>
      <c r="AV10" s="110">
        <f t="shared" si="27"/>
        <v>0</v>
      </c>
      <c r="AW10" s="110">
        <v>0</v>
      </c>
      <c r="AX10" s="110">
        <f t="shared" si="18"/>
        <v>0</v>
      </c>
      <c r="AZ10" s="110">
        <f t="shared" si="19"/>
        <v>484</v>
      </c>
      <c r="BA10" s="110">
        <f t="shared" si="20"/>
        <v>500</v>
      </c>
      <c r="BB10" s="110">
        <f t="shared" si="21"/>
        <v>75</v>
      </c>
      <c r="BC10" s="110">
        <f t="shared" si="22"/>
        <v>773</v>
      </c>
      <c r="BD10" s="110">
        <f t="shared" si="22"/>
        <v>161</v>
      </c>
      <c r="BE10" s="110">
        <f t="shared" si="22"/>
        <v>1000</v>
      </c>
    </row>
    <row r="11" spans="1:57" x14ac:dyDescent="0.2">
      <c r="A11" s="109">
        <f t="shared" si="11"/>
        <v>6</v>
      </c>
      <c r="B11" s="109">
        <v>118648</v>
      </c>
      <c r="C11" s="109">
        <v>10419</v>
      </c>
      <c r="D11" s="109">
        <v>13262</v>
      </c>
      <c r="E11" s="109"/>
      <c r="F11" s="109">
        <f t="shared" si="1"/>
        <v>142329</v>
      </c>
      <c r="G11" s="109"/>
      <c r="H11" s="109">
        <v>39859</v>
      </c>
      <c r="I11" s="109">
        <f t="shared" si="2"/>
        <v>39016</v>
      </c>
      <c r="J11" s="109"/>
      <c r="K11" s="109">
        <f t="shared" si="3"/>
        <v>103313</v>
      </c>
      <c r="L11" s="109"/>
      <c r="M11" s="109" t="s">
        <v>313</v>
      </c>
      <c r="N11" s="109"/>
      <c r="O11" s="116">
        <f t="shared" si="13"/>
        <v>146367</v>
      </c>
      <c r="P11" s="113">
        <f t="shared" si="14"/>
        <v>36300</v>
      </c>
      <c r="Q11" s="117">
        <f t="shared" si="4"/>
        <v>182667</v>
      </c>
      <c r="R11" s="109"/>
      <c r="S11" s="109">
        <f t="shared" si="5"/>
        <v>79354</v>
      </c>
      <c r="T11" s="109"/>
      <c r="U11" s="165">
        <v>2.8650000000000002</v>
      </c>
      <c r="V11" s="165">
        <f t="shared" si="6"/>
        <v>2.8550000000000004</v>
      </c>
      <c r="W11" s="119">
        <f t="shared" si="7"/>
        <v>226555.67000000004</v>
      </c>
      <c r="AC11" s="110">
        <f t="shared" si="15"/>
        <v>323</v>
      </c>
      <c r="AD11" s="110">
        <f t="shared" si="8"/>
        <v>13</v>
      </c>
      <c r="AE11" s="110">
        <f t="shared" si="8"/>
        <v>12</v>
      </c>
      <c r="AF11" s="110">
        <f t="shared" si="8"/>
        <v>6</v>
      </c>
      <c r="AG11" s="110">
        <f t="shared" si="8"/>
        <v>2097</v>
      </c>
      <c r="AH11" s="110">
        <f t="shared" si="8"/>
        <v>14</v>
      </c>
      <c r="AJ11" s="110">
        <f t="shared" si="0"/>
        <v>2465</v>
      </c>
      <c r="AL11" s="110">
        <f t="shared" si="16"/>
        <v>0</v>
      </c>
      <c r="AM11" s="110">
        <f t="shared" si="16"/>
        <v>0</v>
      </c>
      <c r="AN11" s="110">
        <f>+AN10</f>
        <v>0</v>
      </c>
      <c r="AO11" s="110">
        <f t="shared" si="23"/>
        <v>0</v>
      </c>
      <c r="AP11" s="110">
        <f t="shared" si="24"/>
        <v>0</v>
      </c>
      <c r="AQ11" s="110">
        <f t="shared" si="25"/>
        <v>0</v>
      </c>
      <c r="AR11" s="110">
        <f t="shared" si="26"/>
        <v>0</v>
      </c>
      <c r="AT11" s="110">
        <f t="shared" si="9"/>
        <v>0</v>
      </c>
      <c r="AV11" s="110">
        <f t="shared" si="27"/>
        <v>0</v>
      </c>
      <c r="AW11" s="110">
        <f t="shared" si="18"/>
        <v>0</v>
      </c>
      <c r="AX11" s="110">
        <f t="shared" si="18"/>
        <v>0</v>
      </c>
      <c r="AZ11" s="110">
        <f t="shared" si="19"/>
        <v>484</v>
      </c>
      <c r="BA11" s="110">
        <f t="shared" si="20"/>
        <v>500</v>
      </c>
      <c r="BB11" s="110">
        <f t="shared" si="21"/>
        <v>75</v>
      </c>
      <c r="BC11" s="110">
        <f t="shared" si="22"/>
        <v>773</v>
      </c>
      <c r="BD11" s="110">
        <f t="shared" si="22"/>
        <v>161</v>
      </c>
      <c r="BE11" s="110">
        <f t="shared" si="22"/>
        <v>1000</v>
      </c>
    </row>
    <row r="12" spans="1:57" x14ac:dyDescent="0.2">
      <c r="A12" s="109">
        <f t="shared" si="11"/>
        <v>7</v>
      </c>
      <c r="B12" s="109">
        <v>91521</v>
      </c>
      <c r="C12" s="109">
        <f>+C11</f>
        <v>10419</v>
      </c>
      <c r="D12" s="109">
        <f t="shared" si="12"/>
        <v>13262</v>
      </c>
      <c r="E12" s="109"/>
      <c r="F12" s="109">
        <f t="shared" si="1"/>
        <v>115202</v>
      </c>
      <c r="G12" s="109"/>
      <c r="H12" s="109">
        <v>11406</v>
      </c>
      <c r="I12" s="109">
        <f t="shared" si="2"/>
        <v>11165</v>
      </c>
      <c r="J12" s="109"/>
      <c r="K12" s="109">
        <f t="shared" si="3"/>
        <v>104037</v>
      </c>
      <c r="L12" s="109"/>
      <c r="M12" s="109" t="s">
        <v>313</v>
      </c>
      <c r="N12" s="109"/>
      <c r="O12" s="116">
        <f t="shared" si="13"/>
        <v>146367</v>
      </c>
      <c r="P12" s="113">
        <f t="shared" si="14"/>
        <v>36300</v>
      </c>
      <c r="Q12" s="117">
        <f t="shared" si="4"/>
        <v>182667</v>
      </c>
      <c r="R12" s="109"/>
      <c r="S12" s="109">
        <f t="shared" si="5"/>
        <v>78630</v>
      </c>
      <c r="T12" s="109"/>
      <c r="U12" s="165">
        <v>2.85</v>
      </c>
      <c r="V12" s="165">
        <f t="shared" si="6"/>
        <v>2.8400000000000003</v>
      </c>
      <c r="W12" s="119">
        <f t="shared" si="7"/>
        <v>223309.2</v>
      </c>
      <c r="AC12" s="110">
        <f t="shared" si="15"/>
        <v>323</v>
      </c>
      <c r="AD12" s="110">
        <f t="shared" si="8"/>
        <v>13</v>
      </c>
      <c r="AE12" s="110">
        <f t="shared" si="8"/>
        <v>12</v>
      </c>
      <c r="AF12" s="110">
        <f t="shared" si="8"/>
        <v>6</v>
      </c>
      <c r="AG12" s="110">
        <f t="shared" si="8"/>
        <v>2097</v>
      </c>
      <c r="AH12" s="110">
        <f t="shared" si="8"/>
        <v>14</v>
      </c>
      <c r="AJ12" s="110">
        <f t="shared" si="0"/>
        <v>2465</v>
      </c>
      <c r="AL12" s="110">
        <f t="shared" si="16"/>
        <v>0</v>
      </c>
      <c r="AM12" s="110">
        <f t="shared" si="16"/>
        <v>0</v>
      </c>
      <c r="AN12" s="110">
        <f t="shared" si="16"/>
        <v>0</v>
      </c>
      <c r="AO12" s="110">
        <f t="shared" si="23"/>
        <v>0</v>
      </c>
      <c r="AP12" s="110">
        <f t="shared" si="24"/>
        <v>0</v>
      </c>
      <c r="AQ12" s="110">
        <f t="shared" si="25"/>
        <v>0</v>
      </c>
      <c r="AR12" s="110">
        <f t="shared" si="26"/>
        <v>0</v>
      </c>
      <c r="AT12" s="110">
        <f t="shared" si="9"/>
        <v>0</v>
      </c>
      <c r="AV12" s="110">
        <f t="shared" si="27"/>
        <v>0</v>
      </c>
      <c r="AW12" s="110">
        <f t="shared" si="18"/>
        <v>0</v>
      </c>
      <c r="AX12" s="110">
        <f t="shared" si="18"/>
        <v>0</v>
      </c>
      <c r="AZ12" s="110">
        <f t="shared" si="19"/>
        <v>484</v>
      </c>
      <c r="BA12" s="110">
        <f t="shared" si="20"/>
        <v>500</v>
      </c>
      <c r="BB12" s="110">
        <f t="shared" si="21"/>
        <v>75</v>
      </c>
      <c r="BC12" s="110">
        <f t="shared" si="22"/>
        <v>773</v>
      </c>
      <c r="BD12" s="110">
        <f t="shared" si="22"/>
        <v>161</v>
      </c>
      <c r="BE12" s="110">
        <f t="shared" si="22"/>
        <v>1000</v>
      </c>
    </row>
    <row r="13" spans="1:57" x14ac:dyDescent="0.2">
      <c r="A13" s="109">
        <f t="shared" si="11"/>
        <v>8</v>
      </c>
      <c r="B13" s="109">
        <v>86848</v>
      </c>
      <c r="C13" s="109">
        <f>+C12</f>
        <v>10419</v>
      </c>
      <c r="D13" s="109">
        <f t="shared" si="12"/>
        <v>13262</v>
      </c>
      <c r="E13" s="109"/>
      <c r="F13" s="109">
        <f t="shared" si="1"/>
        <v>110529</v>
      </c>
      <c r="G13" s="109"/>
      <c r="H13" s="109">
        <v>7371</v>
      </c>
      <c r="I13" s="109">
        <f t="shared" si="2"/>
        <v>7215</v>
      </c>
      <c r="J13" s="109"/>
      <c r="K13" s="109">
        <f t="shared" si="3"/>
        <v>103314</v>
      </c>
      <c r="L13" s="109"/>
      <c r="M13" s="109" t="s">
        <v>313</v>
      </c>
      <c r="N13" s="109"/>
      <c r="O13" s="116">
        <f t="shared" si="13"/>
        <v>146367</v>
      </c>
      <c r="P13" s="113">
        <f t="shared" si="14"/>
        <v>36300</v>
      </c>
      <c r="Q13" s="117">
        <f t="shared" si="4"/>
        <v>182667</v>
      </c>
      <c r="R13" s="109"/>
      <c r="S13" s="109">
        <f t="shared" si="5"/>
        <v>79353</v>
      </c>
      <c r="T13" s="109"/>
      <c r="U13" s="165">
        <v>2.89</v>
      </c>
      <c r="V13" s="165">
        <f t="shared" si="6"/>
        <v>2.8800000000000003</v>
      </c>
      <c r="W13" s="119">
        <f t="shared" si="7"/>
        <v>228536.64</v>
      </c>
      <c r="AC13" s="110">
        <f t="shared" si="15"/>
        <v>323</v>
      </c>
      <c r="AD13" s="110">
        <f t="shared" si="8"/>
        <v>13</v>
      </c>
      <c r="AE13" s="110">
        <f t="shared" si="8"/>
        <v>12</v>
      </c>
      <c r="AF13" s="110">
        <f t="shared" si="8"/>
        <v>6</v>
      </c>
      <c r="AG13" s="110">
        <f t="shared" si="8"/>
        <v>2097</v>
      </c>
      <c r="AH13" s="110">
        <f t="shared" si="8"/>
        <v>14</v>
      </c>
      <c r="AJ13" s="110">
        <f t="shared" si="0"/>
        <v>2465</v>
      </c>
      <c r="AL13" s="110">
        <f t="shared" si="16"/>
        <v>0</v>
      </c>
      <c r="AM13" s="110">
        <f t="shared" si="16"/>
        <v>0</v>
      </c>
      <c r="AN13" s="110">
        <f t="shared" si="16"/>
        <v>0</v>
      </c>
      <c r="AO13" s="110">
        <f t="shared" si="23"/>
        <v>0</v>
      </c>
      <c r="AP13" s="110">
        <f t="shared" si="24"/>
        <v>0</v>
      </c>
      <c r="AQ13" s="110">
        <f t="shared" si="25"/>
        <v>0</v>
      </c>
      <c r="AR13" s="110">
        <f t="shared" si="26"/>
        <v>0</v>
      </c>
      <c r="AT13" s="110">
        <f t="shared" si="9"/>
        <v>0</v>
      </c>
      <c r="AV13" s="110">
        <f t="shared" si="27"/>
        <v>0</v>
      </c>
      <c r="AW13" s="110">
        <v>0</v>
      </c>
      <c r="AX13" s="110">
        <f t="shared" si="18"/>
        <v>0</v>
      </c>
      <c r="AZ13" s="110">
        <f t="shared" si="19"/>
        <v>484</v>
      </c>
      <c r="BA13" s="110">
        <f t="shared" si="20"/>
        <v>500</v>
      </c>
      <c r="BB13" s="110">
        <f t="shared" si="21"/>
        <v>75</v>
      </c>
      <c r="BC13" s="110">
        <f t="shared" si="22"/>
        <v>773</v>
      </c>
      <c r="BD13" s="110">
        <f t="shared" si="22"/>
        <v>161</v>
      </c>
      <c r="BE13" s="110">
        <f t="shared" si="22"/>
        <v>1000</v>
      </c>
    </row>
    <row r="14" spans="1:57" x14ac:dyDescent="0.2">
      <c r="A14" s="109">
        <f t="shared" si="11"/>
        <v>9</v>
      </c>
      <c r="B14" s="109">
        <v>123922</v>
      </c>
      <c r="C14" s="109">
        <v>10789</v>
      </c>
      <c r="D14" s="109">
        <f t="shared" si="12"/>
        <v>13262</v>
      </c>
      <c r="E14" s="109"/>
      <c r="F14" s="109">
        <f t="shared" si="1"/>
        <v>147973</v>
      </c>
      <c r="G14" s="109"/>
      <c r="H14" s="109">
        <v>31302</v>
      </c>
      <c r="I14" s="109">
        <f t="shared" si="2"/>
        <v>30640</v>
      </c>
      <c r="J14" s="109"/>
      <c r="K14" s="109">
        <f t="shared" si="3"/>
        <v>117333</v>
      </c>
      <c r="L14" s="109"/>
      <c r="M14" s="109" t="s">
        <v>313</v>
      </c>
      <c r="N14" s="109"/>
      <c r="O14" s="116">
        <f t="shared" si="13"/>
        <v>146367</v>
      </c>
      <c r="P14" s="113">
        <f t="shared" si="14"/>
        <v>36300</v>
      </c>
      <c r="Q14" s="117">
        <f t="shared" si="4"/>
        <v>182667</v>
      </c>
      <c r="R14" s="109"/>
      <c r="S14" s="109">
        <f t="shared" si="5"/>
        <v>65334</v>
      </c>
      <c r="T14" s="109"/>
      <c r="U14" s="165">
        <v>2.84</v>
      </c>
      <c r="V14" s="165">
        <f t="shared" si="6"/>
        <v>2.83</v>
      </c>
      <c r="W14" s="119">
        <f t="shared" si="7"/>
        <v>184895.22</v>
      </c>
      <c r="AC14" s="110">
        <f t="shared" si="15"/>
        <v>323</v>
      </c>
      <c r="AD14" s="110">
        <f t="shared" si="8"/>
        <v>13</v>
      </c>
      <c r="AE14" s="110">
        <f t="shared" si="8"/>
        <v>12</v>
      </c>
      <c r="AF14" s="110">
        <f t="shared" si="8"/>
        <v>6</v>
      </c>
      <c r="AG14" s="110">
        <f t="shared" si="8"/>
        <v>2097</v>
      </c>
      <c r="AH14" s="110">
        <f t="shared" si="8"/>
        <v>14</v>
      </c>
      <c r="AJ14" s="110">
        <f t="shared" si="0"/>
        <v>2465</v>
      </c>
      <c r="AL14" s="110">
        <f t="shared" si="16"/>
        <v>0</v>
      </c>
      <c r="AM14" s="110">
        <v>500</v>
      </c>
      <c r="AN14" s="110">
        <v>370</v>
      </c>
      <c r="AO14" s="110">
        <f t="shared" si="23"/>
        <v>0</v>
      </c>
      <c r="AP14" s="110">
        <f t="shared" si="24"/>
        <v>0</v>
      </c>
      <c r="AQ14" s="110">
        <f t="shared" si="25"/>
        <v>0</v>
      </c>
      <c r="AR14" s="110">
        <f t="shared" si="26"/>
        <v>0</v>
      </c>
      <c r="AT14" s="110">
        <f t="shared" si="9"/>
        <v>870</v>
      </c>
      <c r="AV14" s="110">
        <f t="shared" si="27"/>
        <v>0</v>
      </c>
      <c r="AW14" s="110">
        <v>0</v>
      </c>
      <c r="AX14" s="110">
        <v>0</v>
      </c>
      <c r="AZ14" s="110">
        <f t="shared" si="19"/>
        <v>484</v>
      </c>
      <c r="BA14" s="110">
        <f t="shared" si="20"/>
        <v>500</v>
      </c>
      <c r="BB14" s="110">
        <f t="shared" si="21"/>
        <v>75</v>
      </c>
      <c r="BC14" s="110">
        <f t="shared" si="22"/>
        <v>773</v>
      </c>
      <c r="BD14" s="110">
        <f t="shared" si="22"/>
        <v>161</v>
      </c>
      <c r="BE14" s="110">
        <f t="shared" si="22"/>
        <v>1000</v>
      </c>
    </row>
    <row r="15" spans="1:57" x14ac:dyDescent="0.2">
      <c r="A15" s="109">
        <f t="shared" si="11"/>
        <v>10</v>
      </c>
      <c r="B15" s="109">
        <v>159553</v>
      </c>
      <c r="C15" s="109">
        <f>+C14</f>
        <v>10789</v>
      </c>
      <c r="D15" s="109">
        <f t="shared" si="12"/>
        <v>13262</v>
      </c>
      <c r="E15" s="109"/>
      <c r="F15" s="109">
        <f t="shared" si="1"/>
        <v>183604</v>
      </c>
      <c r="G15" s="109"/>
      <c r="H15" s="109">
        <v>44554</v>
      </c>
      <c r="I15" s="109">
        <f t="shared" si="2"/>
        <v>43611</v>
      </c>
      <c r="J15" s="109"/>
      <c r="K15" s="109">
        <f t="shared" si="3"/>
        <v>139993</v>
      </c>
      <c r="L15" s="109"/>
      <c r="M15" s="109" t="s">
        <v>313</v>
      </c>
      <c r="N15" s="109"/>
      <c r="O15" s="116">
        <f t="shared" si="13"/>
        <v>146367</v>
      </c>
      <c r="P15" s="113">
        <f t="shared" si="14"/>
        <v>36300</v>
      </c>
      <c r="Q15" s="117">
        <f t="shared" si="4"/>
        <v>182667</v>
      </c>
      <c r="R15" s="109"/>
      <c r="S15" s="109">
        <f t="shared" si="5"/>
        <v>42674</v>
      </c>
      <c r="T15" s="109"/>
      <c r="U15" s="165">
        <v>2.8149999999999999</v>
      </c>
      <c r="V15" s="165">
        <f t="shared" si="6"/>
        <v>2.8050000000000002</v>
      </c>
      <c r="W15" s="119">
        <f t="shared" si="7"/>
        <v>119700.57</v>
      </c>
      <c r="AC15" s="110">
        <f t="shared" si="15"/>
        <v>323</v>
      </c>
      <c r="AD15" s="110">
        <f t="shared" si="8"/>
        <v>13</v>
      </c>
      <c r="AE15" s="110">
        <f t="shared" si="8"/>
        <v>12</v>
      </c>
      <c r="AF15" s="110">
        <f t="shared" si="8"/>
        <v>6</v>
      </c>
      <c r="AG15" s="110">
        <f t="shared" si="8"/>
        <v>2097</v>
      </c>
      <c r="AH15" s="110">
        <f t="shared" si="8"/>
        <v>14</v>
      </c>
      <c r="AJ15" s="110">
        <f t="shared" si="0"/>
        <v>2465</v>
      </c>
      <c r="AL15" s="110">
        <v>0</v>
      </c>
      <c r="AM15" s="110">
        <f t="shared" si="16"/>
        <v>500</v>
      </c>
      <c r="AN15" s="110">
        <f t="shared" si="16"/>
        <v>370</v>
      </c>
      <c r="AO15" s="110">
        <f t="shared" si="23"/>
        <v>0</v>
      </c>
      <c r="AP15" s="110">
        <f t="shared" si="24"/>
        <v>0</v>
      </c>
      <c r="AQ15" s="110">
        <f t="shared" si="25"/>
        <v>0</v>
      </c>
      <c r="AR15" s="110">
        <f t="shared" si="26"/>
        <v>0</v>
      </c>
      <c r="AT15" s="110">
        <f t="shared" si="9"/>
        <v>870</v>
      </c>
      <c r="AV15" s="110">
        <f t="shared" si="27"/>
        <v>0</v>
      </c>
      <c r="AW15" s="110">
        <f t="shared" si="18"/>
        <v>0</v>
      </c>
      <c r="AX15" s="110">
        <v>0</v>
      </c>
      <c r="AZ15" s="110">
        <f t="shared" si="19"/>
        <v>484</v>
      </c>
      <c r="BA15" s="110">
        <f t="shared" si="20"/>
        <v>500</v>
      </c>
      <c r="BB15" s="110">
        <f t="shared" si="21"/>
        <v>75</v>
      </c>
      <c r="BC15" s="110">
        <f t="shared" si="22"/>
        <v>773</v>
      </c>
      <c r="BD15" s="110">
        <f t="shared" si="22"/>
        <v>161</v>
      </c>
      <c r="BE15" s="110">
        <f t="shared" si="22"/>
        <v>1000</v>
      </c>
    </row>
    <row r="16" spans="1:57" x14ac:dyDescent="0.2">
      <c r="A16" s="109">
        <f t="shared" si="11"/>
        <v>11</v>
      </c>
      <c r="B16" s="109">
        <v>170227</v>
      </c>
      <c r="C16" s="109">
        <v>10733</v>
      </c>
      <c r="D16" s="109">
        <f t="shared" si="12"/>
        <v>13262</v>
      </c>
      <c r="E16" s="109"/>
      <c r="F16" s="109">
        <f t="shared" si="1"/>
        <v>194222</v>
      </c>
      <c r="G16" s="109"/>
      <c r="H16" s="109">
        <v>50759</v>
      </c>
      <c r="I16" s="109">
        <f t="shared" si="2"/>
        <v>49685</v>
      </c>
      <c r="J16" s="109"/>
      <c r="K16" s="109">
        <f t="shared" si="3"/>
        <v>144537</v>
      </c>
      <c r="L16" s="109"/>
      <c r="M16" s="109" t="s">
        <v>313</v>
      </c>
      <c r="N16" s="109"/>
      <c r="O16" s="116">
        <f t="shared" si="13"/>
        <v>146367</v>
      </c>
      <c r="P16" s="113">
        <f t="shared" si="14"/>
        <v>36300</v>
      </c>
      <c r="Q16" s="117">
        <f t="shared" si="4"/>
        <v>182667</v>
      </c>
      <c r="R16" s="109"/>
      <c r="S16" s="109">
        <f t="shared" si="5"/>
        <v>38130</v>
      </c>
      <c r="T16" s="109"/>
      <c r="U16" s="165">
        <v>2.8849999999999998</v>
      </c>
      <c r="V16" s="165">
        <f t="shared" si="6"/>
        <v>2.875</v>
      </c>
      <c r="W16" s="119">
        <f t="shared" si="7"/>
        <v>109623.75</v>
      </c>
      <c r="AC16" s="110">
        <f t="shared" si="15"/>
        <v>323</v>
      </c>
      <c r="AD16" s="110">
        <f t="shared" si="8"/>
        <v>13</v>
      </c>
      <c r="AE16" s="110">
        <f t="shared" si="8"/>
        <v>12</v>
      </c>
      <c r="AF16" s="110">
        <f t="shared" si="8"/>
        <v>6</v>
      </c>
      <c r="AG16" s="110">
        <f t="shared" si="8"/>
        <v>2097</v>
      </c>
      <c r="AH16" s="110">
        <f t="shared" si="8"/>
        <v>14</v>
      </c>
      <c r="AJ16" s="110">
        <f t="shared" si="0"/>
        <v>2465</v>
      </c>
      <c r="AL16" s="110">
        <v>0</v>
      </c>
      <c r="AM16" s="110">
        <f t="shared" si="16"/>
        <v>500</v>
      </c>
      <c r="AN16" s="110">
        <f t="shared" si="16"/>
        <v>370</v>
      </c>
      <c r="AO16" s="110">
        <f t="shared" si="17"/>
        <v>0</v>
      </c>
      <c r="AP16" s="110">
        <f t="shared" si="17"/>
        <v>0</v>
      </c>
      <c r="AQ16" s="110">
        <v>0</v>
      </c>
      <c r="AR16" s="110">
        <f t="shared" si="17"/>
        <v>0</v>
      </c>
      <c r="AT16" s="110">
        <f t="shared" si="9"/>
        <v>870</v>
      </c>
      <c r="AV16" s="110">
        <f t="shared" si="27"/>
        <v>0</v>
      </c>
      <c r="AW16" s="110">
        <f t="shared" si="18"/>
        <v>0</v>
      </c>
      <c r="AX16" s="110">
        <f t="shared" si="18"/>
        <v>0</v>
      </c>
      <c r="AZ16" s="110">
        <f t="shared" si="19"/>
        <v>484</v>
      </c>
      <c r="BA16" s="110">
        <f t="shared" si="20"/>
        <v>500</v>
      </c>
      <c r="BB16" s="110">
        <f t="shared" si="21"/>
        <v>75</v>
      </c>
      <c r="BC16" s="110">
        <f t="shared" si="22"/>
        <v>773</v>
      </c>
      <c r="BD16" s="110">
        <f t="shared" si="22"/>
        <v>161</v>
      </c>
      <c r="BE16" s="110">
        <f t="shared" si="22"/>
        <v>1000</v>
      </c>
    </row>
    <row r="17" spans="1:57" x14ac:dyDescent="0.2">
      <c r="A17" s="109">
        <f t="shared" si="11"/>
        <v>12</v>
      </c>
      <c r="B17" s="109">
        <v>167952</v>
      </c>
      <c r="C17" s="109">
        <v>10753</v>
      </c>
      <c r="D17" s="109">
        <f t="shared" si="12"/>
        <v>13262</v>
      </c>
      <c r="E17" s="109"/>
      <c r="F17" s="109">
        <f t="shared" si="1"/>
        <v>191967</v>
      </c>
      <c r="G17" s="109"/>
      <c r="H17" s="109">
        <v>47367</v>
      </c>
      <c r="I17" s="109">
        <f t="shared" si="2"/>
        <v>46365</v>
      </c>
      <c r="J17" s="109"/>
      <c r="K17" s="109">
        <f t="shared" si="3"/>
        <v>145602</v>
      </c>
      <c r="L17" s="109"/>
      <c r="M17" s="109" t="s">
        <v>313</v>
      </c>
      <c r="N17" s="109"/>
      <c r="O17" s="116">
        <f t="shared" si="13"/>
        <v>146367</v>
      </c>
      <c r="P17" s="113">
        <f t="shared" si="14"/>
        <v>36300</v>
      </c>
      <c r="Q17" s="117">
        <f t="shared" si="4"/>
        <v>182667</v>
      </c>
      <c r="R17" s="109"/>
      <c r="S17" s="109">
        <f t="shared" si="5"/>
        <v>37065</v>
      </c>
      <c r="T17" s="109"/>
      <c r="U17" s="165">
        <f>+U16</f>
        <v>2.8849999999999998</v>
      </c>
      <c r="V17" s="165">
        <f t="shared" si="6"/>
        <v>2.875</v>
      </c>
      <c r="W17" s="119">
        <f t="shared" si="7"/>
        <v>106561.875</v>
      </c>
      <c r="AC17" s="110">
        <f t="shared" si="15"/>
        <v>323</v>
      </c>
      <c r="AD17" s="110">
        <f t="shared" si="8"/>
        <v>13</v>
      </c>
      <c r="AE17" s="110">
        <f t="shared" si="8"/>
        <v>12</v>
      </c>
      <c r="AF17" s="110">
        <f t="shared" si="8"/>
        <v>6</v>
      </c>
      <c r="AG17" s="110">
        <f t="shared" si="8"/>
        <v>2097</v>
      </c>
      <c r="AH17" s="110">
        <f t="shared" si="8"/>
        <v>14</v>
      </c>
      <c r="AJ17" s="110">
        <f t="shared" si="0"/>
        <v>2465</v>
      </c>
      <c r="AL17" s="110">
        <v>0</v>
      </c>
      <c r="AM17" s="110">
        <f t="shared" si="16"/>
        <v>500</v>
      </c>
      <c r="AN17" s="110">
        <f t="shared" si="16"/>
        <v>370</v>
      </c>
      <c r="AO17" s="110">
        <f t="shared" si="17"/>
        <v>0</v>
      </c>
      <c r="AP17" s="110">
        <f t="shared" si="17"/>
        <v>0</v>
      </c>
      <c r="AQ17" s="110">
        <v>0</v>
      </c>
      <c r="AR17" s="110">
        <f t="shared" si="17"/>
        <v>0</v>
      </c>
      <c r="AT17" s="110">
        <f t="shared" si="9"/>
        <v>870</v>
      </c>
      <c r="AV17" s="110">
        <f t="shared" si="27"/>
        <v>0</v>
      </c>
      <c r="AW17" s="110">
        <f t="shared" si="18"/>
        <v>0</v>
      </c>
      <c r="AX17" s="110">
        <f t="shared" si="18"/>
        <v>0</v>
      </c>
      <c r="AZ17" s="110">
        <f t="shared" si="19"/>
        <v>484</v>
      </c>
      <c r="BA17" s="110">
        <f t="shared" si="20"/>
        <v>500</v>
      </c>
      <c r="BB17" s="110">
        <f t="shared" si="21"/>
        <v>75</v>
      </c>
      <c r="BC17" s="110">
        <f t="shared" si="22"/>
        <v>773</v>
      </c>
      <c r="BD17" s="110">
        <f t="shared" si="22"/>
        <v>161</v>
      </c>
      <c r="BE17" s="110">
        <f t="shared" si="22"/>
        <v>1000</v>
      </c>
    </row>
    <row r="18" spans="1:57" x14ac:dyDescent="0.2">
      <c r="A18" s="109">
        <f t="shared" si="11"/>
        <v>13</v>
      </c>
      <c r="B18" s="109">
        <v>149271</v>
      </c>
      <c r="C18" s="109">
        <v>11688</v>
      </c>
      <c r="D18" s="109">
        <f t="shared" si="12"/>
        <v>13262</v>
      </c>
      <c r="E18" s="109"/>
      <c r="F18" s="109">
        <f t="shared" si="1"/>
        <v>174221</v>
      </c>
      <c r="G18" s="109"/>
      <c r="H18" s="109">
        <v>30893</v>
      </c>
      <c r="I18" s="109">
        <f t="shared" si="2"/>
        <v>30239</v>
      </c>
      <c r="J18" s="109"/>
      <c r="K18" s="109">
        <f t="shared" si="3"/>
        <v>143982</v>
      </c>
      <c r="L18" s="109"/>
      <c r="M18" s="109" t="s">
        <v>313</v>
      </c>
      <c r="N18" s="109"/>
      <c r="O18" s="116">
        <f t="shared" si="13"/>
        <v>146367</v>
      </c>
      <c r="P18" s="113">
        <f t="shared" si="14"/>
        <v>36300</v>
      </c>
      <c r="Q18" s="117">
        <f t="shared" si="4"/>
        <v>182667</v>
      </c>
      <c r="R18" s="109"/>
      <c r="S18" s="109">
        <f t="shared" si="5"/>
        <v>38685</v>
      </c>
      <c r="T18" s="109"/>
      <c r="U18" s="165">
        <f>+U17</f>
        <v>2.8849999999999998</v>
      </c>
      <c r="V18" s="165">
        <f t="shared" si="6"/>
        <v>2.875</v>
      </c>
      <c r="W18" s="119">
        <f t="shared" si="7"/>
        <v>111219.375</v>
      </c>
      <c r="AC18" s="110">
        <f t="shared" si="15"/>
        <v>323</v>
      </c>
      <c r="AD18" s="110">
        <f t="shared" si="8"/>
        <v>13</v>
      </c>
      <c r="AE18" s="110">
        <f t="shared" si="8"/>
        <v>12</v>
      </c>
      <c r="AF18" s="110">
        <f t="shared" si="8"/>
        <v>6</v>
      </c>
      <c r="AG18" s="110">
        <f t="shared" si="8"/>
        <v>2097</v>
      </c>
      <c r="AH18" s="110">
        <f t="shared" si="8"/>
        <v>14</v>
      </c>
      <c r="AJ18" s="110">
        <f t="shared" si="0"/>
        <v>2465</v>
      </c>
      <c r="AL18" s="110">
        <f t="shared" si="16"/>
        <v>0</v>
      </c>
      <c r="AM18" s="110">
        <f t="shared" si="16"/>
        <v>500</v>
      </c>
      <c r="AN18" s="110">
        <f t="shared" si="16"/>
        <v>370</v>
      </c>
      <c r="AO18" s="110">
        <f t="shared" si="17"/>
        <v>0</v>
      </c>
      <c r="AP18" s="110">
        <f t="shared" si="17"/>
        <v>0</v>
      </c>
      <c r="AQ18" s="110">
        <f t="shared" si="17"/>
        <v>0</v>
      </c>
      <c r="AR18" s="110">
        <f t="shared" si="17"/>
        <v>0</v>
      </c>
      <c r="AT18" s="110">
        <f t="shared" si="9"/>
        <v>870</v>
      </c>
      <c r="AV18" s="110">
        <f t="shared" si="27"/>
        <v>0</v>
      </c>
      <c r="AW18" s="110">
        <f t="shared" si="18"/>
        <v>0</v>
      </c>
      <c r="AX18" s="110">
        <f t="shared" si="18"/>
        <v>0</v>
      </c>
      <c r="AZ18" s="110">
        <f t="shared" si="19"/>
        <v>484</v>
      </c>
      <c r="BA18" s="110">
        <f t="shared" si="20"/>
        <v>500</v>
      </c>
      <c r="BB18" s="110">
        <f t="shared" si="21"/>
        <v>75</v>
      </c>
      <c r="BC18" s="110">
        <f t="shared" si="22"/>
        <v>773</v>
      </c>
      <c r="BD18" s="110">
        <f t="shared" si="22"/>
        <v>161</v>
      </c>
      <c r="BE18" s="110">
        <f t="shared" si="22"/>
        <v>1000</v>
      </c>
    </row>
    <row r="19" spans="1:57" x14ac:dyDescent="0.2">
      <c r="A19" s="109">
        <f t="shared" si="11"/>
        <v>14</v>
      </c>
      <c r="B19" s="109">
        <v>128937</v>
      </c>
      <c r="C19" s="109">
        <v>10789</v>
      </c>
      <c r="D19" s="109">
        <f t="shared" si="12"/>
        <v>13262</v>
      </c>
      <c r="E19" s="109"/>
      <c r="F19" s="109">
        <f t="shared" si="1"/>
        <v>152988</v>
      </c>
      <c r="G19" s="109"/>
      <c r="H19" s="109">
        <v>19098</v>
      </c>
      <c r="I19" s="109">
        <f t="shared" si="2"/>
        <v>18694</v>
      </c>
      <c r="J19" s="109"/>
      <c r="K19" s="109">
        <f t="shared" si="3"/>
        <v>134294</v>
      </c>
      <c r="L19" s="109"/>
      <c r="M19" s="109" t="s">
        <v>313</v>
      </c>
      <c r="N19" s="109"/>
      <c r="O19" s="116">
        <f t="shared" si="13"/>
        <v>146367</v>
      </c>
      <c r="P19" s="113">
        <f t="shared" si="14"/>
        <v>36300</v>
      </c>
      <c r="Q19" s="117">
        <f t="shared" si="4"/>
        <v>182667</v>
      </c>
      <c r="R19" s="109"/>
      <c r="S19" s="109">
        <f t="shared" si="5"/>
        <v>48373</v>
      </c>
      <c r="T19" s="109"/>
      <c r="U19" s="165">
        <v>2.9350000000000001</v>
      </c>
      <c r="V19" s="165">
        <f t="shared" si="6"/>
        <v>2.9250000000000003</v>
      </c>
      <c r="W19" s="119">
        <f t="shared" si="7"/>
        <v>141491.02500000002</v>
      </c>
      <c r="AC19" s="110">
        <f t="shared" si="15"/>
        <v>323</v>
      </c>
      <c r="AD19" s="110">
        <f t="shared" si="8"/>
        <v>13</v>
      </c>
      <c r="AE19" s="110">
        <f t="shared" si="8"/>
        <v>12</v>
      </c>
      <c r="AF19" s="110">
        <f t="shared" si="8"/>
        <v>6</v>
      </c>
      <c r="AG19" s="110">
        <f t="shared" si="8"/>
        <v>2097</v>
      </c>
      <c r="AH19" s="110">
        <f t="shared" si="8"/>
        <v>14</v>
      </c>
      <c r="AJ19" s="110">
        <f t="shared" si="0"/>
        <v>2465</v>
      </c>
      <c r="AL19" s="110">
        <f t="shared" si="16"/>
        <v>0</v>
      </c>
      <c r="AM19" s="110">
        <f t="shared" si="16"/>
        <v>500</v>
      </c>
      <c r="AN19" s="110">
        <f t="shared" si="16"/>
        <v>370</v>
      </c>
      <c r="AO19" s="110">
        <f t="shared" si="17"/>
        <v>0</v>
      </c>
      <c r="AP19" s="110">
        <f t="shared" si="17"/>
        <v>0</v>
      </c>
      <c r="AQ19" s="110">
        <f t="shared" si="17"/>
        <v>0</v>
      </c>
      <c r="AR19" s="110">
        <f t="shared" si="17"/>
        <v>0</v>
      </c>
      <c r="AT19" s="110">
        <f t="shared" si="9"/>
        <v>870</v>
      </c>
      <c r="AV19" s="110">
        <f t="shared" si="27"/>
        <v>0</v>
      </c>
      <c r="AW19" s="110">
        <f t="shared" si="18"/>
        <v>0</v>
      </c>
      <c r="AX19" s="110">
        <f t="shared" si="18"/>
        <v>0</v>
      </c>
      <c r="AZ19" s="110">
        <f t="shared" si="19"/>
        <v>484</v>
      </c>
      <c r="BA19" s="110">
        <f t="shared" si="20"/>
        <v>500</v>
      </c>
      <c r="BB19" s="110">
        <f t="shared" si="21"/>
        <v>75</v>
      </c>
      <c r="BC19" s="110">
        <f t="shared" si="22"/>
        <v>773</v>
      </c>
      <c r="BD19" s="110">
        <f t="shared" si="22"/>
        <v>161</v>
      </c>
      <c r="BE19" s="110">
        <f t="shared" si="22"/>
        <v>1000</v>
      </c>
    </row>
    <row r="20" spans="1:57" x14ac:dyDescent="0.2">
      <c r="A20" s="109">
        <f t="shared" si="11"/>
        <v>15</v>
      </c>
      <c r="B20" s="109">
        <v>102484</v>
      </c>
      <c r="C20" s="109">
        <v>10839</v>
      </c>
      <c r="D20" s="109">
        <f t="shared" si="12"/>
        <v>13262</v>
      </c>
      <c r="E20" s="109"/>
      <c r="F20" s="109">
        <f t="shared" si="1"/>
        <v>126585</v>
      </c>
      <c r="G20" s="109"/>
      <c r="H20" s="109">
        <v>9980</v>
      </c>
      <c r="I20" s="109">
        <f t="shared" si="2"/>
        <v>9769</v>
      </c>
      <c r="J20" s="109"/>
      <c r="K20" s="109">
        <f t="shared" si="3"/>
        <v>116816</v>
      </c>
      <c r="L20" s="109"/>
      <c r="M20" s="109" t="s">
        <v>313</v>
      </c>
      <c r="N20" s="109"/>
      <c r="O20" s="116">
        <f t="shared" si="13"/>
        <v>146367</v>
      </c>
      <c r="P20" s="113">
        <f t="shared" si="14"/>
        <v>36300</v>
      </c>
      <c r="Q20" s="117">
        <f t="shared" si="4"/>
        <v>182667</v>
      </c>
      <c r="R20" s="109"/>
      <c r="S20" s="109">
        <f t="shared" si="5"/>
        <v>65851</v>
      </c>
      <c r="T20" s="109"/>
      <c r="U20" s="165">
        <v>2.9449999999999998</v>
      </c>
      <c r="V20" s="165">
        <f t="shared" si="6"/>
        <v>2.9350000000000001</v>
      </c>
      <c r="W20" s="119">
        <f t="shared" si="7"/>
        <v>193272.685</v>
      </c>
      <c r="AC20" s="110">
        <f t="shared" si="15"/>
        <v>323</v>
      </c>
      <c r="AD20" s="110">
        <f t="shared" si="8"/>
        <v>13</v>
      </c>
      <c r="AE20" s="110">
        <f t="shared" si="8"/>
        <v>12</v>
      </c>
      <c r="AF20" s="110">
        <f t="shared" si="8"/>
        <v>6</v>
      </c>
      <c r="AG20" s="110">
        <f t="shared" si="8"/>
        <v>2097</v>
      </c>
      <c r="AH20" s="110">
        <f t="shared" si="8"/>
        <v>14</v>
      </c>
      <c r="AJ20" s="110">
        <f t="shared" si="0"/>
        <v>2465</v>
      </c>
      <c r="AL20" s="110">
        <f t="shared" si="16"/>
        <v>0</v>
      </c>
      <c r="AM20" s="110">
        <f t="shared" si="16"/>
        <v>500</v>
      </c>
      <c r="AN20" s="110">
        <f t="shared" si="16"/>
        <v>370</v>
      </c>
      <c r="AO20" s="110">
        <f t="shared" si="17"/>
        <v>0</v>
      </c>
      <c r="AP20" s="110">
        <f t="shared" si="17"/>
        <v>0</v>
      </c>
      <c r="AQ20" s="110">
        <v>0</v>
      </c>
      <c r="AR20" s="110">
        <f t="shared" si="17"/>
        <v>0</v>
      </c>
      <c r="AT20" s="110">
        <f t="shared" si="9"/>
        <v>870</v>
      </c>
      <c r="AV20" s="110">
        <f t="shared" si="27"/>
        <v>0</v>
      </c>
      <c r="AW20" s="110">
        <f t="shared" si="18"/>
        <v>0</v>
      </c>
      <c r="AX20" s="110">
        <v>0</v>
      </c>
      <c r="AZ20" s="110">
        <f t="shared" si="19"/>
        <v>484</v>
      </c>
      <c r="BA20" s="110">
        <f t="shared" si="20"/>
        <v>500</v>
      </c>
      <c r="BB20" s="110">
        <f t="shared" si="21"/>
        <v>75</v>
      </c>
      <c r="BC20" s="110">
        <f t="shared" si="22"/>
        <v>773</v>
      </c>
      <c r="BD20" s="110">
        <f t="shared" si="22"/>
        <v>161</v>
      </c>
      <c r="BE20" s="110">
        <f t="shared" si="22"/>
        <v>1000</v>
      </c>
    </row>
    <row r="21" spans="1:57" x14ac:dyDescent="0.2">
      <c r="A21" s="109">
        <f t="shared" si="11"/>
        <v>16</v>
      </c>
      <c r="B21" s="109">
        <v>162830</v>
      </c>
      <c r="C21" s="109">
        <f>+C20</f>
        <v>10839</v>
      </c>
      <c r="D21" s="109">
        <f t="shared" si="12"/>
        <v>13262</v>
      </c>
      <c r="E21" s="109"/>
      <c r="F21" s="109">
        <f t="shared" si="1"/>
        <v>186931</v>
      </c>
      <c r="G21" s="109"/>
      <c r="H21" s="109">
        <v>32140</v>
      </c>
      <c r="I21" s="109">
        <f t="shared" si="2"/>
        <v>31460</v>
      </c>
      <c r="J21" s="109"/>
      <c r="K21" s="109">
        <f t="shared" si="3"/>
        <v>155471</v>
      </c>
      <c r="L21" s="109"/>
      <c r="M21" s="109" t="s">
        <v>313</v>
      </c>
      <c r="N21" s="109"/>
      <c r="O21" s="116">
        <f t="shared" si="13"/>
        <v>146367</v>
      </c>
      <c r="P21" s="113">
        <f t="shared" si="14"/>
        <v>36300</v>
      </c>
      <c r="Q21" s="117">
        <f t="shared" si="4"/>
        <v>182667</v>
      </c>
      <c r="R21" s="109"/>
      <c r="S21" s="109">
        <f t="shared" si="5"/>
        <v>27196</v>
      </c>
      <c r="T21" s="109"/>
      <c r="U21" s="165">
        <v>2.86</v>
      </c>
      <c r="V21" s="165">
        <f t="shared" si="6"/>
        <v>2.85</v>
      </c>
      <c r="W21" s="119">
        <f t="shared" si="7"/>
        <v>77508.600000000006</v>
      </c>
      <c r="AC21" s="110">
        <f t="shared" si="15"/>
        <v>323</v>
      </c>
      <c r="AD21" s="110">
        <f t="shared" si="8"/>
        <v>13</v>
      </c>
      <c r="AE21" s="110">
        <f t="shared" si="8"/>
        <v>12</v>
      </c>
      <c r="AF21" s="110">
        <f t="shared" si="8"/>
        <v>6</v>
      </c>
      <c r="AG21" s="110">
        <f t="shared" si="8"/>
        <v>2097</v>
      </c>
      <c r="AH21" s="110">
        <f t="shared" si="8"/>
        <v>14</v>
      </c>
      <c r="AJ21" s="110">
        <f t="shared" si="0"/>
        <v>2465</v>
      </c>
      <c r="AL21" s="110">
        <f t="shared" si="16"/>
        <v>0</v>
      </c>
      <c r="AM21" s="110">
        <f t="shared" si="16"/>
        <v>500</v>
      </c>
      <c r="AN21" s="110">
        <f t="shared" si="16"/>
        <v>370</v>
      </c>
      <c r="AO21" s="110">
        <f t="shared" si="17"/>
        <v>0</v>
      </c>
      <c r="AP21" s="110">
        <f t="shared" si="17"/>
        <v>0</v>
      </c>
      <c r="AQ21" s="110">
        <v>0</v>
      </c>
      <c r="AR21" s="110">
        <f t="shared" si="17"/>
        <v>0</v>
      </c>
      <c r="AT21" s="110">
        <f t="shared" si="9"/>
        <v>870</v>
      </c>
      <c r="AV21" s="110">
        <f t="shared" si="27"/>
        <v>0</v>
      </c>
      <c r="AW21" s="110">
        <f t="shared" si="18"/>
        <v>0</v>
      </c>
      <c r="AX21" s="110">
        <v>0</v>
      </c>
      <c r="AZ21" s="110">
        <f t="shared" si="19"/>
        <v>484</v>
      </c>
      <c r="BA21" s="110">
        <f t="shared" si="20"/>
        <v>500</v>
      </c>
      <c r="BB21" s="110">
        <f t="shared" si="21"/>
        <v>75</v>
      </c>
      <c r="BC21" s="110">
        <f t="shared" si="22"/>
        <v>773</v>
      </c>
      <c r="BD21" s="110">
        <f t="shared" si="22"/>
        <v>161</v>
      </c>
      <c r="BE21" s="110">
        <f t="shared" si="22"/>
        <v>1000</v>
      </c>
    </row>
    <row r="22" spans="1:57" x14ac:dyDescent="0.2">
      <c r="A22" s="109">
        <f t="shared" si="11"/>
        <v>17</v>
      </c>
      <c r="B22" s="109">
        <v>174763</v>
      </c>
      <c r="C22" s="109">
        <f>+C21</f>
        <v>10839</v>
      </c>
      <c r="D22" s="109">
        <f t="shared" si="12"/>
        <v>13262</v>
      </c>
      <c r="E22" s="109"/>
      <c r="F22" s="109">
        <f t="shared" si="1"/>
        <v>198864</v>
      </c>
      <c r="G22" s="109"/>
      <c r="H22" s="109">
        <v>54453</v>
      </c>
      <c r="I22" s="109">
        <f t="shared" si="2"/>
        <v>53301</v>
      </c>
      <c r="J22" s="109"/>
      <c r="K22" s="109">
        <f t="shared" si="3"/>
        <v>145563</v>
      </c>
      <c r="L22" s="109"/>
      <c r="M22" s="109" t="s">
        <v>313</v>
      </c>
      <c r="N22" s="109"/>
      <c r="O22" s="116">
        <f t="shared" si="13"/>
        <v>146367</v>
      </c>
      <c r="P22" s="113">
        <f t="shared" si="14"/>
        <v>36300</v>
      </c>
      <c r="Q22" s="117">
        <f t="shared" si="4"/>
        <v>182667</v>
      </c>
      <c r="R22" s="109"/>
      <c r="S22" s="109">
        <f t="shared" si="5"/>
        <v>37104</v>
      </c>
      <c r="T22" s="109"/>
      <c r="U22" s="165">
        <v>2.96</v>
      </c>
      <c r="V22" s="165">
        <f t="shared" si="6"/>
        <v>2.95</v>
      </c>
      <c r="W22" s="119">
        <f t="shared" si="7"/>
        <v>109456.8</v>
      </c>
      <c r="AC22" s="110">
        <f t="shared" si="15"/>
        <v>323</v>
      </c>
      <c r="AD22" s="110">
        <f t="shared" si="8"/>
        <v>13</v>
      </c>
      <c r="AE22" s="110">
        <f t="shared" si="8"/>
        <v>12</v>
      </c>
      <c r="AF22" s="110">
        <f t="shared" si="8"/>
        <v>6</v>
      </c>
      <c r="AG22" s="110">
        <f t="shared" si="8"/>
        <v>2097</v>
      </c>
      <c r="AH22" s="110">
        <f t="shared" si="8"/>
        <v>14</v>
      </c>
      <c r="AJ22" s="110">
        <f t="shared" si="0"/>
        <v>2465</v>
      </c>
      <c r="AL22" s="110">
        <f t="shared" si="16"/>
        <v>0</v>
      </c>
      <c r="AM22" s="110">
        <f t="shared" si="16"/>
        <v>500</v>
      </c>
      <c r="AN22" s="110">
        <f t="shared" si="16"/>
        <v>370</v>
      </c>
      <c r="AO22" s="110">
        <f t="shared" si="17"/>
        <v>0</v>
      </c>
      <c r="AP22" s="110">
        <f t="shared" si="17"/>
        <v>0</v>
      </c>
      <c r="AQ22" s="110">
        <f t="shared" si="17"/>
        <v>0</v>
      </c>
      <c r="AR22" s="110">
        <f t="shared" si="17"/>
        <v>0</v>
      </c>
      <c r="AT22" s="110">
        <f t="shared" si="9"/>
        <v>870</v>
      </c>
      <c r="AV22" s="110">
        <f t="shared" si="27"/>
        <v>0</v>
      </c>
      <c r="AW22" s="110">
        <f t="shared" si="18"/>
        <v>0</v>
      </c>
      <c r="AX22" s="110">
        <f t="shared" si="18"/>
        <v>0</v>
      </c>
      <c r="AZ22" s="110">
        <f t="shared" si="19"/>
        <v>484</v>
      </c>
      <c r="BA22" s="110">
        <f t="shared" si="20"/>
        <v>500</v>
      </c>
      <c r="BB22" s="110">
        <f t="shared" si="21"/>
        <v>75</v>
      </c>
      <c r="BC22" s="110">
        <f t="shared" si="22"/>
        <v>773</v>
      </c>
      <c r="BD22" s="110">
        <f t="shared" si="22"/>
        <v>161</v>
      </c>
      <c r="BE22" s="110">
        <f t="shared" si="22"/>
        <v>1000</v>
      </c>
    </row>
    <row r="23" spans="1:57" x14ac:dyDescent="0.2">
      <c r="A23" s="109">
        <f t="shared" si="11"/>
        <v>18</v>
      </c>
      <c r="B23" s="109">
        <v>146659</v>
      </c>
      <c r="C23" s="109">
        <v>10783</v>
      </c>
      <c r="D23" s="109">
        <f t="shared" si="12"/>
        <v>13262</v>
      </c>
      <c r="E23" s="109"/>
      <c r="F23" s="109">
        <f t="shared" si="1"/>
        <v>170704</v>
      </c>
      <c r="G23" s="109"/>
      <c r="H23" s="109">
        <v>54303</v>
      </c>
      <c r="I23" s="109">
        <f t="shared" si="2"/>
        <v>53154</v>
      </c>
      <c r="J23" s="109"/>
      <c r="K23" s="109">
        <f t="shared" si="3"/>
        <v>117550</v>
      </c>
      <c r="L23" s="109"/>
      <c r="M23" s="109" t="s">
        <v>313</v>
      </c>
      <c r="N23" s="109"/>
      <c r="O23" s="116">
        <f t="shared" si="13"/>
        <v>146367</v>
      </c>
      <c r="P23" s="113">
        <f t="shared" si="14"/>
        <v>36300</v>
      </c>
      <c r="Q23" s="117">
        <f t="shared" si="4"/>
        <v>182667</v>
      </c>
      <c r="R23" s="109"/>
      <c r="S23" s="109">
        <f t="shared" si="5"/>
        <v>65117</v>
      </c>
      <c r="T23" s="109"/>
      <c r="U23" s="165">
        <f>+U24</f>
        <v>2.94</v>
      </c>
      <c r="V23" s="165">
        <f t="shared" si="6"/>
        <v>2.93</v>
      </c>
      <c r="W23" s="119">
        <f t="shared" si="7"/>
        <v>190792.81</v>
      </c>
      <c r="AC23" s="110">
        <f t="shared" si="15"/>
        <v>323</v>
      </c>
      <c r="AD23" s="110">
        <f t="shared" si="15"/>
        <v>13</v>
      </c>
      <c r="AE23" s="110">
        <f t="shared" si="15"/>
        <v>12</v>
      </c>
      <c r="AF23" s="110">
        <f t="shared" si="15"/>
        <v>6</v>
      </c>
      <c r="AG23" s="110">
        <f t="shared" si="15"/>
        <v>2097</v>
      </c>
      <c r="AH23" s="110">
        <f t="shared" si="15"/>
        <v>14</v>
      </c>
      <c r="AJ23" s="110">
        <f t="shared" si="0"/>
        <v>2465</v>
      </c>
      <c r="AL23" s="110">
        <f t="shared" si="16"/>
        <v>0</v>
      </c>
      <c r="AM23" s="110">
        <f t="shared" si="16"/>
        <v>500</v>
      </c>
      <c r="AN23" s="110">
        <f t="shared" si="16"/>
        <v>370</v>
      </c>
      <c r="AO23" s="110">
        <f t="shared" si="17"/>
        <v>0</v>
      </c>
      <c r="AP23" s="110">
        <f t="shared" si="17"/>
        <v>0</v>
      </c>
      <c r="AQ23" s="110">
        <f t="shared" si="17"/>
        <v>0</v>
      </c>
      <c r="AR23" s="110">
        <v>0</v>
      </c>
      <c r="AT23" s="110">
        <f t="shared" si="9"/>
        <v>870</v>
      </c>
      <c r="AV23" s="110">
        <f t="shared" si="27"/>
        <v>0</v>
      </c>
      <c r="AW23" s="110">
        <f t="shared" si="18"/>
        <v>0</v>
      </c>
      <c r="AX23" s="110">
        <f t="shared" si="18"/>
        <v>0</v>
      </c>
      <c r="AZ23" s="110">
        <f t="shared" si="19"/>
        <v>484</v>
      </c>
      <c r="BA23" s="110">
        <f t="shared" si="20"/>
        <v>500</v>
      </c>
      <c r="BB23" s="110">
        <f t="shared" si="21"/>
        <v>75</v>
      </c>
      <c r="BC23" s="110">
        <f t="shared" si="22"/>
        <v>773</v>
      </c>
      <c r="BD23" s="110">
        <f t="shared" si="22"/>
        <v>161</v>
      </c>
      <c r="BE23" s="110">
        <f t="shared" si="22"/>
        <v>1000</v>
      </c>
    </row>
    <row r="24" spans="1:57" x14ac:dyDescent="0.2">
      <c r="A24" s="109">
        <f t="shared" si="11"/>
        <v>19</v>
      </c>
      <c r="B24" s="109">
        <v>132459</v>
      </c>
      <c r="C24" s="109">
        <v>6708</v>
      </c>
      <c r="D24" s="109">
        <f t="shared" si="12"/>
        <v>13262</v>
      </c>
      <c r="E24" s="109"/>
      <c r="F24" s="109">
        <f t="shared" si="1"/>
        <v>152429</v>
      </c>
      <c r="G24" s="109"/>
      <c r="H24" s="109">
        <v>29105</v>
      </c>
      <c r="I24" s="109">
        <f t="shared" si="2"/>
        <v>28489</v>
      </c>
      <c r="J24" s="109"/>
      <c r="K24" s="109">
        <f t="shared" si="3"/>
        <v>123940</v>
      </c>
      <c r="L24" s="109"/>
      <c r="M24" s="109" t="s">
        <v>313</v>
      </c>
      <c r="N24" s="109"/>
      <c r="O24" s="116">
        <f t="shared" si="13"/>
        <v>146367</v>
      </c>
      <c r="P24" s="113">
        <f t="shared" si="14"/>
        <v>36300</v>
      </c>
      <c r="Q24" s="117">
        <f t="shared" si="4"/>
        <v>182667</v>
      </c>
      <c r="R24" s="109"/>
      <c r="S24" s="109">
        <f t="shared" si="5"/>
        <v>58727</v>
      </c>
      <c r="T24" s="109"/>
      <c r="U24" s="165">
        <f>+U25</f>
        <v>2.94</v>
      </c>
      <c r="V24" s="165">
        <f t="shared" si="6"/>
        <v>2.93</v>
      </c>
      <c r="W24" s="119">
        <f t="shared" si="7"/>
        <v>172070.11000000002</v>
      </c>
      <c r="AC24" s="110">
        <f t="shared" si="15"/>
        <v>323</v>
      </c>
      <c r="AD24" s="110">
        <f t="shared" si="15"/>
        <v>13</v>
      </c>
      <c r="AE24" s="110">
        <f t="shared" si="15"/>
        <v>12</v>
      </c>
      <c r="AF24" s="110">
        <f t="shared" si="15"/>
        <v>6</v>
      </c>
      <c r="AG24" s="110">
        <f t="shared" si="15"/>
        <v>2097</v>
      </c>
      <c r="AH24" s="110">
        <f t="shared" si="15"/>
        <v>14</v>
      </c>
      <c r="AJ24" s="110">
        <f t="shared" si="0"/>
        <v>2465</v>
      </c>
      <c r="AL24" s="110">
        <f t="shared" si="16"/>
        <v>0</v>
      </c>
      <c r="AM24" s="110">
        <f t="shared" si="16"/>
        <v>500</v>
      </c>
      <c r="AN24" s="110">
        <f t="shared" si="16"/>
        <v>370</v>
      </c>
      <c r="AO24" s="110">
        <f t="shared" si="17"/>
        <v>0</v>
      </c>
      <c r="AP24" s="110">
        <f t="shared" si="17"/>
        <v>0</v>
      </c>
      <c r="AQ24" s="110">
        <f t="shared" si="17"/>
        <v>0</v>
      </c>
      <c r="AR24" s="110">
        <f t="shared" si="17"/>
        <v>0</v>
      </c>
      <c r="AT24" s="110">
        <f t="shared" si="9"/>
        <v>870</v>
      </c>
      <c r="AV24" s="110">
        <f t="shared" si="27"/>
        <v>0</v>
      </c>
      <c r="AW24" s="110">
        <f t="shared" si="18"/>
        <v>0</v>
      </c>
      <c r="AX24" s="110">
        <f t="shared" si="18"/>
        <v>0</v>
      </c>
      <c r="AZ24" s="110">
        <f t="shared" si="19"/>
        <v>484</v>
      </c>
      <c r="BA24" s="110">
        <f t="shared" si="20"/>
        <v>500</v>
      </c>
      <c r="BB24" s="110">
        <f t="shared" si="21"/>
        <v>75</v>
      </c>
      <c r="BC24" s="110">
        <f t="shared" si="22"/>
        <v>773</v>
      </c>
      <c r="BD24" s="110">
        <f t="shared" si="22"/>
        <v>161</v>
      </c>
      <c r="BE24" s="110">
        <f t="shared" si="22"/>
        <v>1000</v>
      </c>
    </row>
    <row r="25" spans="1:57" x14ac:dyDescent="0.2">
      <c r="A25" s="109">
        <f t="shared" si="11"/>
        <v>20</v>
      </c>
      <c r="B25" s="109">
        <v>134448</v>
      </c>
      <c r="C25" s="109">
        <v>4038</v>
      </c>
      <c r="D25" s="109">
        <f t="shared" si="12"/>
        <v>13262</v>
      </c>
      <c r="E25" s="109"/>
      <c r="F25" s="109">
        <f t="shared" si="1"/>
        <v>151748</v>
      </c>
      <c r="G25" s="109"/>
      <c r="H25" s="109">
        <v>39338</v>
      </c>
      <c r="I25" s="109">
        <f t="shared" si="2"/>
        <v>38506</v>
      </c>
      <c r="J25" s="109"/>
      <c r="K25" s="109">
        <f t="shared" si="3"/>
        <v>113242</v>
      </c>
      <c r="L25" s="109"/>
      <c r="M25" s="109" t="s">
        <v>313</v>
      </c>
      <c r="N25" s="109"/>
      <c r="O25" s="116">
        <f t="shared" si="13"/>
        <v>146367</v>
      </c>
      <c r="P25" s="113">
        <f t="shared" si="14"/>
        <v>36300</v>
      </c>
      <c r="Q25" s="117">
        <f t="shared" si="4"/>
        <v>182667</v>
      </c>
      <c r="R25" s="109"/>
      <c r="S25" s="109">
        <f t="shared" si="5"/>
        <v>69425</v>
      </c>
      <c r="T25" s="109"/>
      <c r="U25" s="165">
        <v>2.94</v>
      </c>
      <c r="V25" s="165">
        <f t="shared" si="6"/>
        <v>2.93</v>
      </c>
      <c r="W25" s="119">
        <f t="shared" si="7"/>
        <v>203415.25</v>
      </c>
      <c r="AC25" s="110">
        <f t="shared" si="15"/>
        <v>323</v>
      </c>
      <c r="AD25" s="110">
        <f t="shared" si="15"/>
        <v>13</v>
      </c>
      <c r="AE25" s="110">
        <f t="shared" si="15"/>
        <v>12</v>
      </c>
      <c r="AF25" s="110">
        <f t="shared" si="15"/>
        <v>6</v>
      </c>
      <c r="AG25" s="110">
        <f t="shared" si="15"/>
        <v>2097</v>
      </c>
      <c r="AH25" s="110">
        <f t="shared" si="15"/>
        <v>14</v>
      </c>
      <c r="AJ25" s="110">
        <f t="shared" si="0"/>
        <v>2465</v>
      </c>
      <c r="AL25" s="110">
        <f t="shared" si="16"/>
        <v>0</v>
      </c>
      <c r="AM25" s="110">
        <f t="shared" si="16"/>
        <v>500</v>
      </c>
      <c r="AN25" s="110">
        <f t="shared" si="16"/>
        <v>370</v>
      </c>
      <c r="AO25" s="110">
        <f t="shared" si="17"/>
        <v>0</v>
      </c>
      <c r="AP25" s="110">
        <f t="shared" si="17"/>
        <v>0</v>
      </c>
      <c r="AQ25" s="110">
        <f t="shared" si="17"/>
        <v>0</v>
      </c>
      <c r="AR25" s="110">
        <f t="shared" si="17"/>
        <v>0</v>
      </c>
      <c r="AT25" s="110">
        <f t="shared" si="9"/>
        <v>870</v>
      </c>
      <c r="AV25" s="110">
        <f t="shared" si="27"/>
        <v>0</v>
      </c>
      <c r="AW25" s="110">
        <f t="shared" si="18"/>
        <v>0</v>
      </c>
      <c r="AX25" s="110">
        <f t="shared" si="18"/>
        <v>0</v>
      </c>
      <c r="AZ25" s="110">
        <f t="shared" si="19"/>
        <v>484</v>
      </c>
      <c r="BA25" s="110">
        <f t="shared" si="20"/>
        <v>500</v>
      </c>
      <c r="BB25" s="110">
        <f t="shared" si="21"/>
        <v>75</v>
      </c>
      <c r="BC25" s="110">
        <f t="shared" si="22"/>
        <v>773</v>
      </c>
      <c r="BD25" s="110">
        <f t="shared" si="22"/>
        <v>161</v>
      </c>
      <c r="BE25" s="110">
        <f t="shared" si="22"/>
        <v>1000</v>
      </c>
    </row>
    <row r="26" spans="1:57" x14ac:dyDescent="0.2">
      <c r="A26" s="109">
        <f t="shared" si="11"/>
        <v>21</v>
      </c>
      <c r="B26" s="109">
        <v>133813</v>
      </c>
      <c r="C26" s="109">
        <v>11807</v>
      </c>
      <c r="D26" s="109">
        <f t="shared" si="12"/>
        <v>13262</v>
      </c>
      <c r="E26" s="109"/>
      <c r="F26" s="109">
        <f t="shared" si="1"/>
        <v>158882</v>
      </c>
      <c r="G26" s="109"/>
      <c r="H26" s="109">
        <v>37738</v>
      </c>
      <c r="I26" s="109">
        <f t="shared" si="2"/>
        <v>36939</v>
      </c>
      <c r="J26" s="109"/>
      <c r="K26" s="109">
        <f t="shared" si="3"/>
        <v>121943</v>
      </c>
      <c r="L26" s="109"/>
      <c r="M26" s="109" t="s">
        <v>313</v>
      </c>
      <c r="N26" s="109"/>
      <c r="O26" s="116">
        <f t="shared" si="13"/>
        <v>146367</v>
      </c>
      <c r="P26" s="113">
        <f t="shared" si="14"/>
        <v>36300</v>
      </c>
      <c r="Q26" s="117">
        <f t="shared" si="4"/>
        <v>182667</v>
      </c>
      <c r="R26" s="109"/>
      <c r="S26" s="109">
        <f t="shared" si="5"/>
        <v>60724</v>
      </c>
      <c r="T26" s="109"/>
      <c r="U26" s="165">
        <v>2.875</v>
      </c>
      <c r="V26" s="165">
        <f t="shared" si="6"/>
        <v>2.8650000000000002</v>
      </c>
      <c r="W26" s="119">
        <f t="shared" si="7"/>
        <v>173974.26</v>
      </c>
      <c r="AC26" s="110">
        <f t="shared" si="15"/>
        <v>323</v>
      </c>
      <c r="AD26" s="110">
        <f t="shared" si="15"/>
        <v>13</v>
      </c>
      <c r="AE26" s="110">
        <f t="shared" si="15"/>
        <v>12</v>
      </c>
      <c r="AF26" s="110">
        <f t="shared" si="15"/>
        <v>6</v>
      </c>
      <c r="AG26" s="110">
        <f t="shared" si="15"/>
        <v>2097</v>
      </c>
      <c r="AH26" s="110">
        <f t="shared" si="15"/>
        <v>14</v>
      </c>
      <c r="AJ26" s="110">
        <f t="shared" si="0"/>
        <v>2465</v>
      </c>
      <c r="AL26" s="110">
        <f t="shared" si="16"/>
        <v>0</v>
      </c>
      <c r="AM26" s="110">
        <f t="shared" si="16"/>
        <v>500</v>
      </c>
      <c r="AN26" s="110">
        <f t="shared" si="16"/>
        <v>370</v>
      </c>
      <c r="AO26" s="110">
        <f t="shared" si="17"/>
        <v>0</v>
      </c>
      <c r="AP26" s="110">
        <f t="shared" si="17"/>
        <v>0</v>
      </c>
      <c r="AQ26" s="110">
        <f t="shared" si="17"/>
        <v>0</v>
      </c>
      <c r="AR26" s="110">
        <f t="shared" si="17"/>
        <v>0</v>
      </c>
      <c r="AT26" s="110">
        <f t="shared" si="9"/>
        <v>870</v>
      </c>
      <c r="AV26" s="110">
        <f t="shared" si="27"/>
        <v>0</v>
      </c>
      <c r="AW26" s="110">
        <f t="shared" si="18"/>
        <v>0</v>
      </c>
      <c r="AX26" s="110">
        <f t="shared" si="18"/>
        <v>0</v>
      </c>
      <c r="AZ26" s="110">
        <f t="shared" si="19"/>
        <v>484</v>
      </c>
      <c r="BA26" s="110">
        <f t="shared" si="20"/>
        <v>500</v>
      </c>
      <c r="BB26" s="110">
        <f t="shared" si="21"/>
        <v>75</v>
      </c>
      <c r="BC26" s="110">
        <f t="shared" si="22"/>
        <v>773</v>
      </c>
      <c r="BD26" s="110">
        <f t="shared" si="22"/>
        <v>161</v>
      </c>
      <c r="BE26" s="110">
        <f t="shared" si="22"/>
        <v>1000</v>
      </c>
    </row>
    <row r="27" spans="1:57" x14ac:dyDescent="0.2">
      <c r="A27" s="109">
        <f t="shared" si="11"/>
        <v>22</v>
      </c>
      <c r="B27" s="109">
        <v>126038</v>
      </c>
      <c r="C27" s="109">
        <v>10948</v>
      </c>
      <c r="D27" s="109">
        <f t="shared" si="12"/>
        <v>13262</v>
      </c>
      <c r="E27" s="109"/>
      <c r="F27" s="109">
        <f t="shared" si="1"/>
        <v>150248</v>
      </c>
      <c r="G27" s="109"/>
      <c r="H27" s="109">
        <v>39201</v>
      </c>
      <c r="I27" s="109">
        <f t="shared" si="2"/>
        <v>38372</v>
      </c>
      <c r="J27" s="109"/>
      <c r="K27" s="109">
        <f t="shared" si="3"/>
        <v>111876</v>
      </c>
      <c r="L27" s="109"/>
      <c r="M27" s="109" t="s">
        <v>313</v>
      </c>
      <c r="N27" s="109"/>
      <c r="O27" s="116">
        <f t="shared" si="13"/>
        <v>146367</v>
      </c>
      <c r="P27" s="113">
        <f t="shared" si="14"/>
        <v>36300</v>
      </c>
      <c r="Q27" s="117">
        <f t="shared" si="4"/>
        <v>182667</v>
      </c>
      <c r="R27" s="109"/>
      <c r="S27" s="109">
        <f t="shared" si="5"/>
        <v>70791</v>
      </c>
      <c r="T27" s="109"/>
      <c r="U27" s="165">
        <v>2.88</v>
      </c>
      <c r="V27" s="165">
        <f t="shared" si="6"/>
        <v>2.87</v>
      </c>
      <c r="W27" s="119">
        <f t="shared" si="7"/>
        <v>203170.17</v>
      </c>
      <c r="AC27" s="110">
        <f t="shared" si="15"/>
        <v>323</v>
      </c>
      <c r="AD27" s="110">
        <f t="shared" si="15"/>
        <v>13</v>
      </c>
      <c r="AE27" s="110">
        <f t="shared" si="15"/>
        <v>12</v>
      </c>
      <c r="AF27" s="110">
        <f t="shared" si="15"/>
        <v>6</v>
      </c>
      <c r="AG27" s="110">
        <f t="shared" si="15"/>
        <v>2097</v>
      </c>
      <c r="AH27" s="110">
        <f t="shared" si="15"/>
        <v>14</v>
      </c>
      <c r="AJ27" s="110">
        <f t="shared" si="0"/>
        <v>2465</v>
      </c>
      <c r="AL27" s="110">
        <f t="shared" si="16"/>
        <v>0</v>
      </c>
      <c r="AM27" s="110">
        <f t="shared" si="16"/>
        <v>500</v>
      </c>
      <c r="AN27" s="110">
        <f t="shared" si="16"/>
        <v>370</v>
      </c>
      <c r="AO27" s="110">
        <f t="shared" si="17"/>
        <v>0</v>
      </c>
      <c r="AP27" s="110">
        <f t="shared" si="17"/>
        <v>0</v>
      </c>
      <c r="AQ27" s="110">
        <f t="shared" si="17"/>
        <v>0</v>
      </c>
      <c r="AR27" s="110">
        <f t="shared" si="17"/>
        <v>0</v>
      </c>
      <c r="AT27" s="110">
        <f t="shared" si="9"/>
        <v>870</v>
      </c>
      <c r="AV27" s="110">
        <f t="shared" si="27"/>
        <v>0</v>
      </c>
      <c r="AW27" s="110">
        <f t="shared" si="18"/>
        <v>0</v>
      </c>
      <c r="AX27" s="110">
        <f t="shared" si="18"/>
        <v>0</v>
      </c>
      <c r="AZ27" s="110">
        <f t="shared" si="19"/>
        <v>484</v>
      </c>
      <c r="BA27" s="110">
        <f t="shared" si="20"/>
        <v>500</v>
      </c>
      <c r="BB27" s="110">
        <f t="shared" si="21"/>
        <v>75</v>
      </c>
      <c r="BC27" s="110">
        <f t="shared" si="22"/>
        <v>773</v>
      </c>
      <c r="BD27" s="110">
        <f t="shared" si="22"/>
        <v>161</v>
      </c>
      <c r="BE27" s="110">
        <f t="shared" si="22"/>
        <v>1000</v>
      </c>
    </row>
    <row r="28" spans="1:57" x14ac:dyDescent="0.2">
      <c r="A28" s="109">
        <f t="shared" si="11"/>
        <v>23</v>
      </c>
      <c r="B28" s="109">
        <v>118682</v>
      </c>
      <c r="C28" s="109">
        <v>11424</v>
      </c>
      <c r="D28" s="109">
        <f t="shared" si="12"/>
        <v>13262</v>
      </c>
      <c r="E28" s="109"/>
      <c r="F28" s="109">
        <f t="shared" si="1"/>
        <v>143368</v>
      </c>
      <c r="G28" s="109"/>
      <c r="H28" s="109">
        <v>40096</v>
      </c>
      <c r="I28" s="109">
        <f t="shared" si="2"/>
        <v>39248</v>
      </c>
      <c r="J28" s="109"/>
      <c r="K28" s="109">
        <f t="shared" si="3"/>
        <v>104120</v>
      </c>
      <c r="L28" s="109"/>
      <c r="M28" s="109" t="s">
        <v>313</v>
      </c>
      <c r="N28" s="109"/>
      <c r="O28" s="116">
        <f t="shared" si="13"/>
        <v>146367</v>
      </c>
      <c r="P28" s="113">
        <f t="shared" si="14"/>
        <v>36300</v>
      </c>
      <c r="Q28" s="117">
        <f t="shared" si="4"/>
        <v>182667</v>
      </c>
      <c r="R28" s="109"/>
      <c r="S28" s="109">
        <f t="shared" si="5"/>
        <v>78547</v>
      </c>
      <c r="T28" s="109"/>
      <c r="U28" s="165">
        <v>2.91</v>
      </c>
      <c r="V28" s="165">
        <f t="shared" si="6"/>
        <v>2.9000000000000004</v>
      </c>
      <c r="W28" s="119">
        <f t="shared" si="7"/>
        <v>227786.30000000002</v>
      </c>
      <c r="AC28" s="110">
        <f t="shared" si="15"/>
        <v>323</v>
      </c>
      <c r="AD28" s="110">
        <f t="shared" si="15"/>
        <v>13</v>
      </c>
      <c r="AE28" s="110">
        <f t="shared" si="15"/>
        <v>12</v>
      </c>
      <c r="AF28" s="110">
        <f t="shared" si="15"/>
        <v>6</v>
      </c>
      <c r="AG28" s="110">
        <f t="shared" si="15"/>
        <v>2097</v>
      </c>
      <c r="AH28" s="110">
        <f t="shared" si="15"/>
        <v>14</v>
      </c>
      <c r="AJ28" s="110">
        <f t="shared" si="0"/>
        <v>2465</v>
      </c>
      <c r="AL28" s="110">
        <v>21</v>
      </c>
      <c r="AM28" s="110">
        <f t="shared" si="16"/>
        <v>500</v>
      </c>
      <c r="AN28" s="110">
        <f t="shared" si="16"/>
        <v>370</v>
      </c>
      <c r="AO28" s="110">
        <f t="shared" si="17"/>
        <v>0</v>
      </c>
      <c r="AP28" s="110">
        <f t="shared" si="17"/>
        <v>0</v>
      </c>
      <c r="AQ28" s="110">
        <f t="shared" si="17"/>
        <v>0</v>
      </c>
      <c r="AR28" s="110">
        <f t="shared" si="17"/>
        <v>0</v>
      </c>
      <c r="AT28" s="110">
        <f t="shared" si="9"/>
        <v>891</v>
      </c>
      <c r="AV28" s="110">
        <f t="shared" si="27"/>
        <v>0</v>
      </c>
      <c r="AW28" s="110">
        <f t="shared" si="18"/>
        <v>0</v>
      </c>
      <c r="AX28" s="110">
        <f t="shared" si="18"/>
        <v>0</v>
      </c>
      <c r="AZ28" s="110">
        <f t="shared" si="19"/>
        <v>484</v>
      </c>
      <c r="BA28" s="110">
        <f t="shared" si="20"/>
        <v>500</v>
      </c>
      <c r="BB28" s="110">
        <f t="shared" si="21"/>
        <v>75</v>
      </c>
      <c r="BC28" s="110">
        <f t="shared" si="22"/>
        <v>773</v>
      </c>
      <c r="BD28" s="110">
        <f t="shared" si="22"/>
        <v>161</v>
      </c>
      <c r="BE28" s="110">
        <f t="shared" si="22"/>
        <v>1000</v>
      </c>
    </row>
    <row r="29" spans="1:57" x14ac:dyDescent="0.2">
      <c r="A29" s="109">
        <f t="shared" si="11"/>
        <v>24</v>
      </c>
      <c r="B29" s="109">
        <v>88488</v>
      </c>
      <c r="C29" s="109">
        <v>11424</v>
      </c>
      <c r="D29" s="109">
        <f t="shared" si="12"/>
        <v>13262</v>
      </c>
      <c r="E29" s="109"/>
      <c r="F29" s="109">
        <f t="shared" si="1"/>
        <v>113174</v>
      </c>
      <c r="G29" s="109"/>
      <c r="H29" s="109">
        <f>17332+1977</f>
        <v>19309</v>
      </c>
      <c r="I29" s="109">
        <f t="shared" si="2"/>
        <v>18900</v>
      </c>
      <c r="J29" s="109"/>
      <c r="K29" s="109">
        <f t="shared" si="3"/>
        <v>94274</v>
      </c>
      <c r="L29" s="109"/>
      <c r="M29" s="109" t="s">
        <v>313</v>
      </c>
      <c r="N29" s="109"/>
      <c r="O29" s="116">
        <f t="shared" si="13"/>
        <v>146367</v>
      </c>
      <c r="P29" s="113">
        <f t="shared" si="14"/>
        <v>36300</v>
      </c>
      <c r="Q29" s="117">
        <f t="shared" si="4"/>
        <v>182667</v>
      </c>
      <c r="R29" s="109"/>
      <c r="S29" s="109">
        <f t="shared" si="5"/>
        <v>88393</v>
      </c>
      <c r="T29" s="109"/>
      <c r="U29" s="165">
        <v>2.88</v>
      </c>
      <c r="V29" s="165">
        <f t="shared" si="6"/>
        <v>2.87</v>
      </c>
      <c r="W29" s="119">
        <f t="shared" si="7"/>
        <v>253687.91</v>
      </c>
      <c r="AC29" s="110">
        <f t="shared" si="15"/>
        <v>323</v>
      </c>
      <c r="AD29" s="110">
        <f t="shared" si="15"/>
        <v>13</v>
      </c>
      <c r="AE29" s="110">
        <f t="shared" si="15"/>
        <v>12</v>
      </c>
      <c r="AF29" s="110">
        <f t="shared" si="15"/>
        <v>6</v>
      </c>
      <c r="AG29" s="110">
        <f t="shared" si="15"/>
        <v>2097</v>
      </c>
      <c r="AH29" s="110">
        <f t="shared" si="15"/>
        <v>14</v>
      </c>
      <c r="AJ29" s="110">
        <f t="shared" si="0"/>
        <v>2465</v>
      </c>
      <c r="AL29" s="110">
        <f t="shared" si="16"/>
        <v>21</v>
      </c>
      <c r="AM29" s="110">
        <f t="shared" si="16"/>
        <v>500</v>
      </c>
      <c r="AN29" s="110">
        <f t="shared" si="16"/>
        <v>370</v>
      </c>
      <c r="AO29" s="110">
        <f t="shared" si="17"/>
        <v>0</v>
      </c>
      <c r="AP29" s="110">
        <f t="shared" si="17"/>
        <v>0</v>
      </c>
      <c r="AQ29" s="110">
        <f t="shared" si="17"/>
        <v>0</v>
      </c>
      <c r="AR29" s="110">
        <v>0</v>
      </c>
      <c r="AT29" s="110">
        <f t="shared" si="9"/>
        <v>891</v>
      </c>
      <c r="AV29" s="110">
        <f t="shared" si="27"/>
        <v>0</v>
      </c>
      <c r="AW29" s="110">
        <f t="shared" si="18"/>
        <v>0</v>
      </c>
      <c r="AX29" s="110">
        <f t="shared" si="18"/>
        <v>0</v>
      </c>
      <c r="AZ29" s="110">
        <f t="shared" si="19"/>
        <v>484</v>
      </c>
      <c r="BA29" s="110">
        <f t="shared" si="20"/>
        <v>500</v>
      </c>
      <c r="BB29" s="110">
        <f t="shared" si="21"/>
        <v>75</v>
      </c>
      <c r="BC29" s="110">
        <f t="shared" si="22"/>
        <v>773</v>
      </c>
      <c r="BD29" s="110">
        <f t="shared" si="22"/>
        <v>161</v>
      </c>
      <c r="BE29" s="110">
        <f t="shared" si="22"/>
        <v>1000</v>
      </c>
    </row>
    <row r="30" spans="1:57" x14ac:dyDescent="0.2">
      <c r="A30" s="109">
        <f t="shared" si="11"/>
        <v>25</v>
      </c>
      <c r="B30" s="109">
        <v>107605</v>
      </c>
      <c r="C30" s="109">
        <v>10783</v>
      </c>
      <c r="D30" s="109">
        <f t="shared" si="12"/>
        <v>13262</v>
      </c>
      <c r="E30" s="109"/>
      <c r="F30" s="109">
        <f t="shared" si="1"/>
        <v>131650</v>
      </c>
      <c r="G30" s="109"/>
      <c r="H30" s="109">
        <f>37599+1977</f>
        <v>39576</v>
      </c>
      <c r="I30" s="109">
        <f t="shared" si="2"/>
        <v>38739</v>
      </c>
      <c r="J30" s="109"/>
      <c r="K30" s="109">
        <f t="shared" si="3"/>
        <v>92911</v>
      </c>
      <c r="L30" s="109"/>
      <c r="M30" s="109" t="s">
        <v>313</v>
      </c>
      <c r="N30" s="109"/>
      <c r="O30" s="116">
        <f t="shared" si="13"/>
        <v>146367</v>
      </c>
      <c r="P30" s="113">
        <f t="shared" si="14"/>
        <v>36300</v>
      </c>
      <c r="Q30" s="117">
        <f t="shared" si="4"/>
        <v>182667</v>
      </c>
      <c r="R30" s="109"/>
      <c r="S30" s="109">
        <f t="shared" si="5"/>
        <v>89756</v>
      </c>
      <c r="T30" s="109"/>
      <c r="U30" s="165">
        <f>+U31</f>
        <v>2.92</v>
      </c>
      <c r="V30" s="165">
        <f t="shared" si="6"/>
        <v>2.91</v>
      </c>
      <c r="W30" s="119">
        <f t="shared" si="7"/>
        <v>261189.96000000002</v>
      </c>
      <c r="Z30" s="118"/>
      <c r="AA30" s="119"/>
      <c r="AC30" s="110">
        <f t="shared" si="15"/>
        <v>323</v>
      </c>
      <c r="AD30" s="110">
        <f t="shared" si="15"/>
        <v>13</v>
      </c>
      <c r="AE30" s="110">
        <f t="shared" si="15"/>
        <v>12</v>
      </c>
      <c r="AF30" s="110">
        <f t="shared" si="15"/>
        <v>6</v>
      </c>
      <c r="AG30" s="110">
        <f t="shared" si="15"/>
        <v>2097</v>
      </c>
      <c r="AH30" s="110">
        <f t="shared" si="15"/>
        <v>14</v>
      </c>
      <c r="AJ30" s="110">
        <f t="shared" si="0"/>
        <v>2465</v>
      </c>
      <c r="AL30" s="110">
        <f t="shared" si="16"/>
        <v>21</v>
      </c>
      <c r="AM30" s="110">
        <f t="shared" si="16"/>
        <v>500</v>
      </c>
      <c r="AN30" s="110">
        <f t="shared" si="16"/>
        <v>370</v>
      </c>
      <c r="AO30" s="110">
        <f t="shared" si="17"/>
        <v>0</v>
      </c>
      <c r="AP30" s="110">
        <f t="shared" si="17"/>
        <v>0</v>
      </c>
      <c r="AQ30" s="110">
        <f t="shared" si="17"/>
        <v>0</v>
      </c>
      <c r="AR30" s="110">
        <f t="shared" si="17"/>
        <v>0</v>
      </c>
      <c r="AT30" s="110">
        <f t="shared" si="9"/>
        <v>891</v>
      </c>
      <c r="AV30" s="110">
        <f t="shared" si="27"/>
        <v>0</v>
      </c>
      <c r="AW30" s="110">
        <f t="shared" si="18"/>
        <v>0</v>
      </c>
      <c r="AX30" s="110">
        <f t="shared" si="18"/>
        <v>0</v>
      </c>
      <c r="AZ30" s="110">
        <f t="shared" si="19"/>
        <v>484</v>
      </c>
      <c r="BA30" s="110">
        <f t="shared" si="20"/>
        <v>500</v>
      </c>
      <c r="BB30" s="110">
        <f t="shared" si="21"/>
        <v>75</v>
      </c>
      <c r="BC30" s="110">
        <f t="shared" si="22"/>
        <v>773</v>
      </c>
      <c r="BD30" s="110">
        <f t="shared" si="22"/>
        <v>161</v>
      </c>
      <c r="BE30" s="110">
        <f t="shared" si="22"/>
        <v>1000</v>
      </c>
    </row>
    <row r="31" spans="1:57" x14ac:dyDescent="0.2">
      <c r="A31" s="109">
        <f t="shared" si="11"/>
        <v>26</v>
      </c>
      <c r="B31" s="109">
        <v>116765</v>
      </c>
      <c r="C31" s="109">
        <v>10803</v>
      </c>
      <c r="D31" s="109">
        <f t="shared" si="12"/>
        <v>13262</v>
      </c>
      <c r="E31" s="109"/>
      <c r="F31" s="109">
        <f t="shared" si="1"/>
        <v>140830</v>
      </c>
      <c r="G31" s="109"/>
      <c r="H31" s="109">
        <f>36648+1977</f>
        <v>38625</v>
      </c>
      <c r="I31" s="109">
        <f t="shared" si="2"/>
        <v>37808</v>
      </c>
      <c r="J31" s="109"/>
      <c r="K31" s="109">
        <f t="shared" si="3"/>
        <v>103022</v>
      </c>
      <c r="L31" s="109"/>
      <c r="M31" s="109" t="s">
        <v>313</v>
      </c>
      <c r="N31" s="109"/>
      <c r="O31" s="116">
        <f t="shared" si="13"/>
        <v>146367</v>
      </c>
      <c r="P31" s="113">
        <f t="shared" si="14"/>
        <v>36300</v>
      </c>
      <c r="Q31" s="117">
        <f t="shared" si="4"/>
        <v>182667</v>
      </c>
      <c r="R31" s="109"/>
      <c r="S31" s="109">
        <f t="shared" si="5"/>
        <v>79645</v>
      </c>
      <c r="T31" s="109"/>
      <c r="U31" s="165">
        <f>+U32</f>
        <v>2.92</v>
      </c>
      <c r="V31" s="165">
        <f t="shared" si="6"/>
        <v>2.91</v>
      </c>
      <c r="W31" s="119">
        <f t="shared" si="7"/>
        <v>231766.95</v>
      </c>
      <c r="Z31" s="118"/>
      <c r="AA31" s="119"/>
      <c r="AC31" s="110">
        <f t="shared" si="15"/>
        <v>323</v>
      </c>
      <c r="AD31" s="110">
        <f t="shared" si="15"/>
        <v>13</v>
      </c>
      <c r="AE31" s="110">
        <f t="shared" si="15"/>
        <v>12</v>
      </c>
      <c r="AF31" s="110">
        <f t="shared" si="15"/>
        <v>6</v>
      </c>
      <c r="AG31" s="110">
        <f t="shared" si="15"/>
        <v>2097</v>
      </c>
      <c r="AH31" s="110">
        <f t="shared" si="15"/>
        <v>14</v>
      </c>
      <c r="AJ31" s="110">
        <f t="shared" si="0"/>
        <v>2465</v>
      </c>
      <c r="AL31" s="110">
        <f t="shared" si="16"/>
        <v>21</v>
      </c>
      <c r="AM31" s="110">
        <f t="shared" si="16"/>
        <v>500</v>
      </c>
      <c r="AN31" s="110">
        <f t="shared" si="16"/>
        <v>370</v>
      </c>
      <c r="AO31" s="110">
        <f t="shared" si="17"/>
        <v>0</v>
      </c>
      <c r="AP31" s="110">
        <f t="shared" si="17"/>
        <v>0</v>
      </c>
      <c r="AQ31" s="110">
        <f t="shared" si="17"/>
        <v>0</v>
      </c>
      <c r="AR31" s="110">
        <f t="shared" si="17"/>
        <v>0</v>
      </c>
      <c r="AT31" s="110">
        <f t="shared" si="9"/>
        <v>891</v>
      </c>
      <c r="AV31" s="110">
        <f t="shared" si="27"/>
        <v>0</v>
      </c>
      <c r="AW31" s="110">
        <f t="shared" si="18"/>
        <v>0</v>
      </c>
      <c r="AX31" s="110">
        <f t="shared" si="18"/>
        <v>0</v>
      </c>
      <c r="AZ31" s="110">
        <f t="shared" si="19"/>
        <v>484</v>
      </c>
      <c r="BA31" s="110">
        <f t="shared" si="20"/>
        <v>500</v>
      </c>
      <c r="BB31" s="110">
        <f t="shared" si="21"/>
        <v>75</v>
      </c>
      <c r="BC31" s="110">
        <f t="shared" si="22"/>
        <v>773</v>
      </c>
      <c r="BD31" s="110">
        <f t="shared" si="22"/>
        <v>161</v>
      </c>
      <c r="BE31" s="110">
        <f t="shared" si="22"/>
        <v>1000</v>
      </c>
    </row>
    <row r="32" spans="1:57" x14ac:dyDescent="0.2">
      <c r="A32" s="109">
        <f t="shared" si="11"/>
        <v>27</v>
      </c>
      <c r="B32" s="109">
        <v>133826</v>
      </c>
      <c r="C32" s="109">
        <v>10839</v>
      </c>
      <c r="D32" s="109">
        <f t="shared" si="12"/>
        <v>13262</v>
      </c>
      <c r="E32" s="109"/>
      <c r="F32" s="109">
        <f t="shared" si="1"/>
        <v>157927</v>
      </c>
      <c r="G32" s="109"/>
      <c r="H32" s="109">
        <f>34723+1977</f>
        <v>36700</v>
      </c>
      <c r="I32" s="109">
        <f t="shared" si="2"/>
        <v>35923</v>
      </c>
      <c r="J32" s="109"/>
      <c r="K32" s="109">
        <f t="shared" si="3"/>
        <v>122004</v>
      </c>
      <c r="L32" s="109"/>
      <c r="M32" s="109" t="s">
        <v>313</v>
      </c>
      <c r="N32" s="109"/>
      <c r="O32" s="116">
        <f t="shared" si="13"/>
        <v>146367</v>
      </c>
      <c r="P32" s="113">
        <f t="shared" si="14"/>
        <v>36300</v>
      </c>
      <c r="Q32" s="117">
        <f t="shared" si="4"/>
        <v>182667</v>
      </c>
      <c r="R32" s="109"/>
      <c r="S32" s="109">
        <f t="shared" si="5"/>
        <v>60663</v>
      </c>
      <c r="T32" s="109"/>
      <c r="U32" s="165">
        <v>2.92</v>
      </c>
      <c r="V32" s="165">
        <f t="shared" si="6"/>
        <v>2.91</v>
      </c>
      <c r="W32" s="119">
        <f t="shared" si="7"/>
        <v>176529.33000000002</v>
      </c>
      <c r="Z32" s="118"/>
      <c r="AA32" s="119"/>
      <c r="AC32" s="110">
        <f t="shared" si="15"/>
        <v>323</v>
      </c>
      <c r="AD32" s="110">
        <f t="shared" si="15"/>
        <v>13</v>
      </c>
      <c r="AE32" s="110">
        <f t="shared" si="15"/>
        <v>12</v>
      </c>
      <c r="AF32" s="110">
        <f t="shared" si="15"/>
        <v>6</v>
      </c>
      <c r="AG32" s="110">
        <f t="shared" si="15"/>
        <v>2097</v>
      </c>
      <c r="AH32" s="110">
        <f t="shared" si="15"/>
        <v>14</v>
      </c>
      <c r="AJ32" s="110">
        <f t="shared" si="0"/>
        <v>2465</v>
      </c>
      <c r="AL32" s="110">
        <f t="shared" si="16"/>
        <v>21</v>
      </c>
      <c r="AM32" s="110">
        <f t="shared" si="16"/>
        <v>500</v>
      </c>
      <c r="AN32" s="110">
        <f t="shared" si="16"/>
        <v>370</v>
      </c>
      <c r="AO32" s="110">
        <f t="shared" si="17"/>
        <v>0</v>
      </c>
      <c r="AP32" s="110">
        <f t="shared" si="17"/>
        <v>0</v>
      </c>
      <c r="AQ32" s="110">
        <f t="shared" si="17"/>
        <v>0</v>
      </c>
      <c r="AR32" s="110">
        <f t="shared" si="17"/>
        <v>0</v>
      </c>
      <c r="AT32" s="110">
        <f t="shared" si="9"/>
        <v>891</v>
      </c>
      <c r="AV32" s="110">
        <f t="shared" si="27"/>
        <v>0</v>
      </c>
      <c r="AW32" s="110">
        <f t="shared" si="18"/>
        <v>0</v>
      </c>
      <c r="AX32" s="110">
        <f t="shared" si="18"/>
        <v>0</v>
      </c>
      <c r="AZ32" s="110">
        <f t="shared" si="19"/>
        <v>484</v>
      </c>
      <c r="BA32" s="110">
        <f t="shared" si="20"/>
        <v>500</v>
      </c>
      <c r="BB32" s="110">
        <f t="shared" si="21"/>
        <v>75</v>
      </c>
      <c r="BC32" s="110">
        <f t="shared" si="22"/>
        <v>773</v>
      </c>
      <c r="BD32" s="110">
        <f t="shared" si="22"/>
        <v>161</v>
      </c>
      <c r="BE32" s="110">
        <f t="shared" si="22"/>
        <v>1000</v>
      </c>
    </row>
    <row r="33" spans="1:57" x14ac:dyDescent="0.2">
      <c r="A33" s="109">
        <f t="shared" si="11"/>
        <v>28</v>
      </c>
      <c r="B33" s="109">
        <v>145091</v>
      </c>
      <c r="C33" s="109">
        <f>+C32</f>
        <v>10839</v>
      </c>
      <c r="D33" s="109">
        <f t="shared" si="12"/>
        <v>13262</v>
      </c>
      <c r="E33" s="109"/>
      <c r="F33" s="109">
        <f t="shared" si="1"/>
        <v>169192</v>
      </c>
      <c r="G33" s="109"/>
      <c r="H33" s="109">
        <f>39957+1977</f>
        <v>41934</v>
      </c>
      <c r="I33" s="109">
        <f t="shared" si="2"/>
        <v>41047</v>
      </c>
      <c r="J33" s="109"/>
      <c r="K33" s="109">
        <f t="shared" si="3"/>
        <v>128145</v>
      </c>
      <c r="L33" s="109"/>
      <c r="M33" s="109" t="s">
        <v>313</v>
      </c>
      <c r="N33" s="109"/>
      <c r="O33" s="116">
        <f t="shared" ref="O33:P36" si="28">+O32</f>
        <v>146367</v>
      </c>
      <c r="P33" s="113">
        <f t="shared" si="28"/>
        <v>36300</v>
      </c>
      <c r="Q33" s="117">
        <f>+P33+O33</f>
        <v>182667</v>
      </c>
      <c r="R33" s="109"/>
      <c r="S33" s="109">
        <f t="shared" si="5"/>
        <v>54522</v>
      </c>
      <c r="T33" s="109"/>
      <c r="U33" s="165">
        <v>2.92</v>
      </c>
      <c r="V33" s="165">
        <f t="shared" si="6"/>
        <v>2.91</v>
      </c>
      <c r="W33" s="119">
        <f t="shared" si="7"/>
        <v>158659.02000000002</v>
      </c>
      <c r="Z33" s="118"/>
      <c r="AA33" s="119"/>
      <c r="AC33" s="110">
        <f t="shared" si="15"/>
        <v>323</v>
      </c>
      <c r="AD33" s="110">
        <f t="shared" si="15"/>
        <v>13</v>
      </c>
      <c r="AE33" s="110">
        <f t="shared" si="15"/>
        <v>12</v>
      </c>
      <c r="AF33" s="110">
        <f t="shared" si="15"/>
        <v>6</v>
      </c>
      <c r="AG33" s="110">
        <f t="shared" si="15"/>
        <v>2097</v>
      </c>
      <c r="AH33" s="110">
        <f t="shared" si="15"/>
        <v>14</v>
      </c>
      <c r="AJ33" s="110">
        <f t="shared" si="0"/>
        <v>2465</v>
      </c>
      <c r="AL33" s="110">
        <f t="shared" si="16"/>
        <v>21</v>
      </c>
      <c r="AM33" s="110">
        <f t="shared" si="16"/>
        <v>500</v>
      </c>
      <c r="AN33" s="110">
        <f t="shared" si="16"/>
        <v>370</v>
      </c>
      <c r="AO33" s="110">
        <f t="shared" si="17"/>
        <v>0</v>
      </c>
      <c r="AP33" s="110">
        <f t="shared" si="17"/>
        <v>0</v>
      </c>
      <c r="AQ33" s="110">
        <f t="shared" si="17"/>
        <v>0</v>
      </c>
      <c r="AR33" s="110">
        <f t="shared" si="17"/>
        <v>0</v>
      </c>
      <c r="AT33" s="110">
        <f t="shared" si="9"/>
        <v>891</v>
      </c>
      <c r="AV33" s="110">
        <f t="shared" si="27"/>
        <v>0</v>
      </c>
      <c r="AW33" s="110">
        <f t="shared" si="18"/>
        <v>0</v>
      </c>
      <c r="AX33" s="110">
        <f t="shared" si="18"/>
        <v>0</v>
      </c>
      <c r="AZ33" s="110">
        <f t="shared" si="19"/>
        <v>484</v>
      </c>
      <c r="BA33" s="110">
        <f t="shared" si="20"/>
        <v>500</v>
      </c>
      <c r="BB33" s="110">
        <f t="shared" si="21"/>
        <v>75</v>
      </c>
      <c r="BC33" s="110">
        <f t="shared" si="22"/>
        <v>773</v>
      </c>
      <c r="BD33" s="110">
        <f t="shared" si="22"/>
        <v>161</v>
      </c>
      <c r="BE33" s="110">
        <f t="shared" si="22"/>
        <v>1000</v>
      </c>
    </row>
    <row r="34" spans="1:57" x14ac:dyDescent="0.2">
      <c r="A34" s="109">
        <f t="shared" si="11"/>
        <v>29</v>
      </c>
      <c r="B34" s="109">
        <v>148001</v>
      </c>
      <c r="C34" s="109">
        <f>+C33</f>
        <v>10839</v>
      </c>
      <c r="D34" s="109">
        <f t="shared" si="12"/>
        <v>13262</v>
      </c>
      <c r="E34" s="109"/>
      <c r="F34" s="109">
        <f t="shared" si="1"/>
        <v>172102</v>
      </c>
      <c r="G34" s="109"/>
      <c r="H34" s="109">
        <f>50583+1977</f>
        <v>52560</v>
      </c>
      <c r="I34" s="109">
        <f t="shared" si="2"/>
        <v>51448</v>
      </c>
      <c r="J34" s="109"/>
      <c r="K34" s="109">
        <f t="shared" si="3"/>
        <v>120654</v>
      </c>
      <c r="L34" s="109"/>
      <c r="M34" s="109" t="s">
        <v>313</v>
      </c>
      <c r="N34" s="109"/>
      <c r="O34" s="116">
        <f t="shared" si="28"/>
        <v>146367</v>
      </c>
      <c r="P34" s="113">
        <f t="shared" si="28"/>
        <v>36300</v>
      </c>
      <c r="Q34" s="117">
        <f>+P34+O34</f>
        <v>182667</v>
      </c>
      <c r="R34" s="109"/>
      <c r="S34" s="109">
        <f t="shared" si="5"/>
        <v>62013</v>
      </c>
      <c r="T34" s="109"/>
      <c r="U34" s="165">
        <v>3.0449999999999999</v>
      </c>
      <c r="V34" s="165">
        <f t="shared" si="6"/>
        <v>3.0350000000000001</v>
      </c>
      <c r="W34" s="119">
        <f t="shared" si="7"/>
        <v>188209.45500000002</v>
      </c>
      <c r="Z34" s="118"/>
      <c r="AA34" s="119"/>
      <c r="AC34" s="110">
        <f t="shared" si="15"/>
        <v>323</v>
      </c>
      <c r="AD34" s="110">
        <f t="shared" si="15"/>
        <v>13</v>
      </c>
      <c r="AE34" s="110">
        <f t="shared" si="15"/>
        <v>12</v>
      </c>
      <c r="AF34" s="110">
        <f t="shared" si="15"/>
        <v>6</v>
      </c>
      <c r="AG34" s="110">
        <f t="shared" si="15"/>
        <v>2097</v>
      </c>
      <c r="AH34" s="110">
        <f t="shared" si="15"/>
        <v>14</v>
      </c>
      <c r="AJ34" s="110">
        <f t="shared" si="0"/>
        <v>2465</v>
      </c>
      <c r="AL34" s="110">
        <f t="shared" si="16"/>
        <v>21</v>
      </c>
      <c r="AM34" s="110">
        <f t="shared" si="16"/>
        <v>500</v>
      </c>
      <c r="AN34" s="110">
        <f t="shared" si="16"/>
        <v>370</v>
      </c>
      <c r="AO34" s="110">
        <f t="shared" si="17"/>
        <v>0</v>
      </c>
      <c r="AP34" s="110">
        <f t="shared" si="17"/>
        <v>0</v>
      </c>
      <c r="AQ34" s="110">
        <f t="shared" si="17"/>
        <v>0</v>
      </c>
      <c r="AR34" s="110">
        <f t="shared" si="17"/>
        <v>0</v>
      </c>
      <c r="AT34" s="110">
        <f t="shared" si="9"/>
        <v>891</v>
      </c>
      <c r="AV34" s="110">
        <f t="shared" si="27"/>
        <v>0</v>
      </c>
      <c r="AW34" s="110">
        <f t="shared" si="18"/>
        <v>0</v>
      </c>
      <c r="AX34" s="110">
        <f t="shared" si="18"/>
        <v>0</v>
      </c>
      <c r="AZ34" s="110">
        <f t="shared" si="19"/>
        <v>484</v>
      </c>
      <c r="BA34" s="110">
        <f t="shared" si="20"/>
        <v>500</v>
      </c>
      <c r="BB34" s="110">
        <f t="shared" si="21"/>
        <v>75</v>
      </c>
      <c r="BC34" s="110">
        <f t="shared" si="22"/>
        <v>773</v>
      </c>
      <c r="BD34" s="110">
        <f t="shared" si="22"/>
        <v>161</v>
      </c>
      <c r="BE34" s="110">
        <f t="shared" si="22"/>
        <v>1000</v>
      </c>
    </row>
    <row r="35" spans="1:57" x14ac:dyDescent="0.2">
      <c r="A35" s="109">
        <f>+A34+1</f>
        <v>30</v>
      </c>
      <c r="B35" s="109">
        <v>144933</v>
      </c>
      <c r="C35" s="109">
        <f>+C34</f>
        <v>10839</v>
      </c>
      <c r="D35" s="109">
        <f t="shared" si="12"/>
        <v>13262</v>
      </c>
      <c r="E35" s="109"/>
      <c r="F35" s="109">
        <f>SUM(B35:D35)</f>
        <v>169034</v>
      </c>
      <c r="G35" s="109"/>
      <c r="H35" s="109">
        <f>49878+1977</f>
        <v>51855</v>
      </c>
      <c r="I35" s="109">
        <f t="shared" si="2"/>
        <v>50758</v>
      </c>
      <c r="J35" s="109"/>
      <c r="K35" s="109">
        <f t="shared" si="3"/>
        <v>118276</v>
      </c>
      <c r="L35" s="109"/>
      <c r="M35" s="109" t="s">
        <v>313</v>
      </c>
      <c r="N35" s="109"/>
      <c r="O35" s="116">
        <f t="shared" si="28"/>
        <v>146367</v>
      </c>
      <c r="P35" s="113">
        <f t="shared" si="28"/>
        <v>36300</v>
      </c>
      <c r="Q35" s="117">
        <f>+P35+O35</f>
        <v>182667</v>
      </c>
      <c r="R35" s="109"/>
      <c r="S35" s="109">
        <f t="shared" si="5"/>
        <v>64391</v>
      </c>
      <c r="T35" s="109"/>
      <c r="U35" s="165">
        <v>3.0350000000000001</v>
      </c>
      <c r="V35" s="165">
        <f t="shared" si="6"/>
        <v>3.0250000000000004</v>
      </c>
      <c r="W35" s="119">
        <f t="shared" si="7"/>
        <v>194782.77500000002</v>
      </c>
      <c r="Z35" s="118"/>
      <c r="AA35" s="119"/>
      <c r="AC35" s="110">
        <f t="shared" ref="AC35:AH36" si="29">+AC34</f>
        <v>323</v>
      </c>
      <c r="AD35" s="110">
        <f t="shared" si="29"/>
        <v>13</v>
      </c>
      <c r="AE35" s="110">
        <f t="shared" si="29"/>
        <v>12</v>
      </c>
      <c r="AF35" s="110">
        <f t="shared" si="29"/>
        <v>6</v>
      </c>
      <c r="AG35" s="110">
        <f t="shared" si="29"/>
        <v>2097</v>
      </c>
      <c r="AH35" s="110">
        <f t="shared" si="29"/>
        <v>14</v>
      </c>
      <c r="AJ35" s="110">
        <f t="shared" si="0"/>
        <v>2465</v>
      </c>
      <c r="AL35" s="110">
        <f t="shared" ref="AL35:AR35" si="30">+AL34</f>
        <v>21</v>
      </c>
      <c r="AM35" s="110">
        <f t="shared" si="30"/>
        <v>500</v>
      </c>
      <c r="AN35" s="110">
        <f t="shared" si="30"/>
        <v>370</v>
      </c>
      <c r="AO35" s="110">
        <f t="shared" si="30"/>
        <v>0</v>
      </c>
      <c r="AP35" s="110">
        <f t="shared" si="30"/>
        <v>0</v>
      </c>
      <c r="AQ35" s="110">
        <f t="shared" si="30"/>
        <v>0</v>
      </c>
      <c r="AR35" s="110">
        <f t="shared" si="30"/>
        <v>0</v>
      </c>
      <c r="AT35" s="110">
        <f>SUM(AL35:AS35)</f>
        <v>891</v>
      </c>
      <c r="AV35" s="110">
        <f t="shared" ref="AV35:AX36" si="31">+AV34</f>
        <v>0</v>
      </c>
      <c r="AW35" s="110">
        <f t="shared" si="31"/>
        <v>0</v>
      </c>
      <c r="AX35" s="110">
        <f t="shared" si="31"/>
        <v>0</v>
      </c>
      <c r="AZ35" s="110">
        <f t="shared" si="19"/>
        <v>484</v>
      </c>
      <c r="BA35" s="110">
        <f t="shared" si="20"/>
        <v>500</v>
      </c>
      <c r="BB35" s="110">
        <f t="shared" si="21"/>
        <v>75</v>
      </c>
      <c r="BC35" s="110">
        <f t="shared" si="22"/>
        <v>773</v>
      </c>
      <c r="BD35" s="110">
        <f t="shared" si="22"/>
        <v>161</v>
      </c>
      <c r="BE35" s="110">
        <f t="shared" si="22"/>
        <v>1000</v>
      </c>
    </row>
    <row r="36" spans="1:57" x14ac:dyDescent="0.2">
      <c r="A36" s="109">
        <f>+A35+1</f>
        <v>31</v>
      </c>
      <c r="B36" s="109">
        <v>132786</v>
      </c>
      <c r="C36" s="109">
        <v>10719</v>
      </c>
      <c r="D36" s="109">
        <v>12054</v>
      </c>
      <c r="E36" s="109"/>
      <c r="F36" s="109">
        <f>SUM(B36:D36)</f>
        <v>155559</v>
      </c>
      <c r="G36" s="109"/>
      <c r="H36" s="109">
        <f>34488+1977</f>
        <v>36465</v>
      </c>
      <c r="I36" s="109">
        <f t="shared" si="2"/>
        <v>35693</v>
      </c>
      <c r="J36" s="109"/>
      <c r="K36" s="109">
        <f t="shared" si="3"/>
        <v>119866</v>
      </c>
      <c r="L36" s="109"/>
      <c r="M36" s="109" t="s">
        <v>313</v>
      </c>
      <c r="N36" s="109"/>
      <c r="O36" s="116">
        <f t="shared" si="28"/>
        <v>146367</v>
      </c>
      <c r="P36" s="113">
        <f t="shared" si="28"/>
        <v>36300</v>
      </c>
      <c r="Q36" s="117">
        <f>+P36+O36</f>
        <v>182667</v>
      </c>
      <c r="R36" s="109"/>
      <c r="S36" s="109">
        <f t="shared" si="5"/>
        <v>62801</v>
      </c>
      <c r="T36" s="109"/>
      <c r="U36" s="165">
        <v>2.99</v>
      </c>
      <c r="V36" s="165">
        <f t="shared" si="6"/>
        <v>2.9800000000000004</v>
      </c>
      <c r="W36" s="119">
        <f t="shared" si="7"/>
        <v>187146.98000000004</v>
      </c>
      <c r="Z36" s="118"/>
      <c r="AA36" s="119"/>
      <c r="AC36" s="110">
        <f t="shared" si="29"/>
        <v>323</v>
      </c>
      <c r="AD36" s="110">
        <f t="shared" si="29"/>
        <v>13</v>
      </c>
      <c r="AE36" s="110">
        <f t="shared" si="29"/>
        <v>12</v>
      </c>
      <c r="AF36" s="110">
        <f t="shared" si="29"/>
        <v>6</v>
      </c>
      <c r="AG36" s="110">
        <f t="shared" si="29"/>
        <v>2097</v>
      </c>
      <c r="AH36" s="110">
        <f t="shared" si="29"/>
        <v>14</v>
      </c>
      <c r="AJ36" s="110">
        <f t="shared" si="0"/>
        <v>2465</v>
      </c>
      <c r="AL36" s="110">
        <v>650</v>
      </c>
      <c r="AM36" s="110">
        <f t="shared" ref="AM36:AR36" si="32">+AM35</f>
        <v>500</v>
      </c>
      <c r="AN36" s="110">
        <f t="shared" si="32"/>
        <v>370</v>
      </c>
      <c r="AO36" s="110">
        <f t="shared" si="32"/>
        <v>0</v>
      </c>
      <c r="AP36" s="110">
        <f t="shared" si="32"/>
        <v>0</v>
      </c>
      <c r="AQ36" s="110">
        <f t="shared" si="32"/>
        <v>0</v>
      </c>
      <c r="AR36" s="110">
        <f t="shared" si="32"/>
        <v>0</v>
      </c>
      <c r="AT36" s="110">
        <f>SUM(AL36:AS36)</f>
        <v>1520</v>
      </c>
      <c r="AV36" s="110">
        <f t="shared" si="31"/>
        <v>0</v>
      </c>
      <c r="AW36" s="110">
        <f t="shared" si="31"/>
        <v>0</v>
      </c>
      <c r="AX36" s="110">
        <f t="shared" si="31"/>
        <v>0</v>
      </c>
      <c r="AZ36" s="110">
        <f t="shared" si="19"/>
        <v>484</v>
      </c>
      <c r="BA36" s="110">
        <f t="shared" si="20"/>
        <v>500</v>
      </c>
      <c r="BB36" s="110">
        <f t="shared" si="21"/>
        <v>75</v>
      </c>
      <c r="BC36" s="110">
        <f t="shared" si="22"/>
        <v>773</v>
      </c>
      <c r="BD36" s="110">
        <f t="shared" si="22"/>
        <v>161</v>
      </c>
      <c r="BE36" s="110">
        <f t="shared" si="22"/>
        <v>1000</v>
      </c>
    </row>
    <row r="37" spans="1:57" x14ac:dyDescent="0.2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</row>
    <row r="38" spans="1:57" ht="13.5" thickBot="1" x14ac:dyDescent="0.25">
      <c r="A38" s="109"/>
      <c r="B38" s="109">
        <f t="shared" ref="B38:H38" si="33">SUM(B6:B37)</f>
        <v>4179374</v>
      </c>
      <c r="C38" s="109">
        <f t="shared" si="33"/>
        <v>325626</v>
      </c>
      <c r="D38" s="109">
        <f t="shared" si="33"/>
        <v>409914</v>
      </c>
      <c r="E38" s="109"/>
      <c r="F38" s="168">
        <f>SUM(F6:F37)</f>
        <v>4914914</v>
      </c>
      <c r="G38" s="109"/>
      <c r="H38" s="109">
        <f t="shared" si="33"/>
        <v>1121733</v>
      </c>
      <c r="I38" s="109">
        <f>SUM(I6:I37)</f>
        <v>1098001</v>
      </c>
      <c r="J38" s="109"/>
      <c r="K38" s="109">
        <f>SUM(K6:K37)</f>
        <v>3816913</v>
      </c>
      <c r="L38" s="109"/>
      <c r="M38" s="109">
        <f>SUM(M6:M37)</f>
        <v>0</v>
      </c>
      <c r="N38" s="109"/>
      <c r="O38" s="109">
        <f>SUM(O6:O37)</f>
        <v>4537377</v>
      </c>
      <c r="P38" s="109">
        <f>SUM(P6:P37)</f>
        <v>1125300</v>
      </c>
      <c r="Q38" s="109">
        <f>SUM(Q6:Q37)</f>
        <v>5662677</v>
      </c>
      <c r="R38" s="109"/>
      <c r="S38" s="109">
        <f>SUM(S6:S37)</f>
        <v>1845764</v>
      </c>
      <c r="T38" s="178" t="s">
        <v>377</v>
      </c>
      <c r="U38" s="109"/>
      <c r="V38" s="109"/>
      <c r="W38" s="119">
        <f>SUM(W6:W34)</f>
        <v>4963550.0850000009</v>
      </c>
      <c r="Y38" s="109"/>
      <c r="AA38" s="119"/>
      <c r="AC38" s="156">
        <f t="shared" ref="AC38:AH38" si="34">SUM(AC6:AC36)</f>
        <v>10013</v>
      </c>
      <c r="AD38" s="156">
        <f t="shared" si="34"/>
        <v>403</v>
      </c>
      <c r="AE38" s="156">
        <f t="shared" si="34"/>
        <v>372</v>
      </c>
      <c r="AF38" s="156">
        <f t="shared" si="34"/>
        <v>186</v>
      </c>
      <c r="AG38" s="156">
        <f t="shared" si="34"/>
        <v>65007</v>
      </c>
      <c r="AH38" s="156">
        <f t="shared" si="34"/>
        <v>434</v>
      </c>
      <c r="AJ38" s="156">
        <f>SUM(AJ6:AJ36)</f>
        <v>76415</v>
      </c>
      <c r="AL38" s="156">
        <f t="shared" ref="AL38:AR38" si="35">SUM(AL6:AL36)</f>
        <v>818</v>
      </c>
      <c r="AM38" s="156">
        <f t="shared" si="35"/>
        <v>11500</v>
      </c>
      <c r="AN38" s="156">
        <f t="shared" si="35"/>
        <v>8510</v>
      </c>
      <c r="AO38" s="156">
        <f t="shared" si="35"/>
        <v>0</v>
      </c>
      <c r="AP38" s="156">
        <f t="shared" si="35"/>
        <v>0</v>
      </c>
      <c r="AQ38" s="156">
        <f t="shared" si="35"/>
        <v>0</v>
      </c>
      <c r="AR38" s="156">
        <f t="shared" si="35"/>
        <v>0</v>
      </c>
      <c r="AT38" s="156">
        <f>SUM(AT6:AT36)</f>
        <v>20828</v>
      </c>
      <c r="AV38" s="156">
        <f>SUM(AV6:AV36)</f>
        <v>0</v>
      </c>
      <c r="AW38" s="156">
        <f>SUM(AW6:AW36)</f>
        <v>0</v>
      </c>
      <c r="AX38" s="156">
        <f>SUM(AX6:AX36)</f>
        <v>0</v>
      </c>
      <c r="AZ38" s="156">
        <f t="shared" ref="AZ38:BE38" si="36">SUM(AZ6:AZ36)</f>
        <v>15004</v>
      </c>
      <c r="BA38" s="156">
        <f t="shared" si="36"/>
        <v>15500</v>
      </c>
      <c r="BB38" s="156">
        <f t="shared" si="36"/>
        <v>2325</v>
      </c>
      <c r="BC38" s="156">
        <f t="shared" si="36"/>
        <v>23963</v>
      </c>
      <c r="BD38" s="156">
        <f t="shared" si="36"/>
        <v>4991</v>
      </c>
      <c r="BE38" s="156">
        <f t="shared" si="36"/>
        <v>31000</v>
      </c>
    </row>
    <row r="39" spans="1:57" ht="14.25" thickTop="1" thickBot="1" x14ac:dyDescent="0.25">
      <c r="P39" s="156">
        <v>1125300</v>
      </c>
    </row>
    <row r="40" spans="1:57" ht="14.25" thickTop="1" thickBot="1" x14ac:dyDescent="0.25">
      <c r="S40" s="177">
        <f>+W38/S38</f>
        <v>2.6891574897982631</v>
      </c>
      <c r="T40" s="110" t="s">
        <v>497</v>
      </c>
      <c r="AC40" s="110" t="s">
        <v>460</v>
      </c>
    </row>
    <row r="41" spans="1:57" ht="13.5" thickTop="1" x14ac:dyDescent="0.2">
      <c r="AC41" s="110" t="s">
        <v>461</v>
      </c>
    </row>
    <row r="42" spans="1:57" ht="13.5" thickBot="1" x14ac:dyDescent="0.25">
      <c r="F42" s="110" t="s">
        <v>498</v>
      </c>
      <c r="S42" s="177">
        <f>2.73+0.0075</f>
        <v>2.7374999999999998</v>
      </c>
      <c r="T42" s="110" t="s">
        <v>496</v>
      </c>
    </row>
    <row r="43" spans="1:57" ht="13.5" thickTop="1" x14ac:dyDescent="0.2"/>
    <row r="44" spans="1:57" x14ac:dyDescent="0.2">
      <c r="F44" s="110" t="s">
        <v>500</v>
      </c>
      <c r="H44" s="110" t="s">
        <v>501</v>
      </c>
      <c r="I44" s="110" t="s">
        <v>429</v>
      </c>
    </row>
    <row r="45" spans="1:57" x14ac:dyDescent="0.2">
      <c r="D45" s="110" t="s">
        <v>499</v>
      </c>
      <c r="F45" s="110">
        <v>4914914</v>
      </c>
      <c r="H45" s="165">
        <v>2.8193000000000001</v>
      </c>
      <c r="I45" s="110" t="s">
        <v>502</v>
      </c>
    </row>
    <row r="46" spans="1:57" x14ac:dyDescent="0.2">
      <c r="D46" s="110" t="s">
        <v>503</v>
      </c>
      <c r="F46" s="110">
        <v>-1121733</v>
      </c>
      <c r="H46" s="165">
        <f>2.73+0.0075-0.0153</f>
        <v>2.7222</v>
      </c>
      <c r="I46" s="110" t="s">
        <v>504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5"/>
  <sheetViews>
    <sheetView topLeftCell="D34" workbookViewId="0">
      <selection activeCell="Q53" sqref="Q53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0.710937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50" hidden="1" customWidth="1"/>
    <col min="16" max="16" width="0" style="25" hidden="1" customWidth="1"/>
    <col min="17" max="18" width="12.7109375" style="25" customWidth="1"/>
    <col min="19" max="19" width="10.85546875" style="25" customWidth="1"/>
    <col min="20" max="20" width="12.28515625" style="25" customWidth="1"/>
    <col min="21" max="21" width="10.7109375" style="25" customWidth="1"/>
    <col min="22" max="22" width="11.85546875" style="25" customWidth="1"/>
    <col min="23" max="24" width="14.85546875" style="38" customWidth="1"/>
    <col min="25" max="25" width="42.28515625" style="27" customWidth="1"/>
    <col min="26" max="27" width="9.140625" style="38"/>
    <col min="28" max="28" width="12.42578125" style="25" customWidth="1"/>
    <col min="29" max="16384" width="9.140625" style="25"/>
  </cols>
  <sheetData>
    <row r="1" spans="2:27" x14ac:dyDescent="0.2">
      <c r="B1" s="41" t="s">
        <v>439</v>
      </c>
      <c r="C1" s="3"/>
      <c r="D1" s="3"/>
      <c r="E1" s="4"/>
      <c r="F1" s="4"/>
      <c r="G1" s="1"/>
      <c r="H1" s="1"/>
      <c r="I1" s="3" t="s">
        <v>19</v>
      </c>
      <c r="J1" s="7">
        <v>31</v>
      </c>
      <c r="K1" s="51" t="s">
        <v>39</v>
      </c>
      <c r="L1" s="5"/>
      <c r="M1" s="5"/>
      <c r="N1" s="5"/>
      <c r="O1" s="46"/>
      <c r="P1" s="5"/>
      <c r="Q1" s="24"/>
      <c r="R1" s="24"/>
      <c r="S1" s="2"/>
      <c r="T1" s="28"/>
      <c r="U1" s="28"/>
      <c r="V1" s="28"/>
      <c r="W1" s="55"/>
      <c r="X1" s="55"/>
      <c r="Y1" s="61"/>
      <c r="Z1" s="35"/>
      <c r="AA1" s="35"/>
    </row>
    <row r="2" spans="2:27" x14ac:dyDescent="0.2">
      <c r="B2" s="42" t="s">
        <v>34</v>
      </c>
      <c r="C2" s="42"/>
      <c r="D2" s="42"/>
      <c r="E2" s="4"/>
      <c r="F2" s="4"/>
      <c r="G2" s="1"/>
      <c r="H2" s="1"/>
      <c r="I2" s="3"/>
      <c r="J2" s="7"/>
      <c r="K2" s="51" t="s">
        <v>40</v>
      </c>
      <c r="L2" s="5"/>
      <c r="M2" s="5"/>
      <c r="N2" s="5"/>
      <c r="O2" s="46"/>
      <c r="P2" s="5"/>
      <c r="Q2" s="24"/>
      <c r="R2" s="24"/>
      <c r="S2" s="2"/>
      <c r="T2" s="28"/>
      <c r="U2" s="28"/>
      <c r="V2" s="28"/>
      <c r="W2" s="55"/>
      <c r="X2" s="55"/>
      <c r="Y2" s="61"/>
      <c r="Z2" s="35"/>
      <c r="AA2" s="35"/>
    </row>
    <row r="3" spans="2:27" x14ac:dyDescent="0.2">
      <c r="B3" s="43" t="s">
        <v>35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6"/>
      <c r="P3" s="31" t="s">
        <v>3</v>
      </c>
      <c r="Q3" s="24"/>
      <c r="R3" s="24"/>
      <c r="S3" s="2"/>
      <c r="T3" s="28"/>
      <c r="U3" s="28"/>
      <c r="V3" s="28"/>
      <c r="W3" s="55"/>
      <c r="X3" s="55"/>
      <c r="Y3" s="61"/>
      <c r="Z3" s="35"/>
      <c r="AA3" s="35"/>
    </row>
    <row r="4" spans="2:27" x14ac:dyDescent="0.2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6"/>
      <c r="P4" s="2"/>
      <c r="Q4" s="24"/>
      <c r="R4" s="24"/>
      <c r="S4" s="2"/>
      <c r="T4" s="28"/>
      <c r="U4" s="33"/>
      <c r="V4" s="33"/>
      <c r="W4" s="56"/>
      <c r="X4" s="56"/>
      <c r="Y4" s="61"/>
      <c r="Z4" s="35"/>
      <c r="AA4" s="35"/>
    </row>
    <row r="5" spans="2:27" x14ac:dyDescent="0.2">
      <c r="B5" s="1" t="s">
        <v>41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6"/>
      <c r="P5" s="2"/>
      <c r="Q5" s="24"/>
      <c r="R5" s="24"/>
      <c r="S5" s="2"/>
      <c r="T5" s="28"/>
      <c r="U5" s="33"/>
      <c r="V5" s="33"/>
      <c r="W5" s="56"/>
      <c r="X5" s="56"/>
      <c r="Y5" s="61"/>
      <c r="Z5" s="35"/>
      <c r="AA5" s="35"/>
    </row>
    <row r="6" spans="2:27" x14ac:dyDescent="0.2">
      <c r="B6" s="82"/>
      <c r="C6" s="3" t="s">
        <v>243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6"/>
      <c r="P6" s="2"/>
      <c r="Q6" s="24"/>
      <c r="R6" s="24"/>
      <c r="S6" s="2"/>
      <c r="T6" s="28"/>
      <c r="U6" s="33"/>
      <c r="V6" s="33"/>
      <c r="W6" s="56"/>
      <c r="X6" s="56"/>
      <c r="Y6" s="61"/>
      <c r="Z6" s="35"/>
      <c r="AA6" s="35"/>
    </row>
    <row r="7" spans="2:27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6"/>
      <c r="P7" s="2"/>
      <c r="Q7" s="24"/>
      <c r="R7" s="24"/>
      <c r="S7" s="2"/>
      <c r="T7" s="28"/>
      <c r="U7" s="33"/>
      <c r="V7" s="33"/>
      <c r="W7" s="56"/>
      <c r="X7" s="56"/>
      <c r="Y7" s="61"/>
      <c r="Z7" s="35"/>
      <c r="AA7" s="35"/>
    </row>
    <row r="8" spans="2:27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6"/>
      <c r="P8" s="2"/>
      <c r="Q8" s="24"/>
      <c r="R8" s="24"/>
      <c r="S8" s="2"/>
      <c r="T8" s="28"/>
      <c r="U8" s="33"/>
      <c r="V8" s="33"/>
      <c r="W8" s="56"/>
      <c r="X8" s="56"/>
      <c r="Y8" s="61"/>
      <c r="Z8" s="35"/>
      <c r="AA8" s="35"/>
    </row>
    <row r="9" spans="2:27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6"/>
      <c r="P9" s="2"/>
      <c r="Q9" s="24"/>
      <c r="R9" s="24"/>
      <c r="S9" s="2"/>
      <c r="T9" s="28"/>
      <c r="U9" s="33"/>
      <c r="V9" s="33"/>
      <c r="W9" s="56"/>
      <c r="X9" s="56"/>
      <c r="Y9" s="61"/>
      <c r="Z9" s="35"/>
      <c r="AA9" s="35"/>
    </row>
    <row r="10" spans="2:27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6"/>
      <c r="P10" s="2"/>
      <c r="Q10" s="24"/>
      <c r="R10" s="24"/>
      <c r="S10" s="2"/>
      <c r="T10" s="28"/>
      <c r="U10" s="33"/>
      <c r="V10" s="33"/>
      <c r="W10" s="56"/>
      <c r="X10" s="56"/>
      <c r="Y10" s="61"/>
      <c r="Z10" s="35"/>
      <c r="AA10" s="35"/>
    </row>
    <row r="11" spans="2:27" x14ac:dyDescent="0.2">
      <c r="B11" s="16" t="s">
        <v>4</v>
      </c>
      <c r="C11" s="17" t="s">
        <v>5</v>
      </c>
      <c r="D11" s="17" t="s">
        <v>97</v>
      </c>
      <c r="E11" s="18" t="s">
        <v>7</v>
      </c>
      <c r="F11" s="18"/>
      <c r="G11" s="16" t="s">
        <v>8</v>
      </c>
      <c r="H11" s="16" t="s">
        <v>9</v>
      </c>
      <c r="I11" s="17" t="s">
        <v>53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7" t="s">
        <v>15</v>
      </c>
      <c r="P11" s="17" t="s">
        <v>16</v>
      </c>
      <c r="Q11" s="20" t="s">
        <v>234</v>
      </c>
      <c r="R11" s="20" t="s">
        <v>233</v>
      </c>
      <c r="S11" s="17" t="s">
        <v>17</v>
      </c>
      <c r="T11" s="16" t="s">
        <v>18</v>
      </c>
      <c r="U11" s="21" t="s">
        <v>52</v>
      </c>
      <c r="V11" s="21" t="s">
        <v>51</v>
      </c>
      <c r="W11" s="57" t="s">
        <v>235</v>
      </c>
      <c r="X11" s="57" t="s">
        <v>236</v>
      </c>
      <c r="Y11" s="62" t="s">
        <v>42</v>
      </c>
      <c r="Z11" s="36"/>
      <c r="AA11" s="36"/>
    </row>
    <row r="12" spans="2:27" s="99" customFormat="1" x14ac:dyDescent="0.2">
      <c r="B12" s="42" t="s">
        <v>104</v>
      </c>
      <c r="C12" s="85" t="s">
        <v>32</v>
      </c>
      <c r="D12" s="85" t="s">
        <v>20</v>
      </c>
      <c r="E12" s="86">
        <v>36586</v>
      </c>
      <c r="F12" s="86">
        <v>36830</v>
      </c>
      <c r="G12" s="87" t="s">
        <v>98</v>
      </c>
      <c r="H12" s="42" t="s">
        <v>106</v>
      </c>
      <c r="I12" s="85" t="s">
        <v>99</v>
      </c>
      <c r="J12" s="88">
        <f>6.7854*0.0328767</f>
        <v>0.22308156018000003</v>
      </c>
      <c r="K12" s="89">
        <v>1.12E-2</v>
      </c>
      <c r="L12" s="89">
        <v>2.2000000000000001E-3</v>
      </c>
      <c r="M12" s="89">
        <v>7.1999999999999998E-3</v>
      </c>
      <c r="N12" s="89">
        <v>0</v>
      </c>
      <c r="O12" s="90">
        <v>1.11E-2</v>
      </c>
      <c r="P12" s="89">
        <f t="shared" ref="P12:P20" si="0">SUM(J12:N12)</f>
        <v>0.24368156018000003</v>
      </c>
      <c r="Q12" s="91">
        <v>779150</v>
      </c>
      <c r="R12" s="91" t="s">
        <v>313</v>
      </c>
      <c r="S12" s="85">
        <v>104</v>
      </c>
      <c r="T12" s="42" t="s">
        <v>314</v>
      </c>
      <c r="U12" s="93">
        <f t="shared" ref="U12:U20" si="1">J12*J$1*S12</f>
        <v>719.21495002032009</v>
      </c>
      <c r="V12" s="93"/>
      <c r="W12" s="94">
        <v>205856</v>
      </c>
      <c r="X12" s="94"/>
      <c r="Y12" s="42"/>
      <c r="Z12" s="98"/>
      <c r="AA12" s="98"/>
    </row>
    <row r="13" spans="2:27" s="99" customFormat="1" x14ac:dyDescent="0.2">
      <c r="B13" s="42" t="s">
        <v>104</v>
      </c>
      <c r="C13" s="85" t="s">
        <v>32</v>
      </c>
      <c r="D13" s="85" t="s">
        <v>20</v>
      </c>
      <c r="E13" s="86">
        <v>36586</v>
      </c>
      <c r="F13" s="86">
        <v>40117</v>
      </c>
      <c r="G13" s="87" t="s">
        <v>98</v>
      </c>
      <c r="H13" s="87" t="s">
        <v>105</v>
      </c>
      <c r="I13" s="85" t="s">
        <v>28</v>
      </c>
      <c r="J13" s="88">
        <v>0.21959999999999999</v>
      </c>
      <c r="K13" s="89">
        <v>1.12E-2</v>
      </c>
      <c r="L13" s="89">
        <v>2.2000000000000001E-3</v>
      </c>
      <c r="M13" s="89">
        <v>7.1999999999999998E-3</v>
      </c>
      <c r="N13" s="89">
        <v>0</v>
      </c>
      <c r="O13" s="90">
        <v>1.11E-2</v>
      </c>
      <c r="P13" s="89">
        <f>SUM(J13:N13)</f>
        <v>0.2402</v>
      </c>
      <c r="Q13" s="91">
        <v>770409</v>
      </c>
      <c r="R13" s="91" t="s">
        <v>313</v>
      </c>
      <c r="S13" s="85">
        <v>64</v>
      </c>
      <c r="T13" s="87"/>
      <c r="U13" s="93">
        <f>J13*J$1*S13</f>
        <v>435.68639999999999</v>
      </c>
      <c r="V13" s="93"/>
      <c r="W13" s="94"/>
      <c r="X13" s="94">
        <v>142007</v>
      </c>
      <c r="Y13" s="42"/>
      <c r="Z13" s="98"/>
      <c r="AA13" s="98"/>
    </row>
    <row r="14" spans="2:27" s="99" customFormat="1" x14ac:dyDescent="0.2">
      <c r="B14" s="42" t="s">
        <v>104</v>
      </c>
      <c r="C14" s="85" t="s">
        <v>32</v>
      </c>
      <c r="D14" s="85" t="s">
        <v>20</v>
      </c>
      <c r="E14" s="86">
        <v>36586</v>
      </c>
      <c r="F14" s="86">
        <v>40117</v>
      </c>
      <c r="G14" s="87" t="s">
        <v>98</v>
      </c>
      <c r="H14" s="87" t="s">
        <v>105</v>
      </c>
      <c r="I14" s="85" t="s">
        <v>28</v>
      </c>
      <c r="J14" s="88">
        <f>6.7854*0.0328767</f>
        <v>0.22308156018000003</v>
      </c>
      <c r="K14" s="89">
        <v>1.12E-2</v>
      </c>
      <c r="L14" s="89">
        <v>2.2000000000000001E-3</v>
      </c>
      <c r="M14" s="89">
        <v>7.1999999999999998E-3</v>
      </c>
      <c r="N14" s="89">
        <v>0</v>
      </c>
      <c r="O14" s="90">
        <v>1.11E-2</v>
      </c>
      <c r="P14" s="89">
        <f t="shared" si="0"/>
        <v>0.24368156018000003</v>
      </c>
      <c r="Q14" s="91">
        <v>779152</v>
      </c>
      <c r="R14" s="91" t="s">
        <v>313</v>
      </c>
      <c r="S14" s="85">
        <v>96</v>
      </c>
      <c r="T14" s="87" t="s">
        <v>315</v>
      </c>
      <c r="U14" s="93">
        <f t="shared" si="1"/>
        <v>663.89072309568007</v>
      </c>
      <c r="V14" s="93"/>
      <c r="W14" s="94"/>
      <c r="X14" s="94"/>
      <c r="Y14" s="42"/>
      <c r="Z14" s="98"/>
      <c r="AA14" s="98"/>
    </row>
    <row r="15" spans="2:27" s="99" customFormat="1" x14ac:dyDescent="0.2">
      <c r="B15" s="42" t="s">
        <v>104</v>
      </c>
      <c r="C15" s="85" t="s">
        <v>32</v>
      </c>
      <c r="D15" s="85" t="s">
        <v>20</v>
      </c>
      <c r="E15" s="86">
        <v>36586</v>
      </c>
      <c r="F15" s="86">
        <v>41213</v>
      </c>
      <c r="G15" s="87" t="s">
        <v>107</v>
      </c>
      <c r="H15" s="87" t="s">
        <v>105</v>
      </c>
      <c r="I15" s="85" t="s">
        <v>103</v>
      </c>
      <c r="J15" s="88">
        <f>6.3138/J$1</f>
        <v>0.20367096774193547</v>
      </c>
      <c r="K15" s="89">
        <v>1.12E-2</v>
      </c>
      <c r="L15" s="89">
        <v>2.2000000000000001E-3</v>
      </c>
      <c r="M15" s="89">
        <v>7.1999999999999998E-3</v>
      </c>
      <c r="N15" s="89">
        <v>0</v>
      </c>
      <c r="O15" s="90">
        <v>1.11E-2</v>
      </c>
      <c r="P15" s="89">
        <f t="shared" si="0"/>
        <v>0.22427096774193547</v>
      </c>
      <c r="Q15" s="91">
        <v>779153</v>
      </c>
      <c r="R15" s="91" t="s">
        <v>313</v>
      </c>
      <c r="S15" s="85">
        <v>69</v>
      </c>
      <c r="T15" s="42"/>
      <c r="U15" s="93">
        <f t="shared" si="1"/>
        <v>435.65219999999999</v>
      </c>
      <c r="V15" s="93"/>
      <c r="W15" s="94"/>
      <c r="X15" s="94">
        <v>205872</v>
      </c>
      <c r="Y15" s="42"/>
      <c r="Z15" s="98"/>
      <c r="AA15" s="98"/>
    </row>
    <row r="16" spans="2:27" s="65" customFormat="1" x14ac:dyDescent="0.2">
      <c r="B16" s="1" t="s">
        <v>104</v>
      </c>
      <c r="C16" s="3" t="s">
        <v>32</v>
      </c>
      <c r="D16" s="3" t="s">
        <v>20</v>
      </c>
      <c r="E16" s="4">
        <v>36465</v>
      </c>
      <c r="F16" s="4">
        <v>36830</v>
      </c>
      <c r="G16" s="29" t="s">
        <v>98</v>
      </c>
      <c r="H16" s="29" t="s">
        <v>108</v>
      </c>
      <c r="I16" s="3" t="s">
        <v>27</v>
      </c>
      <c r="J16" s="8">
        <v>0.21959999999999999</v>
      </c>
      <c r="K16" s="5">
        <v>1.12E-2</v>
      </c>
      <c r="L16" s="5">
        <v>2.2000000000000001E-3</v>
      </c>
      <c r="M16" s="5">
        <v>7.1999999999999998E-3</v>
      </c>
      <c r="N16" s="5">
        <v>0</v>
      </c>
      <c r="O16" s="46">
        <v>1.11E-2</v>
      </c>
      <c r="P16" s="5">
        <f t="shared" si="0"/>
        <v>0.2402</v>
      </c>
      <c r="Q16" s="24"/>
      <c r="R16" s="24">
        <v>770990</v>
      </c>
      <c r="S16" s="3">
        <v>11</v>
      </c>
      <c r="T16" s="1"/>
      <c r="U16" s="9">
        <f t="shared" si="1"/>
        <v>74.883600000000001</v>
      </c>
      <c r="V16" s="9"/>
      <c r="W16" s="59"/>
      <c r="X16" s="59">
        <v>142020</v>
      </c>
      <c r="Y16" s="1"/>
      <c r="Z16" s="36"/>
      <c r="AA16" s="36"/>
    </row>
    <row r="17" spans="1:27" s="65" customFormat="1" x14ac:dyDescent="0.2">
      <c r="B17" s="1" t="s">
        <v>104</v>
      </c>
      <c r="C17" s="3" t="s">
        <v>32</v>
      </c>
      <c r="D17" s="3" t="s">
        <v>20</v>
      </c>
      <c r="E17" s="4">
        <v>36465</v>
      </c>
      <c r="F17" s="4">
        <v>39021</v>
      </c>
      <c r="G17" s="29" t="s">
        <v>98</v>
      </c>
      <c r="H17" s="29" t="s">
        <v>109</v>
      </c>
      <c r="I17" s="3" t="s">
        <v>27</v>
      </c>
      <c r="J17" s="8">
        <v>0.39229999999999998</v>
      </c>
      <c r="K17" s="5">
        <v>1.12E-2</v>
      </c>
      <c r="L17" s="5">
        <v>2.2000000000000001E-3</v>
      </c>
      <c r="M17" s="5">
        <v>7.1999999999999998E-3</v>
      </c>
      <c r="N17" s="5">
        <v>0</v>
      </c>
      <c r="O17" s="46">
        <v>1.11E-2</v>
      </c>
      <c r="P17" s="5">
        <f t="shared" si="0"/>
        <v>0.41289999999999993</v>
      </c>
      <c r="Q17" s="24"/>
      <c r="R17" s="24">
        <v>770991</v>
      </c>
      <c r="S17" s="3">
        <v>73</v>
      </c>
      <c r="T17" s="1"/>
      <c r="U17" s="9">
        <f t="shared" si="1"/>
        <v>887.77489999999989</v>
      </c>
      <c r="V17" s="9"/>
      <c r="W17" s="59"/>
      <c r="X17" s="59">
        <v>142022</v>
      </c>
      <c r="Y17" s="1"/>
      <c r="Z17" s="36"/>
      <c r="AA17" s="36"/>
    </row>
    <row r="18" spans="1:27" s="65" customFormat="1" x14ac:dyDescent="0.2">
      <c r="B18" s="1" t="s">
        <v>104</v>
      </c>
      <c r="C18" s="3" t="s">
        <v>32</v>
      </c>
      <c r="D18" s="3" t="s">
        <v>20</v>
      </c>
      <c r="E18" s="4">
        <v>36465</v>
      </c>
      <c r="F18" s="4">
        <v>38656</v>
      </c>
      <c r="G18" s="29" t="s">
        <v>179</v>
      </c>
      <c r="H18" s="29" t="s">
        <v>110</v>
      </c>
      <c r="I18" s="3" t="s">
        <v>27</v>
      </c>
      <c r="J18" s="8">
        <v>0.21959999999999999</v>
      </c>
      <c r="K18" s="5">
        <v>1.12E-2</v>
      </c>
      <c r="L18" s="5">
        <v>2.2000000000000001E-3</v>
      </c>
      <c r="M18" s="5">
        <v>7.1999999999999998E-3</v>
      </c>
      <c r="N18" s="5">
        <v>0</v>
      </c>
      <c r="O18" s="46">
        <v>1.11E-2</v>
      </c>
      <c r="P18" s="5">
        <f t="shared" si="0"/>
        <v>0.2402</v>
      </c>
      <c r="Q18" s="24"/>
      <c r="R18" s="24">
        <v>770992</v>
      </c>
      <c r="S18" s="3">
        <v>158</v>
      </c>
      <c r="T18" s="1"/>
      <c r="U18" s="9">
        <f t="shared" si="1"/>
        <v>1075.6007999999999</v>
      </c>
      <c r="V18" s="9"/>
      <c r="W18" s="59"/>
      <c r="X18" s="59">
        <v>142024</v>
      </c>
      <c r="Y18" s="1"/>
      <c r="Z18" s="36"/>
      <c r="AA18" s="36"/>
    </row>
    <row r="19" spans="1:27" s="65" customFormat="1" x14ac:dyDescent="0.2">
      <c r="B19" s="1" t="s">
        <v>104</v>
      </c>
      <c r="C19" s="3" t="s">
        <v>32</v>
      </c>
      <c r="D19" s="3" t="s">
        <v>20</v>
      </c>
      <c r="E19" s="4">
        <v>36465</v>
      </c>
      <c r="F19" s="4">
        <v>38656</v>
      </c>
      <c r="G19" s="29" t="s">
        <v>98</v>
      </c>
      <c r="H19" s="1" t="s">
        <v>106</v>
      </c>
      <c r="I19" s="3" t="s">
        <v>27</v>
      </c>
      <c r="J19" s="8">
        <v>0.21959999999999999</v>
      </c>
      <c r="K19" s="5">
        <v>1.12E-2</v>
      </c>
      <c r="L19" s="5">
        <v>2.2000000000000001E-3</v>
      </c>
      <c r="M19" s="5">
        <v>7.1999999999999998E-3</v>
      </c>
      <c r="N19" s="5">
        <v>0</v>
      </c>
      <c r="O19" s="46">
        <v>1.11E-2</v>
      </c>
      <c r="P19" s="5">
        <f t="shared" si="0"/>
        <v>0.2402</v>
      </c>
      <c r="Q19" s="24"/>
      <c r="R19" s="24">
        <v>770993</v>
      </c>
      <c r="S19" s="3">
        <v>264</v>
      </c>
      <c r="T19" s="1"/>
      <c r="U19" s="9">
        <f t="shared" si="1"/>
        <v>1797.2064</v>
      </c>
      <c r="V19" s="9"/>
      <c r="W19" s="59"/>
      <c r="X19" s="59">
        <v>142025</v>
      </c>
      <c r="Y19" s="1"/>
      <c r="Z19" s="36"/>
      <c r="AA19" s="36"/>
    </row>
    <row r="20" spans="1:27" s="65" customFormat="1" x14ac:dyDescent="0.2">
      <c r="A20" s="84" t="e">
        <f>#REF!*#REF!*#REF!</f>
        <v>#REF!</v>
      </c>
      <c r="B20" s="1" t="s">
        <v>104</v>
      </c>
      <c r="C20" s="3" t="s">
        <v>32</v>
      </c>
      <c r="D20" s="3" t="s">
        <v>100</v>
      </c>
      <c r="E20" s="4">
        <v>36479</v>
      </c>
      <c r="F20" s="4">
        <v>36676</v>
      </c>
      <c r="G20" s="29" t="s">
        <v>101</v>
      </c>
      <c r="H20" s="29" t="s">
        <v>102</v>
      </c>
      <c r="I20" s="3" t="s">
        <v>103</v>
      </c>
      <c r="J20" s="8">
        <v>0.2041</v>
      </c>
      <c r="K20" s="5">
        <v>1.12E-2</v>
      </c>
      <c r="L20" s="5">
        <v>2.2000000000000001E-3</v>
      </c>
      <c r="M20" s="5">
        <v>7.1999999999999998E-3</v>
      </c>
      <c r="N20" s="5">
        <v>0</v>
      </c>
      <c r="O20" s="46">
        <v>1.11E-2</v>
      </c>
      <c r="P20" s="5">
        <f t="shared" si="0"/>
        <v>0.22470000000000001</v>
      </c>
      <c r="Q20" s="24">
        <v>771013</v>
      </c>
      <c r="R20" s="24">
        <v>771013</v>
      </c>
      <c r="S20" s="3">
        <v>69</v>
      </c>
      <c r="T20" s="1">
        <v>69</v>
      </c>
      <c r="U20" s="9">
        <f t="shared" si="1"/>
        <v>436.56989999999996</v>
      </c>
      <c r="V20" s="9"/>
      <c r="W20" s="59"/>
      <c r="X20" s="59">
        <v>142030</v>
      </c>
      <c r="Y20" s="1"/>
      <c r="Z20" s="36"/>
      <c r="AA20" s="36"/>
    </row>
    <row r="21" spans="1:27" x14ac:dyDescent="0.2">
      <c r="B21" s="10" t="s">
        <v>3</v>
      </c>
      <c r="C21" s="11" t="s">
        <v>3</v>
      </c>
      <c r="D21" s="12" t="s">
        <v>3</v>
      </c>
      <c r="E21" s="13" t="s">
        <v>3</v>
      </c>
      <c r="F21" s="13"/>
      <c r="G21" s="10" t="s">
        <v>3</v>
      </c>
      <c r="H21" s="30" t="s">
        <v>3</v>
      </c>
      <c r="I21" s="11" t="s">
        <v>3</v>
      </c>
      <c r="J21" s="14"/>
      <c r="K21" s="15"/>
      <c r="L21" s="15"/>
      <c r="M21" s="15"/>
      <c r="N21" s="15"/>
      <c r="O21" s="48"/>
      <c r="P21" s="15"/>
      <c r="Q21" s="26" t="s">
        <v>3</v>
      </c>
      <c r="R21" s="26" t="s">
        <v>3</v>
      </c>
      <c r="S21" s="11">
        <f>SUM(S12:S20)</f>
        <v>908</v>
      </c>
      <c r="T21" s="10" t="s">
        <v>3</v>
      </c>
      <c r="U21" s="22">
        <f>SUM(U12:U20)</f>
        <v>6526.4798731160008</v>
      </c>
      <c r="V21" s="22">
        <f>SUM(V14:V20)</f>
        <v>0</v>
      </c>
      <c r="W21" s="58"/>
      <c r="X21" s="58"/>
      <c r="Y21" s="10"/>
      <c r="Z21" s="36"/>
      <c r="AA21" s="36"/>
    </row>
    <row r="22" spans="1:27" x14ac:dyDescent="0.2">
      <c r="B22" s="16" t="s">
        <v>4</v>
      </c>
      <c r="C22" s="17" t="s">
        <v>5</v>
      </c>
      <c r="D22" s="17" t="s">
        <v>97</v>
      </c>
      <c r="E22" s="18" t="s">
        <v>7</v>
      </c>
      <c r="F22" s="18"/>
      <c r="G22" s="16" t="s">
        <v>8</v>
      </c>
      <c r="H22" s="16" t="s">
        <v>9</v>
      </c>
      <c r="I22" s="17" t="s">
        <v>53</v>
      </c>
      <c r="J22" s="19" t="s">
        <v>10</v>
      </c>
      <c r="K22" s="17" t="s">
        <v>11</v>
      </c>
      <c r="L22" s="17" t="s">
        <v>12</v>
      </c>
      <c r="M22" s="17" t="s">
        <v>13</v>
      </c>
      <c r="N22" s="17" t="s">
        <v>14</v>
      </c>
      <c r="O22" s="47" t="s">
        <v>15</v>
      </c>
      <c r="P22" s="17" t="s">
        <v>16</v>
      </c>
      <c r="Q22" s="20" t="s">
        <v>234</v>
      </c>
      <c r="R22" s="20" t="s">
        <v>233</v>
      </c>
      <c r="S22" s="17" t="s">
        <v>17</v>
      </c>
      <c r="T22" s="16" t="s">
        <v>18</v>
      </c>
      <c r="U22" s="21" t="s">
        <v>52</v>
      </c>
      <c r="V22" s="21" t="s">
        <v>51</v>
      </c>
      <c r="W22" s="57" t="s">
        <v>235</v>
      </c>
      <c r="X22" s="57" t="s">
        <v>236</v>
      </c>
      <c r="Y22" s="62" t="s">
        <v>42</v>
      </c>
      <c r="Z22" s="36"/>
      <c r="AA22" s="36"/>
    </row>
    <row r="23" spans="1:27" s="65" customFormat="1" x14ac:dyDescent="0.2">
      <c r="B23" s="42" t="s">
        <v>237</v>
      </c>
      <c r="C23" s="85" t="s">
        <v>26</v>
      </c>
      <c r="D23" s="85" t="s">
        <v>123</v>
      </c>
      <c r="E23" s="86">
        <v>36586</v>
      </c>
      <c r="F23" s="86">
        <v>36616</v>
      </c>
      <c r="G23" s="42" t="s">
        <v>116</v>
      </c>
      <c r="H23" s="42" t="s">
        <v>248</v>
      </c>
      <c r="I23" s="85" t="s">
        <v>113</v>
      </c>
      <c r="J23" s="88">
        <f>5.7114/J$1</f>
        <v>0.18423870967741937</v>
      </c>
      <c r="K23" s="89">
        <v>4.3400000000000001E-2</v>
      </c>
      <c r="L23" s="89">
        <v>2.2000000000000001E-3</v>
      </c>
      <c r="M23" s="89">
        <v>0</v>
      </c>
      <c r="N23" s="89">
        <v>0</v>
      </c>
      <c r="O23" s="90">
        <v>2.2800000000000001E-2</v>
      </c>
      <c r="P23" s="89">
        <f t="shared" ref="P23:P31" si="2">SUM(J23:N23)</f>
        <v>0.22983870967741937</v>
      </c>
      <c r="Q23" s="91" t="s">
        <v>293</v>
      </c>
      <c r="R23" s="91" t="s">
        <v>252</v>
      </c>
      <c r="S23" s="85">
        <v>420</v>
      </c>
      <c r="T23" s="42" t="s">
        <v>295</v>
      </c>
      <c r="U23" s="93">
        <f t="shared" ref="U23:U28" si="3">J23*J$1*S23</f>
        <v>2398.788</v>
      </c>
      <c r="V23" s="93"/>
      <c r="W23" s="94">
        <v>204522</v>
      </c>
      <c r="X23" s="94">
        <v>156543</v>
      </c>
      <c r="Y23" s="42" t="s">
        <v>254</v>
      </c>
      <c r="Z23" s="36"/>
      <c r="AA23" s="36"/>
    </row>
    <row r="24" spans="1:27" s="65" customFormat="1" x14ac:dyDescent="0.2">
      <c r="B24" s="42" t="s">
        <v>237</v>
      </c>
      <c r="C24" s="85" t="s">
        <v>26</v>
      </c>
      <c r="D24" s="85" t="s">
        <v>123</v>
      </c>
      <c r="E24" s="86">
        <v>36586</v>
      </c>
      <c r="F24" s="86">
        <v>36616</v>
      </c>
      <c r="G24" s="42" t="s">
        <v>116</v>
      </c>
      <c r="H24" s="42" t="s">
        <v>249</v>
      </c>
      <c r="I24" s="85" t="s">
        <v>113</v>
      </c>
      <c r="J24" s="88">
        <f>5.7114/J$1</f>
        <v>0.18423870967741937</v>
      </c>
      <c r="K24" s="89">
        <v>4.3400000000000001E-2</v>
      </c>
      <c r="L24" s="89">
        <v>2.2000000000000001E-3</v>
      </c>
      <c r="M24" s="89">
        <v>0</v>
      </c>
      <c r="N24" s="89">
        <v>0</v>
      </c>
      <c r="O24" s="90">
        <v>2.2800000000000001E-2</v>
      </c>
      <c r="P24" s="89">
        <f t="shared" si="2"/>
        <v>0.22983870967741937</v>
      </c>
      <c r="Q24" s="91" t="s">
        <v>294</v>
      </c>
      <c r="R24" s="91" t="s">
        <v>251</v>
      </c>
      <c r="S24" s="85">
        <v>476</v>
      </c>
      <c r="T24" s="42" t="s">
        <v>296</v>
      </c>
      <c r="U24" s="93">
        <f t="shared" si="3"/>
        <v>2718.6264000000001</v>
      </c>
      <c r="V24" s="93"/>
      <c r="W24" s="94">
        <v>204527</v>
      </c>
      <c r="X24" s="94">
        <v>156545</v>
      </c>
      <c r="Y24" s="42" t="s">
        <v>253</v>
      </c>
      <c r="Z24" s="36"/>
      <c r="AA24" s="36"/>
    </row>
    <row r="25" spans="1:27" s="65" customFormat="1" x14ac:dyDescent="0.2">
      <c r="B25" s="42" t="s">
        <v>237</v>
      </c>
      <c r="C25" s="85" t="s">
        <v>26</v>
      </c>
      <c r="D25" s="85" t="s">
        <v>20</v>
      </c>
      <c r="E25" s="86">
        <v>36220</v>
      </c>
      <c r="F25" s="86">
        <v>37711</v>
      </c>
      <c r="G25" s="87" t="s">
        <v>111</v>
      </c>
      <c r="H25" s="87" t="s">
        <v>112</v>
      </c>
      <c r="I25" s="85" t="s">
        <v>113</v>
      </c>
      <c r="J25" s="88">
        <f>5.627/J$1</f>
        <v>0.18151612903225806</v>
      </c>
      <c r="K25" s="89">
        <v>4.3400000000000001E-2</v>
      </c>
      <c r="L25" s="89">
        <v>2.2000000000000001E-3</v>
      </c>
      <c r="M25" s="89">
        <v>0</v>
      </c>
      <c r="N25" s="89">
        <v>0</v>
      </c>
      <c r="O25" s="90">
        <v>2.2800000000000001E-2</v>
      </c>
      <c r="P25" s="89">
        <f t="shared" si="2"/>
        <v>0.22711612903225806</v>
      </c>
      <c r="Q25" s="91" t="s">
        <v>263</v>
      </c>
      <c r="R25" s="91" t="s">
        <v>114</v>
      </c>
      <c r="S25" s="85">
        <v>12</v>
      </c>
      <c r="T25" s="42" t="s">
        <v>262</v>
      </c>
      <c r="U25" s="93">
        <f t="shared" si="3"/>
        <v>67.524000000000001</v>
      </c>
      <c r="V25" s="93"/>
      <c r="W25" s="94"/>
      <c r="X25" s="94">
        <v>157024</v>
      </c>
      <c r="Y25" s="1"/>
      <c r="Z25" s="36"/>
      <c r="AA25" s="36"/>
    </row>
    <row r="26" spans="1:27" s="65" customFormat="1" x14ac:dyDescent="0.2">
      <c r="B26" s="42" t="s">
        <v>237</v>
      </c>
      <c r="C26" s="85" t="s">
        <v>26</v>
      </c>
      <c r="D26" s="85" t="s">
        <v>20</v>
      </c>
      <c r="E26" s="86">
        <v>36220</v>
      </c>
      <c r="F26" s="86">
        <v>37711</v>
      </c>
      <c r="G26" s="87" t="s">
        <v>115</v>
      </c>
      <c r="H26" s="87" t="s">
        <v>112</v>
      </c>
      <c r="I26" s="85" t="s">
        <v>113</v>
      </c>
      <c r="J26" s="88">
        <f>5.627/J$1</f>
        <v>0.18151612903225806</v>
      </c>
      <c r="K26" s="89">
        <v>4.3400000000000001E-2</v>
      </c>
      <c r="L26" s="89">
        <v>2.2000000000000001E-3</v>
      </c>
      <c r="M26" s="89">
        <v>0</v>
      </c>
      <c r="N26" s="89">
        <v>0</v>
      </c>
      <c r="O26" s="90">
        <v>2.2800000000000001E-2</v>
      </c>
      <c r="P26" s="89">
        <f t="shared" si="2"/>
        <v>0.22711612903225806</v>
      </c>
      <c r="Q26" s="91" t="s">
        <v>263</v>
      </c>
      <c r="R26" s="91" t="s">
        <v>114</v>
      </c>
      <c r="S26" s="85">
        <v>16</v>
      </c>
      <c r="T26" s="42" t="s">
        <v>262</v>
      </c>
      <c r="U26" s="93">
        <f t="shared" si="3"/>
        <v>90.031999999999996</v>
      </c>
      <c r="V26" s="93"/>
      <c r="W26" s="94"/>
      <c r="X26" s="94">
        <v>157024</v>
      </c>
      <c r="Y26" s="1"/>
      <c r="Z26" s="36"/>
      <c r="AA26" s="36"/>
    </row>
    <row r="27" spans="1:27" s="65" customFormat="1" x14ac:dyDescent="0.2">
      <c r="B27" s="42" t="s">
        <v>237</v>
      </c>
      <c r="C27" s="85" t="s">
        <v>26</v>
      </c>
      <c r="D27" s="85" t="s">
        <v>20</v>
      </c>
      <c r="E27" s="86">
        <v>36220</v>
      </c>
      <c r="F27" s="86">
        <v>37711</v>
      </c>
      <c r="G27" s="87" t="s">
        <v>116</v>
      </c>
      <c r="H27" s="87" t="s">
        <v>112</v>
      </c>
      <c r="I27" s="85" t="s">
        <v>113</v>
      </c>
      <c r="J27" s="88">
        <f>5.627/J$1</f>
        <v>0.18151612903225806</v>
      </c>
      <c r="K27" s="89">
        <v>4.3400000000000001E-2</v>
      </c>
      <c r="L27" s="89">
        <v>2.2000000000000001E-3</v>
      </c>
      <c r="M27" s="89">
        <v>0</v>
      </c>
      <c r="N27" s="89">
        <v>0</v>
      </c>
      <c r="O27" s="90">
        <v>2.2800000000000001E-2</v>
      </c>
      <c r="P27" s="89">
        <f t="shared" si="2"/>
        <v>0.22711612903225806</v>
      </c>
      <c r="Q27" s="91" t="s">
        <v>263</v>
      </c>
      <c r="R27" s="91" t="s">
        <v>114</v>
      </c>
      <c r="S27" s="85">
        <v>46</v>
      </c>
      <c r="T27" s="42" t="s">
        <v>262</v>
      </c>
      <c r="U27" s="93">
        <f t="shared" si="3"/>
        <v>258.84199999999998</v>
      </c>
      <c r="V27" s="93"/>
      <c r="W27" s="94"/>
      <c r="X27" s="94">
        <v>157024</v>
      </c>
      <c r="Y27" s="1"/>
      <c r="Z27" s="36"/>
      <c r="AA27" s="36"/>
    </row>
    <row r="28" spans="1:27" s="65" customFormat="1" x14ac:dyDescent="0.2">
      <c r="B28" s="42" t="s">
        <v>237</v>
      </c>
      <c r="C28" s="85" t="s">
        <v>26</v>
      </c>
      <c r="D28" s="85" t="s">
        <v>20</v>
      </c>
      <c r="E28" s="86">
        <v>36220</v>
      </c>
      <c r="F28" s="86">
        <v>38807</v>
      </c>
      <c r="G28" s="42" t="s">
        <v>121</v>
      </c>
      <c r="H28" s="87"/>
      <c r="I28" s="85" t="s">
        <v>120</v>
      </c>
      <c r="J28" s="88">
        <f>1.8533/J$1</f>
        <v>5.9783870967741931E-2</v>
      </c>
      <c r="K28" s="89">
        <v>0</v>
      </c>
      <c r="L28" s="89">
        <v>0</v>
      </c>
      <c r="M28" s="89">
        <v>0</v>
      </c>
      <c r="N28" s="89">
        <v>0</v>
      </c>
      <c r="O28" s="90">
        <v>0</v>
      </c>
      <c r="P28" s="89">
        <f t="shared" si="2"/>
        <v>5.9783870967741931E-2</v>
      </c>
      <c r="Q28" s="91">
        <v>560092</v>
      </c>
      <c r="R28" s="91">
        <v>560042</v>
      </c>
      <c r="S28" s="85">
        <v>147</v>
      </c>
      <c r="T28" s="42" t="s">
        <v>264</v>
      </c>
      <c r="U28" s="101">
        <f t="shared" si="3"/>
        <v>272.43509999999998</v>
      </c>
      <c r="V28" s="93"/>
      <c r="W28" s="94"/>
      <c r="X28" s="94">
        <v>157045</v>
      </c>
      <c r="Y28" s="1"/>
      <c r="Z28" s="36"/>
      <c r="AA28" s="36"/>
    </row>
    <row r="29" spans="1:27" s="65" customFormat="1" x14ac:dyDescent="0.2">
      <c r="B29" s="42" t="s">
        <v>237</v>
      </c>
      <c r="C29" s="85" t="s">
        <v>26</v>
      </c>
      <c r="D29" s="85" t="s">
        <v>20</v>
      </c>
      <c r="E29" s="86">
        <v>36220</v>
      </c>
      <c r="F29" s="86">
        <v>38807</v>
      </c>
      <c r="G29" s="42" t="s">
        <v>122</v>
      </c>
      <c r="H29" s="87"/>
      <c r="I29" s="85" t="s">
        <v>120</v>
      </c>
      <c r="J29" s="88">
        <v>1.37E-2</v>
      </c>
      <c r="K29" s="89">
        <v>0</v>
      </c>
      <c r="L29" s="89">
        <v>0</v>
      </c>
      <c r="M29" s="89">
        <v>0</v>
      </c>
      <c r="N29" s="89">
        <v>0</v>
      </c>
      <c r="O29" s="90">
        <v>0</v>
      </c>
      <c r="P29" s="89">
        <f t="shared" si="2"/>
        <v>1.37E-2</v>
      </c>
      <c r="Q29" s="91">
        <v>560092</v>
      </c>
      <c r="R29" s="91">
        <v>560042</v>
      </c>
      <c r="S29" s="85">
        <v>16275</v>
      </c>
      <c r="T29" s="42" t="s">
        <v>264</v>
      </c>
      <c r="U29" s="101">
        <f>+S29*J29</f>
        <v>222.9675</v>
      </c>
      <c r="V29" s="93"/>
      <c r="W29" s="94"/>
      <c r="X29" s="94">
        <v>157045</v>
      </c>
      <c r="Y29" s="1"/>
      <c r="Z29" s="36"/>
      <c r="AA29" s="36"/>
    </row>
    <row r="30" spans="1:27" s="65" customFormat="1" x14ac:dyDescent="0.2">
      <c r="B30" s="42" t="s">
        <v>237</v>
      </c>
      <c r="C30" s="85" t="s">
        <v>26</v>
      </c>
      <c r="D30" s="85" t="s">
        <v>100</v>
      </c>
      <c r="E30" s="86">
        <v>36557</v>
      </c>
      <c r="F30" s="86">
        <v>36677</v>
      </c>
      <c r="G30" s="87" t="s">
        <v>116</v>
      </c>
      <c r="H30" s="87" t="s">
        <v>118</v>
      </c>
      <c r="I30" s="85" t="s">
        <v>113</v>
      </c>
      <c r="J30" s="88">
        <f>5.75/J$1</f>
        <v>0.18548387096774194</v>
      </c>
      <c r="K30" s="89">
        <v>4.3400000000000001E-2</v>
      </c>
      <c r="L30" s="89">
        <v>2.2000000000000001E-3</v>
      </c>
      <c r="M30" s="89">
        <v>0</v>
      </c>
      <c r="N30" s="89">
        <v>0</v>
      </c>
      <c r="O30" s="90">
        <v>2.2800000000000001E-2</v>
      </c>
      <c r="P30" s="89">
        <f t="shared" si="2"/>
        <v>0.23108387096774194</v>
      </c>
      <c r="Q30" s="91" t="s">
        <v>244</v>
      </c>
      <c r="R30" s="91" t="s">
        <v>117</v>
      </c>
      <c r="S30" s="85">
        <v>186</v>
      </c>
      <c r="T30" s="42" t="s">
        <v>246</v>
      </c>
      <c r="U30" s="93">
        <f>J30*J$1*S30</f>
        <v>1069.5</v>
      </c>
      <c r="V30" s="93"/>
      <c r="W30" s="94"/>
      <c r="X30" s="94">
        <v>156559</v>
      </c>
      <c r="Y30" s="42"/>
      <c r="Z30" s="36"/>
      <c r="AA30" s="36"/>
    </row>
    <row r="31" spans="1:27" s="65" customFormat="1" x14ac:dyDescent="0.2">
      <c r="B31" s="42" t="s">
        <v>237</v>
      </c>
      <c r="C31" s="85" t="s">
        <v>26</v>
      </c>
      <c r="D31" s="85" t="s">
        <v>100</v>
      </c>
      <c r="E31" s="86">
        <v>36557</v>
      </c>
      <c r="F31" s="86">
        <v>36616</v>
      </c>
      <c r="G31" s="87" t="s">
        <v>116</v>
      </c>
      <c r="H31" s="87" t="s">
        <v>118</v>
      </c>
      <c r="I31" s="85" t="s">
        <v>113</v>
      </c>
      <c r="J31" s="88">
        <f>5.75/J$1</f>
        <v>0.18548387096774194</v>
      </c>
      <c r="K31" s="89">
        <v>4.3400000000000001E-2</v>
      </c>
      <c r="L31" s="89">
        <v>2.2000000000000001E-3</v>
      </c>
      <c r="M31" s="89">
        <v>0</v>
      </c>
      <c r="N31" s="89">
        <v>0</v>
      </c>
      <c r="O31" s="90">
        <v>2.2800000000000001E-2</v>
      </c>
      <c r="P31" s="89">
        <f t="shared" si="2"/>
        <v>0.23108387096774194</v>
      </c>
      <c r="Q31" s="91" t="s">
        <v>245</v>
      </c>
      <c r="R31" s="91" t="s">
        <v>119</v>
      </c>
      <c r="S31" s="85">
        <v>11</v>
      </c>
      <c r="T31" s="42" t="s">
        <v>247</v>
      </c>
      <c r="U31" s="93">
        <f>J31*J$1*S31</f>
        <v>63.25</v>
      </c>
      <c r="V31" s="93"/>
      <c r="W31" s="94"/>
      <c r="X31" s="94">
        <v>156561</v>
      </c>
      <c r="Y31" s="42"/>
      <c r="Z31" s="36"/>
      <c r="AA31" s="36"/>
    </row>
    <row r="32" spans="1:27" s="65" customFormat="1" x14ac:dyDescent="0.2">
      <c r="A32" s="99"/>
      <c r="B32" s="42" t="s">
        <v>237</v>
      </c>
      <c r="C32" s="85" t="s">
        <v>26</v>
      </c>
      <c r="D32" s="85" t="s">
        <v>142</v>
      </c>
      <c r="E32" s="86">
        <v>36586</v>
      </c>
      <c r="F32" s="86">
        <v>36616</v>
      </c>
      <c r="G32" s="100">
        <v>10001</v>
      </c>
      <c r="H32" s="100">
        <v>10001</v>
      </c>
      <c r="I32" s="85" t="s">
        <v>120</v>
      </c>
      <c r="J32" s="88">
        <v>1.37E-2</v>
      </c>
      <c r="K32" s="89"/>
      <c r="L32" s="89"/>
      <c r="M32" s="89"/>
      <c r="N32" s="89"/>
      <c r="O32" s="90"/>
      <c r="P32" s="89"/>
      <c r="Q32" s="91">
        <v>530586</v>
      </c>
      <c r="R32" s="91">
        <v>530562</v>
      </c>
      <c r="S32" s="85">
        <v>13976</v>
      </c>
      <c r="T32" s="42" t="s">
        <v>250</v>
      </c>
      <c r="U32" s="93">
        <f>J32*1*S32</f>
        <v>191.47120000000001</v>
      </c>
      <c r="V32" s="93"/>
      <c r="W32" s="94">
        <v>203431</v>
      </c>
      <c r="X32" s="94">
        <v>156563</v>
      </c>
      <c r="Y32" s="1"/>
      <c r="Z32" s="36"/>
      <c r="AA32" s="36"/>
    </row>
    <row r="33" spans="1:27" s="65" customFormat="1" x14ac:dyDescent="0.2">
      <c r="A33" s="99"/>
      <c r="B33" s="42" t="s">
        <v>237</v>
      </c>
      <c r="C33" s="85" t="s">
        <v>26</v>
      </c>
      <c r="D33" s="85" t="s">
        <v>142</v>
      </c>
      <c r="E33" s="86">
        <v>36586</v>
      </c>
      <c r="F33" s="86">
        <v>36616</v>
      </c>
      <c r="G33" s="100">
        <v>10001</v>
      </c>
      <c r="H33" s="100">
        <v>10001</v>
      </c>
      <c r="I33" s="85" t="s">
        <v>120</v>
      </c>
      <c r="J33" s="88">
        <v>1.8532999999999999</v>
      </c>
      <c r="K33" s="89"/>
      <c r="L33" s="89"/>
      <c r="M33" s="89"/>
      <c r="N33" s="89"/>
      <c r="O33" s="90"/>
      <c r="P33" s="89"/>
      <c r="Q33" s="91">
        <v>530586</v>
      </c>
      <c r="R33" s="91">
        <v>530562</v>
      </c>
      <c r="S33" s="85">
        <v>228</v>
      </c>
      <c r="T33" s="42" t="s">
        <v>250</v>
      </c>
      <c r="U33" s="93">
        <f>J33*1*S33</f>
        <v>422.55239999999998</v>
      </c>
      <c r="V33" s="93"/>
      <c r="W33" s="94">
        <v>203431</v>
      </c>
      <c r="X33" s="94">
        <v>156563</v>
      </c>
      <c r="Y33" s="1"/>
      <c r="Z33" s="36"/>
      <c r="AA33" s="36"/>
    </row>
    <row r="34" spans="1:27" x14ac:dyDescent="0.2">
      <c r="B34" s="10" t="s">
        <v>3</v>
      </c>
      <c r="C34" s="11" t="s">
        <v>3</v>
      </c>
      <c r="D34" s="12" t="s">
        <v>3</v>
      </c>
      <c r="E34" s="13" t="s">
        <v>3</v>
      </c>
      <c r="F34" s="13"/>
      <c r="G34" s="10" t="s">
        <v>3</v>
      </c>
      <c r="H34" s="30" t="s">
        <v>3</v>
      </c>
      <c r="I34" s="11" t="s">
        <v>3</v>
      </c>
      <c r="J34" s="14"/>
      <c r="K34" s="15"/>
      <c r="L34" s="15"/>
      <c r="M34" s="15"/>
      <c r="N34" s="15"/>
      <c r="O34" s="48"/>
      <c r="P34" s="15"/>
      <c r="Q34" s="26" t="s">
        <v>3</v>
      </c>
      <c r="R34" s="26" t="s">
        <v>3</v>
      </c>
      <c r="S34" s="11">
        <f>SUM(S23:S31)</f>
        <v>17589</v>
      </c>
      <c r="T34" s="10" t="s">
        <v>3</v>
      </c>
      <c r="U34" s="22">
        <f>SUM(U23:U33)</f>
        <v>7775.9885999999988</v>
      </c>
      <c r="V34" s="22">
        <f>SUM(V23:V31)</f>
        <v>0</v>
      </c>
      <c r="W34" s="58"/>
      <c r="X34" s="58"/>
      <c r="Y34" s="10"/>
      <c r="Z34" s="36"/>
      <c r="AA34" s="36"/>
    </row>
    <row r="35" spans="1:27" x14ac:dyDescent="0.2">
      <c r="B35" s="16" t="s">
        <v>4</v>
      </c>
      <c r="C35" s="17" t="s">
        <v>5</v>
      </c>
      <c r="D35" s="17" t="s">
        <v>6</v>
      </c>
      <c r="E35" s="18" t="s">
        <v>7</v>
      </c>
      <c r="F35" s="18"/>
      <c r="G35" s="16" t="s">
        <v>8</v>
      </c>
      <c r="H35" s="16" t="s">
        <v>9</v>
      </c>
      <c r="I35" s="17" t="s">
        <v>53</v>
      </c>
      <c r="J35" s="19" t="s">
        <v>10</v>
      </c>
      <c r="K35" s="17" t="s">
        <v>11</v>
      </c>
      <c r="L35" s="17" t="s">
        <v>12</v>
      </c>
      <c r="M35" s="17" t="s">
        <v>13</v>
      </c>
      <c r="N35" s="17" t="s">
        <v>14</v>
      </c>
      <c r="O35" s="47" t="s">
        <v>15</v>
      </c>
      <c r="P35" s="17" t="s">
        <v>16</v>
      </c>
      <c r="Q35" s="20" t="s">
        <v>234</v>
      </c>
      <c r="R35" s="20" t="s">
        <v>233</v>
      </c>
      <c r="S35" s="17" t="s">
        <v>17</v>
      </c>
      <c r="T35" s="16" t="s">
        <v>18</v>
      </c>
      <c r="U35" s="21" t="s">
        <v>52</v>
      </c>
      <c r="V35" s="21" t="s">
        <v>51</v>
      </c>
      <c r="W35" s="57" t="s">
        <v>235</v>
      </c>
      <c r="X35" s="57" t="s">
        <v>236</v>
      </c>
      <c r="Y35" s="62" t="str">
        <f>+Y22</f>
        <v>Questions</v>
      </c>
      <c r="Z35" s="36"/>
      <c r="AA35" s="36"/>
    </row>
    <row r="36" spans="1:27" s="65" customFormat="1" x14ac:dyDescent="0.2">
      <c r="B36" s="1" t="s">
        <v>237</v>
      </c>
      <c r="C36" s="3" t="s">
        <v>45</v>
      </c>
      <c r="D36" s="3" t="s">
        <v>36</v>
      </c>
      <c r="E36" s="4">
        <v>36526</v>
      </c>
      <c r="F36" s="4">
        <v>36646</v>
      </c>
      <c r="G36" s="1" t="s">
        <v>210</v>
      </c>
      <c r="H36" s="1" t="s">
        <v>125</v>
      </c>
      <c r="I36" s="3" t="s">
        <v>57</v>
      </c>
      <c r="J36" s="8">
        <f>6.449/J$1</f>
        <v>0.20803225806451611</v>
      </c>
      <c r="K36" s="5">
        <v>1.32E-2</v>
      </c>
      <c r="L36" s="5">
        <v>2.2000000000000001E-3</v>
      </c>
      <c r="M36" s="5">
        <v>7.4999999999999997E-3</v>
      </c>
      <c r="N36" s="5">
        <v>0</v>
      </c>
      <c r="O36" s="46">
        <v>2.1160000000000002E-2</v>
      </c>
      <c r="P36" s="5">
        <f>SUM(J36:N36)</f>
        <v>0.23093225806451612</v>
      </c>
      <c r="Q36" s="24">
        <v>37956</v>
      </c>
      <c r="R36" s="24">
        <v>37956</v>
      </c>
      <c r="S36" s="3">
        <v>600</v>
      </c>
      <c r="T36" s="1" t="s">
        <v>50</v>
      </c>
      <c r="U36" s="9">
        <f>J36*J$1*S36</f>
        <v>3869.4</v>
      </c>
      <c r="V36" s="9"/>
      <c r="W36" s="59"/>
      <c r="X36" s="59">
        <v>156567</v>
      </c>
      <c r="Y36" s="9"/>
      <c r="Z36" s="36"/>
      <c r="AA36" s="36"/>
    </row>
    <row r="37" spans="1:27" s="65" customFormat="1" x14ac:dyDescent="0.2">
      <c r="B37" s="1" t="s">
        <v>237</v>
      </c>
      <c r="C37" s="3" t="s">
        <v>45</v>
      </c>
      <c r="D37" s="3" t="s">
        <v>66</v>
      </c>
      <c r="E37" s="4">
        <v>36251</v>
      </c>
      <c r="F37" s="4">
        <v>36616</v>
      </c>
      <c r="G37" s="1" t="s">
        <v>67</v>
      </c>
      <c r="H37" s="1" t="s">
        <v>69</v>
      </c>
      <c r="I37" s="3" t="s">
        <v>68</v>
      </c>
      <c r="J37" s="8">
        <v>0</v>
      </c>
      <c r="K37" s="5">
        <v>0</v>
      </c>
      <c r="L37" s="5">
        <v>0</v>
      </c>
      <c r="M37" s="5">
        <v>0</v>
      </c>
      <c r="N37" s="5">
        <v>0</v>
      </c>
      <c r="O37" s="46">
        <v>0</v>
      </c>
      <c r="P37" s="5">
        <f t="shared" ref="P37:P77" si="4">SUM(J37:N37)</f>
        <v>0</v>
      </c>
      <c r="Q37" s="24">
        <v>51407</v>
      </c>
      <c r="R37" s="24">
        <v>51407</v>
      </c>
      <c r="S37" s="3">
        <v>0</v>
      </c>
      <c r="T37" s="1" t="s">
        <v>71</v>
      </c>
      <c r="U37" s="9">
        <f>J37*S37</f>
        <v>0</v>
      </c>
      <c r="V37" s="9"/>
      <c r="W37" s="59"/>
      <c r="X37" s="59">
        <v>156569</v>
      </c>
      <c r="Y37" s="1"/>
      <c r="Z37" s="36"/>
      <c r="AA37" s="36"/>
    </row>
    <row r="38" spans="1:27" s="65" customFormat="1" x14ac:dyDescent="0.2">
      <c r="B38" s="1" t="s">
        <v>237</v>
      </c>
      <c r="C38" s="3" t="s">
        <v>45</v>
      </c>
      <c r="D38" s="3" t="s">
        <v>66</v>
      </c>
      <c r="E38" s="4">
        <v>36251</v>
      </c>
      <c r="F38" s="4">
        <v>36616</v>
      </c>
      <c r="G38" s="1" t="s">
        <v>67</v>
      </c>
      <c r="H38" s="1" t="s">
        <v>70</v>
      </c>
      <c r="I38" s="3" t="s">
        <v>68</v>
      </c>
      <c r="J38" s="8">
        <v>0</v>
      </c>
      <c r="K38" s="5">
        <v>0</v>
      </c>
      <c r="L38" s="5">
        <v>0</v>
      </c>
      <c r="M38" s="5">
        <v>0</v>
      </c>
      <c r="N38" s="5">
        <v>0</v>
      </c>
      <c r="O38" s="46">
        <v>0</v>
      </c>
      <c r="P38" s="5">
        <f t="shared" si="4"/>
        <v>0</v>
      </c>
      <c r="Q38" s="24">
        <v>51407</v>
      </c>
      <c r="R38" s="24">
        <v>51407</v>
      </c>
      <c r="S38" s="3">
        <v>0</v>
      </c>
      <c r="T38" s="1" t="s">
        <v>71</v>
      </c>
      <c r="U38" s="9">
        <f>J38*J$1*S38</f>
        <v>0</v>
      </c>
      <c r="V38" s="9"/>
      <c r="W38" s="59"/>
      <c r="X38" s="59">
        <v>156569</v>
      </c>
      <c r="Y38" s="1"/>
      <c r="Z38" s="36"/>
      <c r="AA38" s="36"/>
    </row>
    <row r="39" spans="1:27" s="65" customFormat="1" x14ac:dyDescent="0.2">
      <c r="B39" s="1" t="s">
        <v>237</v>
      </c>
      <c r="C39" s="3" t="s">
        <v>45</v>
      </c>
      <c r="D39" s="3"/>
      <c r="E39" s="4">
        <v>36100</v>
      </c>
      <c r="F39" s="4">
        <v>36830</v>
      </c>
      <c r="G39" s="29" t="s">
        <v>124</v>
      </c>
      <c r="H39" s="1" t="s">
        <v>125</v>
      </c>
      <c r="I39" s="3" t="s">
        <v>57</v>
      </c>
      <c r="J39" s="8">
        <f t="shared" ref="J39:J44" si="5">4.56/J$1</f>
        <v>0.14709677419354839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6">
        <v>2.1160000000000002E-2</v>
      </c>
      <c r="P39" s="5">
        <f t="shared" si="4"/>
        <v>0.16969677419354839</v>
      </c>
      <c r="Q39" s="24">
        <v>61822</v>
      </c>
      <c r="R39" s="24">
        <v>61822</v>
      </c>
      <c r="S39" s="3">
        <v>4000</v>
      </c>
      <c r="T39" s="1" t="s">
        <v>126</v>
      </c>
      <c r="U39" s="9">
        <f t="shared" ref="U39:U52" si="6">J39*J$1*S39</f>
        <v>18240</v>
      </c>
      <c r="V39" s="9"/>
      <c r="W39" s="59"/>
      <c r="X39" s="59">
        <v>162284</v>
      </c>
      <c r="Y39" s="1"/>
      <c r="Z39" s="36"/>
      <c r="AA39" s="36"/>
    </row>
    <row r="40" spans="1:27" s="65" customFormat="1" x14ac:dyDescent="0.2">
      <c r="B40" s="1" t="s">
        <v>237</v>
      </c>
      <c r="C40" s="3" t="s">
        <v>45</v>
      </c>
      <c r="D40" s="3" t="s">
        <v>36</v>
      </c>
      <c r="E40" s="4">
        <v>36526</v>
      </c>
      <c r="F40" s="4">
        <v>36830</v>
      </c>
      <c r="G40" s="1" t="s">
        <v>127</v>
      </c>
      <c r="H40" s="1" t="s">
        <v>218</v>
      </c>
      <c r="I40" s="3" t="s">
        <v>57</v>
      </c>
      <c r="J40" s="88">
        <f t="shared" si="5"/>
        <v>0.14709677419354839</v>
      </c>
      <c r="K40" s="5">
        <v>1.32E-2</v>
      </c>
      <c r="L40" s="5">
        <v>2.2000000000000001E-3</v>
      </c>
      <c r="M40" s="5">
        <v>7.4999999999999997E-3</v>
      </c>
      <c r="N40" s="5">
        <v>0</v>
      </c>
      <c r="O40" s="46">
        <v>2.1160000000000002E-2</v>
      </c>
      <c r="P40" s="5">
        <f>SUM(J40:N40)</f>
        <v>0.16999677419354839</v>
      </c>
      <c r="Q40" s="24">
        <v>61825</v>
      </c>
      <c r="R40" s="24">
        <v>61825</v>
      </c>
      <c r="S40" s="3">
        <v>2000</v>
      </c>
      <c r="T40" s="29" t="s">
        <v>216</v>
      </c>
      <c r="U40" s="9">
        <f t="shared" si="6"/>
        <v>9120</v>
      </c>
      <c r="V40" s="9"/>
      <c r="W40" s="59"/>
      <c r="X40" s="59">
        <v>156570</v>
      </c>
      <c r="Y40" s="9"/>
      <c r="Z40" s="36"/>
      <c r="AA40" s="36"/>
    </row>
    <row r="41" spans="1:27" s="65" customFormat="1" x14ac:dyDescent="0.2">
      <c r="B41" s="1" t="s">
        <v>237</v>
      </c>
      <c r="C41" s="3" t="s">
        <v>45</v>
      </c>
      <c r="D41" s="3" t="s">
        <v>36</v>
      </c>
      <c r="E41" s="4">
        <v>36526</v>
      </c>
      <c r="F41" s="4">
        <v>36830</v>
      </c>
      <c r="G41" s="1" t="s">
        <v>133</v>
      </c>
      <c r="H41" s="1" t="s">
        <v>218</v>
      </c>
      <c r="I41" s="3" t="s">
        <v>57</v>
      </c>
      <c r="J41" s="88">
        <f t="shared" si="5"/>
        <v>0.14709677419354839</v>
      </c>
      <c r="K41" s="5">
        <v>1.32E-2</v>
      </c>
      <c r="L41" s="5">
        <v>2.2000000000000001E-3</v>
      </c>
      <c r="M41" s="5">
        <v>7.4999999999999997E-3</v>
      </c>
      <c r="N41" s="5">
        <v>0</v>
      </c>
      <c r="O41" s="46">
        <v>2.1160000000000002E-2</v>
      </c>
      <c r="P41" s="5">
        <f>SUM(J41:N41)</f>
        <v>0.16999677419354839</v>
      </c>
      <c r="Q41" s="24">
        <v>61825</v>
      </c>
      <c r="R41" s="24">
        <v>61825</v>
      </c>
      <c r="S41" s="3">
        <v>5000</v>
      </c>
      <c r="T41" s="29" t="s">
        <v>216</v>
      </c>
      <c r="U41" s="9">
        <f t="shared" si="6"/>
        <v>22799.999999999996</v>
      </c>
      <c r="V41" s="9"/>
      <c r="W41" s="59"/>
      <c r="X41" s="59">
        <v>156570</v>
      </c>
      <c r="Y41" s="9"/>
      <c r="Z41" s="36"/>
      <c r="AA41" s="36"/>
    </row>
    <row r="42" spans="1:27" s="65" customFormat="1" x14ac:dyDescent="0.2">
      <c r="B42" s="1" t="s">
        <v>237</v>
      </c>
      <c r="C42" s="3" t="s">
        <v>45</v>
      </c>
      <c r="D42" s="3" t="s">
        <v>36</v>
      </c>
      <c r="E42" s="4">
        <v>36526</v>
      </c>
      <c r="F42" s="4">
        <v>36830</v>
      </c>
      <c r="G42" s="1" t="s">
        <v>217</v>
      </c>
      <c r="H42" s="1" t="s">
        <v>218</v>
      </c>
      <c r="I42" s="3" t="s">
        <v>57</v>
      </c>
      <c r="J42" s="88">
        <f t="shared" si="5"/>
        <v>0.14709677419354839</v>
      </c>
      <c r="K42" s="5">
        <v>1.32E-2</v>
      </c>
      <c r="L42" s="5">
        <v>2.2000000000000001E-3</v>
      </c>
      <c r="M42" s="5">
        <v>7.4999999999999997E-3</v>
      </c>
      <c r="N42" s="5">
        <v>0</v>
      </c>
      <c r="O42" s="46">
        <v>2.1160000000000002E-2</v>
      </c>
      <c r="P42" s="5">
        <f>SUM(J42:N42)</f>
        <v>0.16999677419354839</v>
      </c>
      <c r="Q42" s="24">
        <v>61825</v>
      </c>
      <c r="R42" s="24">
        <v>61825</v>
      </c>
      <c r="S42" s="3">
        <v>1000</v>
      </c>
      <c r="T42" s="29" t="s">
        <v>216</v>
      </c>
      <c r="U42" s="9">
        <f t="shared" si="6"/>
        <v>4560</v>
      </c>
      <c r="V42" s="9"/>
      <c r="W42" s="59"/>
      <c r="X42" s="59">
        <v>156570</v>
      </c>
      <c r="Y42" s="9"/>
      <c r="Z42" s="36"/>
      <c r="AA42" s="36"/>
    </row>
    <row r="43" spans="1:27" s="65" customFormat="1" x14ac:dyDescent="0.2">
      <c r="B43" s="1" t="s">
        <v>237</v>
      </c>
      <c r="C43" s="3" t="s">
        <v>45</v>
      </c>
      <c r="D43" s="3"/>
      <c r="E43" s="4">
        <v>36100</v>
      </c>
      <c r="F43" s="4">
        <v>36830</v>
      </c>
      <c r="G43" s="1" t="s">
        <v>127</v>
      </c>
      <c r="H43" s="29" t="s">
        <v>128</v>
      </c>
      <c r="I43" s="3" t="s">
        <v>57</v>
      </c>
      <c r="J43" s="88">
        <f t="shared" si="5"/>
        <v>0.14709677419354839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6">
        <v>2.1160000000000002E-2</v>
      </c>
      <c r="P43" s="5">
        <f t="shared" si="4"/>
        <v>0.16969677419354839</v>
      </c>
      <c r="Q43" s="24">
        <v>61838</v>
      </c>
      <c r="R43" s="24">
        <v>61838</v>
      </c>
      <c r="S43" s="3">
        <v>1000</v>
      </c>
      <c r="T43" s="1" t="s">
        <v>129</v>
      </c>
      <c r="U43" s="9">
        <f t="shared" si="6"/>
        <v>4560</v>
      </c>
      <c r="V43" s="9"/>
      <c r="W43" s="59"/>
      <c r="X43" s="59">
        <v>156571</v>
      </c>
      <c r="Y43" s="1"/>
      <c r="Z43" s="36"/>
      <c r="AA43" s="36"/>
    </row>
    <row r="44" spans="1:27" s="65" customFormat="1" x14ac:dyDescent="0.2">
      <c r="B44" s="1" t="s">
        <v>237</v>
      </c>
      <c r="C44" s="3" t="s">
        <v>45</v>
      </c>
      <c r="D44" s="3" t="s">
        <v>36</v>
      </c>
      <c r="E44" s="4">
        <v>36526</v>
      </c>
      <c r="F44" s="4">
        <v>36830</v>
      </c>
      <c r="G44" s="1" t="s">
        <v>127</v>
      </c>
      <c r="H44" s="1" t="s">
        <v>220</v>
      </c>
      <c r="I44" s="3" t="s">
        <v>57</v>
      </c>
      <c r="J44" s="88">
        <f t="shared" si="5"/>
        <v>0.14709677419354839</v>
      </c>
      <c r="K44" s="5">
        <v>1.32E-2</v>
      </c>
      <c r="L44" s="5">
        <v>2.2000000000000001E-3</v>
      </c>
      <c r="M44" s="5">
        <v>7.4999999999999997E-3</v>
      </c>
      <c r="N44" s="5">
        <v>0</v>
      </c>
      <c r="O44" s="46">
        <v>2.1160000000000002E-2</v>
      </c>
      <c r="P44" s="5">
        <f>SUM(J44:N44)</f>
        <v>0.16999677419354839</v>
      </c>
      <c r="Q44" s="24">
        <v>61990</v>
      </c>
      <c r="R44" s="24">
        <v>61990</v>
      </c>
      <c r="S44" s="3">
        <v>2000</v>
      </c>
      <c r="T44" s="29" t="s">
        <v>219</v>
      </c>
      <c r="U44" s="9">
        <f t="shared" si="6"/>
        <v>9120</v>
      </c>
      <c r="V44" s="9"/>
      <c r="W44" s="59"/>
      <c r="X44" s="59">
        <v>156573</v>
      </c>
      <c r="Y44" s="9"/>
      <c r="Z44" s="36"/>
      <c r="AA44" s="36"/>
    </row>
    <row r="45" spans="1:27" s="131" customFormat="1" x14ac:dyDescent="0.2">
      <c r="B45" s="43" t="s">
        <v>237</v>
      </c>
      <c r="C45" s="122" t="s">
        <v>45</v>
      </c>
      <c r="D45" s="122" t="s">
        <v>36</v>
      </c>
      <c r="E45" s="123">
        <v>36465</v>
      </c>
      <c r="F45" s="123">
        <v>36891</v>
      </c>
      <c r="G45" s="43"/>
      <c r="H45" s="43"/>
      <c r="I45" s="122" t="s">
        <v>57</v>
      </c>
      <c r="J45" s="124">
        <f>3.0417/30.417</f>
        <v>9.9999999999999992E-2</v>
      </c>
      <c r="K45" s="125">
        <v>1.32E-2</v>
      </c>
      <c r="L45" s="125">
        <v>2.2000000000000001E-3</v>
      </c>
      <c r="M45" s="125">
        <v>7.4999999999999997E-3</v>
      </c>
      <c r="N45" s="125">
        <v>0</v>
      </c>
      <c r="O45" s="126">
        <v>2.1160000000000002E-2</v>
      </c>
      <c r="P45" s="125">
        <f>SUM(J45:N45)</f>
        <v>0.12289999999999998</v>
      </c>
      <c r="Q45" s="127">
        <v>62164</v>
      </c>
      <c r="R45" s="122">
        <v>2000</v>
      </c>
      <c r="S45" s="147">
        <v>2000</v>
      </c>
      <c r="T45" s="147" t="s">
        <v>432</v>
      </c>
      <c r="U45" s="128">
        <f t="shared" si="6"/>
        <v>6199.9999999999991</v>
      </c>
      <c r="V45" s="129"/>
      <c r="W45" s="128"/>
      <c r="X45" s="130" t="s">
        <v>433</v>
      </c>
      <c r="Y45" s="130"/>
    </row>
    <row r="46" spans="1:27" s="65" customFormat="1" x14ac:dyDescent="0.2">
      <c r="B46" s="1" t="s">
        <v>237</v>
      </c>
      <c r="C46" s="3" t="s">
        <v>45</v>
      </c>
      <c r="D46" s="3" t="s">
        <v>54</v>
      </c>
      <c r="E46" s="4">
        <v>36192</v>
      </c>
      <c r="F46" s="4">
        <v>36556</v>
      </c>
      <c r="G46" s="1" t="s">
        <v>56</v>
      </c>
      <c r="H46" s="1" t="s">
        <v>58</v>
      </c>
      <c r="I46" s="3" t="s">
        <v>57</v>
      </c>
      <c r="J46" s="8">
        <f>6.4493/J$1</f>
        <v>0.20804193548387098</v>
      </c>
      <c r="K46" s="5">
        <v>1.32E-2</v>
      </c>
      <c r="L46" s="5">
        <v>2.2000000000000001E-3</v>
      </c>
      <c r="M46" s="5">
        <v>7.1999999999999998E-3</v>
      </c>
      <c r="N46" s="5">
        <v>0</v>
      </c>
      <c r="O46" s="46">
        <v>2.1160000000000002E-2</v>
      </c>
      <c r="P46" s="5">
        <f t="shared" si="4"/>
        <v>0.23064193548387099</v>
      </c>
      <c r="Q46" s="24">
        <v>62740</v>
      </c>
      <c r="R46" s="24">
        <v>62740</v>
      </c>
      <c r="S46" s="3">
        <v>2</v>
      </c>
      <c r="T46" s="1" t="s">
        <v>59</v>
      </c>
      <c r="U46" s="9">
        <f t="shared" si="6"/>
        <v>12.8986</v>
      </c>
      <c r="V46" s="9"/>
      <c r="W46" s="59"/>
      <c r="X46" s="59"/>
      <c r="Y46" s="1" t="s">
        <v>260</v>
      </c>
      <c r="Z46" s="36"/>
      <c r="AA46" s="36"/>
    </row>
    <row r="47" spans="1:27" s="65" customFormat="1" x14ac:dyDescent="0.2">
      <c r="B47" s="1" t="s">
        <v>237</v>
      </c>
      <c r="C47" s="3" t="s">
        <v>45</v>
      </c>
      <c r="D47" s="3" t="s">
        <v>36</v>
      </c>
      <c r="E47" s="4">
        <v>36526</v>
      </c>
      <c r="F47" s="4">
        <v>36616</v>
      </c>
      <c r="G47" s="1" t="s">
        <v>46</v>
      </c>
      <c r="H47" s="1" t="s">
        <v>47</v>
      </c>
      <c r="I47" s="3" t="s">
        <v>57</v>
      </c>
      <c r="J47" s="88">
        <f>1.521/J$1</f>
        <v>4.9064516129032253E-2</v>
      </c>
      <c r="K47" s="5">
        <v>1.32E-2</v>
      </c>
      <c r="L47" s="5">
        <v>2.2000000000000001E-3</v>
      </c>
      <c r="M47" s="5">
        <v>7.4999999999999997E-3</v>
      </c>
      <c r="N47" s="5">
        <v>0</v>
      </c>
      <c r="O47" s="46">
        <v>2.1160000000000002E-2</v>
      </c>
      <c r="P47" s="5">
        <f>SUM(J47:N47)</f>
        <v>7.1964516129032235E-2</v>
      </c>
      <c r="Q47" s="24">
        <v>62978</v>
      </c>
      <c r="R47" s="24">
        <v>62978</v>
      </c>
      <c r="S47" s="3">
        <v>8000</v>
      </c>
      <c r="T47" s="29" t="s">
        <v>393</v>
      </c>
      <c r="U47" s="9">
        <f t="shared" si="6"/>
        <v>12168</v>
      </c>
      <c r="V47" s="9"/>
      <c r="W47" s="59"/>
      <c r="X47" s="59">
        <v>156574</v>
      </c>
      <c r="Y47" s="9"/>
      <c r="Z47" s="36"/>
      <c r="AA47" s="36"/>
    </row>
    <row r="48" spans="1:27" s="65" customFormat="1" x14ac:dyDescent="0.2">
      <c r="B48" s="1" t="s">
        <v>237</v>
      </c>
      <c r="C48" s="3" t="s">
        <v>45</v>
      </c>
      <c r="D48" s="3" t="s">
        <v>55</v>
      </c>
      <c r="E48" s="4">
        <v>36220</v>
      </c>
      <c r="F48" s="4">
        <v>36585</v>
      </c>
      <c r="G48" s="1" t="s">
        <v>56</v>
      </c>
      <c r="H48" s="1" t="s">
        <v>60</v>
      </c>
      <c r="I48" s="3" t="s">
        <v>57</v>
      </c>
      <c r="J48" s="8">
        <f>6.449/J$1</f>
        <v>0.20803225806451611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6">
        <v>2.1160000000000002E-2</v>
      </c>
      <c r="P48" s="5">
        <f t="shared" si="4"/>
        <v>0.23063225806451612</v>
      </c>
      <c r="Q48" s="24">
        <v>62982</v>
      </c>
      <c r="R48" s="24">
        <v>62982</v>
      </c>
      <c r="S48" s="3">
        <v>2</v>
      </c>
      <c r="T48" s="1" t="s">
        <v>61</v>
      </c>
      <c r="U48" s="9">
        <f t="shared" si="6"/>
        <v>12.898</v>
      </c>
      <c r="V48" s="9"/>
      <c r="W48" s="59"/>
      <c r="X48" s="59">
        <v>156575</v>
      </c>
      <c r="Y48" s="1"/>
      <c r="Z48" s="36"/>
      <c r="AA48" s="36"/>
    </row>
    <row r="49" spans="2:27" s="65" customFormat="1" x14ac:dyDescent="0.2">
      <c r="B49" s="1" t="s">
        <v>237</v>
      </c>
      <c r="C49" s="3" t="s">
        <v>45</v>
      </c>
      <c r="D49" s="3" t="s">
        <v>54</v>
      </c>
      <c r="E49" s="4">
        <v>36220</v>
      </c>
      <c r="F49" s="4">
        <v>36585</v>
      </c>
      <c r="G49" s="1" t="s">
        <v>56</v>
      </c>
      <c r="H49" s="1" t="s">
        <v>58</v>
      </c>
      <c r="I49" s="3" t="s">
        <v>57</v>
      </c>
      <c r="J49" s="8">
        <f>6.449/J$1</f>
        <v>0.20803225806451611</v>
      </c>
      <c r="K49" s="5">
        <v>1.32E-2</v>
      </c>
      <c r="L49" s="5">
        <v>2.2000000000000001E-3</v>
      </c>
      <c r="M49" s="5">
        <v>7.1999999999999998E-3</v>
      </c>
      <c r="N49" s="5">
        <v>0</v>
      </c>
      <c r="O49" s="46">
        <v>2.1160000000000002E-2</v>
      </c>
      <c r="P49" s="5">
        <f t="shared" si="4"/>
        <v>0.23063225806451612</v>
      </c>
      <c r="Q49" s="24">
        <v>62983</v>
      </c>
      <c r="R49" s="24">
        <v>62983</v>
      </c>
      <c r="S49" s="3">
        <v>2</v>
      </c>
      <c r="T49" s="1" t="s">
        <v>62</v>
      </c>
      <c r="U49" s="9">
        <f t="shared" si="6"/>
        <v>12.898</v>
      </c>
      <c r="V49" s="9"/>
      <c r="W49" s="59"/>
      <c r="X49" s="59">
        <v>156576</v>
      </c>
      <c r="Y49" s="1"/>
      <c r="Z49" s="36"/>
      <c r="AA49" s="36"/>
    </row>
    <row r="50" spans="2:27" s="131" customFormat="1" x14ac:dyDescent="0.2">
      <c r="B50" s="43" t="s">
        <v>237</v>
      </c>
      <c r="C50" s="122" t="s">
        <v>45</v>
      </c>
      <c r="D50" s="122" t="s">
        <v>66</v>
      </c>
      <c r="E50" s="123">
        <v>36434</v>
      </c>
      <c r="F50" s="123">
        <v>36616</v>
      </c>
      <c r="G50" s="43" t="s">
        <v>67</v>
      </c>
      <c r="H50" s="43" t="s">
        <v>95</v>
      </c>
      <c r="I50" s="122" t="s">
        <v>93</v>
      </c>
      <c r="J50" s="124">
        <f>6.129/J$1</f>
        <v>0.19770967741935483</v>
      </c>
      <c r="K50" s="125">
        <v>1.2999999999999999E-2</v>
      </c>
      <c r="L50" s="125">
        <v>2.2000000000000001E-3</v>
      </c>
      <c r="M50" s="125">
        <v>7.1999999999999998E-3</v>
      </c>
      <c r="N50" s="125">
        <v>0</v>
      </c>
      <c r="O50" s="126">
        <v>2.1160000000000002E-2</v>
      </c>
      <c r="P50" s="125">
        <f t="shared" si="4"/>
        <v>0.22010967741935486</v>
      </c>
      <c r="Q50" s="127">
        <v>63281</v>
      </c>
      <c r="R50" s="127">
        <v>63281</v>
      </c>
      <c r="S50" s="122">
        <v>134710</v>
      </c>
      <c r="T50" s="43" t="s">
        <v>96</v>
      </c>
      <c r="U50" s="128">
        <f t="shared" si="6"/>
        <v>825637.59</v>
      </c>
      <c r="V50" s="128"/>
      <c r="W50" s="129"/>
      <c r="X50" s="129">
        <v>156577</v>
      </c>
      <c r="Y50" s="43"/>
      <c r="Z50" s="130"/>
      <c r="AA50" s="130"/>
    </row>
    <row r="51" spans="2:27" s="65" customFormat="1" x14ac:dyDescent="0.2">
      <c r="B51" s="1" t="s">
        <v>237</v>
      </c>
      <c r="C51" s="3" t="s">
        <v>45</v>
      </c>
      <c r="D51" s="3" t="s">
        <v>55</v>
      </c>
      <c r="E51" s="4">
        <v>36251</v>
      </c>
      <c r="F51" s="4">
        <v>36616</v>
      </c>
      <c r="G51" s="1" t="s">
        <v>56</v>
      </c>
      <c r="H51" s="1" t="s">
        <v>60</v>
      </c>
      <c r="I51" s="3" t="s">
        <v>57</v>
      </c>
      <c r="J51" s="8">
        <f>6.449/J$1</f>
        <v>0.20803225806451611</v>
      </c>
      <c r="K51" s="5">
        <v>1.32E-2</v>
      </c>
      <c r="L51" s="5">
        <v>2.2000000000000001E-3</v>
      </c>
      <c r="M51" s="5">
        <v>7.1999999999999998E-3</v>
      </c>
      <c r="N51" s="5">
        <v>0</v>
      </c>
      <c r="O51" s="46">
        <v>2.1160000000000002E-2</v>
      </c>
      <c r="P51" s="5">
        <f t="shared" si="4"/>
        <v>0.23063225806451612</v>
      </c>
      <c r="Q51" s="24">
        <v>63282</v>
      </c>
      <c r="R51" s="24">
        <v>63282</v>
      </c>
      <c r="S51" s="3">
        <v>6</v>
      </c>
      <c r="T51" s="1" t="s">
        <v>63</v>
      </c>
      <c r="U51" s="9">
        <f t="shared" si="6"/>
        <v>38.694000000000003</v>
      </c>
      <c r="V51" s="9"/>
      <c r="W51" s="59"/>
      <c r="X51" s="59">
        <v>156578</v>
      </c>
      <c r="Y51" s="1"/>
      <c r="Z51" s="36"/>
      <c r="AA51" s="36"/>
    </row>
    <row r="52" spans="2:27" s="65" customFormat="1" x14ac:dyDescent="0.2">
      <c r="B52" s="1" t="s">
        <v>237</v>
      </c>
      <c r="C52" s="3" t="s">
        <v>45</v>
      </c>
      <c r="D52" s="3" t="s">
        <v>54</v>
      </c>
      <c r="E52" s="4">
        <v>36251</v>
      </c>
      <c r="F52" s="4">
        <v>36616</v>
      </c>
      <c r="G52" s="1" t="s">
        <v>56</v>
      </c>
      <c r="H52" s="1" t="s">
        <v>64</v>
      </c>
      <c r="I52" s="3" t="s">
        <v>57</v>
      </c>
      <c r="J52" s="8">
        <f>6.449/J$1</f>
        <v>0.20803225806451611</v>
      </c>
      <c r="K52" s="5">
        <v>1.32E-2</v>
      </c>
      <c r="L52" s="5">
        <v>2.2000000000000001E-3</v>
      </c>
      <c r="M52" s="5">
        <v>7.1999999999999998E-3</v>
      </c>
      <c r="N52" s="5">
        <v>0</v>
      </c>
      <c r="O52" s="46">
        <v>2.1160000000000002E-2</v>
      </c>
      <c r="P52" s="5">
        <f t="shared" si="4"/>
        <v>0.23063225806451612</v>
      </c>
      <c r="Q52" s="24">
        <v>63283</v>
      </c>
      <c r="R52" s="24">
        <v>63283</v>
      </c>
      <c r="S52" s="3">
        <v>46</v>
      </c>
      <c r="T52" s="1" t="s">
        <v>65</v>
      </c>
      <c r="U52" s="9">
        <f t="shared" si="6"/>
        <v>296.654</v>
      </c>
      <c r="V52" s="9"/>
      <c r="W52" s="59"/>
      <c r="X52" s="59">
        <v>156579</v>
      </c>
      <c r="Y52" s="1"/>
      <c r="Z52" s="36"/>
      <c r="AA52" s="36"/>
    </row>
    <row r="53" spans="2:27" s="65" customFormat="1" x14ac:dyDescent="0.2">
      <c r="B53" s="1" t="s">
        <v>237</v>
      </c>
      <c r="C53" s="3" t="s">
        <v>45</v>
      </c>
      <c r="D53" s="3" t="s">
        <v>66</v>
      </c>
      <c r="E53" s="4">
        <v>36251</v>
      </c>
      <c r="F53" s="4">
        <v>36616</v>
      </c>
      <c r="G53" s="1" t="s">
        <v>67</v>
      </c>
      <c r="H53" s="1" t="s">
        <v>69</v>
      </c>
      <c r="I53" s="3" t="s">
        <v>68</v>
      </c>
      <c r="J53" s="8">
        <v>2.9100000000000001E-2</v>
      </c>
      <c r="K53" s="5">
        <v>0</v>
      </c>
      <c r="L53" s="5">
        <v>0</v>
      </c>
      <c r="M53" s="5">
        <v>0</v>
      </c>
      <c r="N53" s="5">
        <v>0</v>
      </c>
      <c r="O53" s="46">
        <v>0</v>
      </c>
      <c r="P53" s="5">
        <f t="shared" si="4"/>
        <v>2.9100000000000001E-2</v>
      </c>
      <c r="Q53" s="24">
        <v>63304</v>
      </c>
      <c r="R53" s="24">
        <v>63304</v>
      </c>
      <c r="S53" s="3">
        <v>7503838</v>
      </c>
      <c r="T53" s="1" t="s">
        <v>211</v>
      </c>
      <c r="U53" s="9">
        <f>J53*S53</f>
        <v>218361.68580000001</v>
      </c>
      <c r="V53" s="9"/>
      <c r="W53" s="59"/>
      <c r="X53" s="59">
        <v>156580</v>
      </c>
      <c r="Y53" s="1"/>
      <c r="Z53" s="36"/>
      <c r="AA53" s="36"/>
    </row>
    <row r="54" spans="2:27" s="65" customFormat="1" x14ac:dyDescent="0.2">
      <c r="B54" s="1" t="s">
        <v>237</v>
      </c>
      <c r="C54" s="3" t="s">
        <v>45</v>
      </c>
      <c r="D54" s="3" t="s">
        <v>66</v>
      </c>
      <c r="E54" s="4">
        <v>36251</v>
      </c>
      <c r="F54" s="4">
        <v>36616</v>
      </c>
      <c r="G54" s="1" t="s">
        <v>67</v>
      </c>
      <c r="H54" s="1" t="s">
        <v>70</v>
      </c>
      <c r="I54" s="3" t="s">
        <v>68</v>
      </c>
      <c r="J54" s="8">
        <v>1.512</v>
      </c>
      <c r="K54" s="5">
        <v>0</v>
      </c>
      <c r="L54" s="5">
        <v>0</v>
      </c>
      <c r="M54" s="5">
        <v>0</v>
      </c>
      <c r="N54" s="5">
        <v>0</v>
      </c>
      <c r="O54" s="46">
        <v>0</v>
      </c>
      <c r="P54" s="5">
        <f t="shared" si="4"/>
        <v>1.512</v>
      </c>
      <c r="Q54" s="24">
        <v>63304</v>
      </c>
      <c r="R54" s="24">
        <v>63304</v>
      </c>
      <c r="S54" s="3">
        <v>134743</v>
      </c>
      <c r="T54" s="1" t="s">
        <v>211</v>
      </c>
      <c r="U54" s="9">
        <f>J54*S54</f>
        <v>203731.416</v>
      </c>
      <c r="V54" s="9"/>
      <c r="W54" s="59"/>
      <c r="X54" s="59">
        <v>156580</v>
      </c>
      <c r="Y54" s="1"/>
      <c r="Z54" s="36"/>
      <c r="AA54" s="36"/>
    </row>
    <row r="55" spans="2:27" s="65" customFormat="1" x14ac:dyDescent="0.2">
      <c r="B55" s="1" t="s">
        <v>237</v>
      </c>
      <c r="C55" s="3" t="s">
        <v>45</v>
      </c>
      <c r="D55" s="3" t="s">
        <v>55</v>
      </c>
      <c r="E55" s="4">
        <v>36281</v>
      </c>
      <c r="F55" s="4">
        <v>36646</v>
      </c>
      <c r="G55" s="1" t="s">
        <v>56</v>
      </c>
      <c r="H55" s="1" t="s">
        <v>60</v>
      </c>
      <c r="I55" s="3" t="s">
        <v>57</v>
      </c>
      <c r="J55" s="8">
        <f>6.449/J$1</f>
        <v>0.20803225806451611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6">
        <v>2.1160000000000002E-2</v>
      </c>
      <c r="P55" s="5">
        <f t="shared" si="4"/>
        <v>0.23063225806451612</v>
      </c>
      <c r="Q55" s="24">
        <v>63557</v>
      </c>
      <c r="R55" s="24">
        <v>63557</v>
      </c>
      <c r="S55" s="3">
        <v>33</v>
      </c>
      <c r="T55" s="1" t="s">
        <v>72</v>
      </c>
      <c r="U55" s="9">
        <f t="shared" ref="U55:U80" si="7">J55*J$1*S55</f>
        <v>212.81700000000001</v>
      </c>
      <c r="V55" s="9"/>
      <c r="W55" s="59"/>
      <c r="X55" s="59">
        <v>156581</v>
      </c>
      <c r="Y55" s="1"/>
      <c r="Z55" s="36"/>
      <c r="AA55" s="36"/>
    </row>
    <row r="56" spans="2:27" s="65" customFormat="1" x14ac:dyDescent="0.2">
      <c r="B56" s="1" t="s">
        <v>237</v>
      </c>
      <c r="C56" s="3" t="s">
        <v>45</v>
      </c>
      <c r="D56" s="3" t="s">
        <v>36</v>
      </c>
      <c r="E56" s="4">
        <v>36526</v>
      </c>
      <c r="F56" s="4">
        <v>36616</v>
      </c>
      <c r="G56" s="1" t="s">
        <v>46</v>
      </c>
      <c r="H56" s="1" t="s">
        <v>47</v>
      </c>
      <c r="I56" s="3" t="s">
        <v>57</v>
      </c>
      <c r="J56" s="8">
        <f>1.3687/J$1</f>
        <v>4.4151612903225806E-2</v>
      </c>
      <c r="K56" s="5">
        <v>1.32E-2</v>
      </c>
      <c r="L56" s="5">
        <v>2.2000000000000001E-3</v>
      </c>
      <c r="M56" s="5">
        <v>7.4999999999999997E-3</v>
      </c>
      <c r="N56" s="5">
        <v>0</v>
      </c>
      <c r="O56" s="46">
        <v>2.1160000000000002E-2</v>
      </c>
      <c r="P56" s="5">
        <f>SUM(J56:N56)</f>
        <v>6.705161290322581E-2</v>
      </c>
      <c r="Q56" s="24">
        <v>63764</v>
      </c>
      <c r="R56" s="24">
        <v>63764</v>
      </c>
      <c r="S56" s="3">
        <v>10000</v>
      </c>
      <c r="T56" s="1" t="s">
        <v>48</v>
      </c>
      <c r="U56" s="9">
        <f t="shared" si="7"/>
        <v>13687</v>
      </c>
      <c r="V56" s="9"/>
      <c r="W56" s="59"/>
      <c r="X56" s="59">
        <v>156582</v>
      </c>
      <c r="Y56" s="9"/>
      <c r="Z56" s="36"/>
      <c r="AA56" s="36"/>
    </row>
    <row r="57" spans="2:27" s="65" customFormat="1" x14ac:dyDescent="0.2">
      <c r="B57" s="1" t="s">
        <v>237</v>
      </c>
      <c r="C57" s="3" t="s">
        <v>45</v>
      </c>
      <c r="D57" s="3" t="s">
        <v>55</v>
      </c>
      <c r="E57" s="4">
        <v>36312</v>
      </c>
      <c r="F57" s="4">
        <v>36677</v>
      </c>
      <c r="G57" s="1" t="s">
        <v>56</v>
      </c>
      <c r="H57" s="1" t="s">
        <v>60</v>
      </c>
      <c r="I57" s="3" t="s">
        <v>57</v>
      </c>
      <c r="J57" s="8">
        <f t="shared" ref="J57:J64" si="8">6.449/J$1</f>
        <v>0.20803225806451611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6">
        <v>2.1160000000000002E-2</v>
      </c>
      <c r="P57" s="5">
        <f t="shared" si="4"/>
        <v>0.23063225806451612</v>
      </c>
      <c r="Q57" s="24">
        <v>63822</v>
      </c>
      <c r="R57" s="24">
        <v>63822</v>
      </c>
      <c r="S57" s="3">
        <v>303</v>
      </c>
      <c r="T57" s="1" t="s">
        <v>73</v>
      </c>
      <c r="U57" s="9">
        <f t="shared" si="7"/>
        <v>1954.047</v>
      </c>
      <c r="V57" s="9"/>
      <c r="W57" s="59"/>
      <c r="X57" s="59">
        <v>156583</v>
      </c>
      <c r="Y57" s="1"/>
      <c r="Z57" s="36"/>
      <c r="AA57" s="36"/>
    </row>
    <row r="58" spans="2:27" s="65" customFormat="1" x14ac:dyDescent="0.2">
      <c r="B58" s="1" t="s">
        <v>237</v>
      </c>
      <c r="C58" s="3" t="s">
        <v>45</v>
      </c>
      <c r="D58" s="3" t="s">
        <v>54</v>
      </c>
      <c r="E58" s="4">
        <v>36312</v>
      </c>
      <c r="F58" s="4">
        <v>36677</v>
      </c>
      <c r="G58" s="1" t="s">
        <v>56</v>
      </c>
      <c r="H58" s="1" t="s">
        <v>64</v>
      </c>
      <c r="I58" s="3" t="s">
        <v>57</v>
      </c>
      <c r="J58" s="8">
        <f t="shared" si="8"/>
        <v>0.20803225806451611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6">
        <v>2.1160000000000002E-2</v>
      </c>
      <c r="P58" s="5">
        <f t="shared" si="4"/>
        <v>0.23063225806451612</v>
      </c>
      <c r="Q58" s="24">
        <v>63825</v>
      </c>
      <c r="R58" s="24">
        <v>63825</v>
      </c>
      <c r="S58" s="3">
        <v>213</v>
      </c>
      <c r="T58" s="1" t="s">
        <v>74</v>
      </c>
      <c r="U58" s="9">
        <f t="shared" si="7"/>
        <v>1373.6369999999999</v>
      </c>
      <c r="V58" s="9"/>
      <c r="W58" s="59"/>
      <c r="X58" s="59">
        <v>156584</v>
      </c>
      <c r="Y58" s="1"/>
      <c r="Z58" s="36"/>
      <c r="AA58" s="36"/>
    </row>
    <row r="59" spans="2:27" s="65" customFormat="1" x14ac:dyDescent="0.2">
      <c r="B59" s="1" t="s">
        <v>237</v>
      </c>
      <c r="C59" s="3" t="s">
        <v>45</v>
      </c>
      <c r="D59" s="3" t="s">
        <v>55</v>
      </c>
      <c r="E59" s="4">
        <v>36342</v>
      </c>
      <c r="F59" s="4">
        <v>36707</v>
      </c>
      <c r="G59" s="1" t="s">
        <v>56</v>
      </c>
      <c r="H59" s="1" t="s">
        <v>60</v>
      </c>
      <c r="I59" s="3" t="s">
        <v>57</v>
      </c>
      <c r="J59" s="8">
        <f t="shared" si="8"/>
        <v>0.20803225806451611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6">
        <v>2.1160000000000002E-2</v>
      </c>
      <c r="P59" s="5">
        <f t="shared" si="4"/>
        <v>0.23063225806451612</v>
      </c>
      <c r="Q59" s="24">
        <v>64034</v>
      </c>
      <c r="R59" s="24">
        <v>64034</v>
      </c>
      <c r="S59" s="3">
        <v>911</v>
      </c>
      <c r="T59" s="1" t="s">
        <v>75</v>
      </c>
      <c r="U59" s="9">
        <f t="shared" si="7"/>
        <v>5875.0389999999998</v>
      </c>
      <c r="V59" s="9"/>
      <c r="W59" s="59"/>
      <c r="X59" s="59">
        <v>156585</v>
      </c>
      <c r="Y59" s="1"/>
      <c r="Z59" s="36"/>
      <c r="AA59" s="36"/>
    </row>
    <row r="60" spans="2:27" s="65" customFormat="1" x14ac:dyDescent="0.2">
      <c r="B60" s="1" t="s">
        <v>237</v>
      </c>
      <c r="C60" s="3" t="s">
        <v>45</v>
      </c>
      <c r="D60" s="3" t="s">
        <v>54</v>
      </c>
      <c r="E60" s="4">
        <v>36342</v>
      </c>
      <c r="F60" s="4">
        <v>36707</v>
      </c>
      <c r="G60" s="1" t="s">
        <v>56</v>
      </c>
      <c r="H60" s="1" t="s">
        <v>58</v>
      </c>
      <c r="I60" s="3" t="s">
        <v>57</v>
      </c>
      <c r="J60" s="8">
        <f t="shared" si="8"/>
        <v>0.20803225806451611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6">
        <v>2.1160000000000002E-2</v>
      </c>
      <c r="P60" s="5">
        <f t="shared" si="4"/>
        <v>0.23063225806451612</v>
      </c>
      <c r="Q60" s="24">
        <v>64036</v>
      </c>
      <c r="R60" s="24">
        <v>64036</v>
      </c>
      <c r="S60" s="3">
        <v>1</v>
      </c>
      <c r="T60" s="1" t="s">
        <v>76</v>
      </c>
      <c r="U60" s="9">
        <f t="shared" si="7"/>
        <v>6.4489999999999998</v>
      </c>
      <c r="V60" s="9"/>
      <c r="W60" s="59"/>
      <c r="X60" s="59">
        <v>156586</v>
      </c>
      <c r="Y60" s="1"/>
      <c r="Z60" s="36"/>
      <c r="AA60" s="36"/>
    </row>
    <row r="61" spans="2:27" s="65" customFormat="1" x14ac:dyDescent="0.2">
      <c r="B61" s="1" t="s">
        <v>237</v>
      </c>
      <c r="C61" s="3" t="s">
        <v>45</v>
      </c>
      <c r="D61" s="3" t="s">
        <v>55</v>
      </c>
      <c r="E61" s="4">
        <v>36373</v>
      </c>
      <c r="F61" s="4">
        <v>36738</v>
      </c>
      <c r="G61" s="1" t="s">
        <v>56</v>
      </c>
      <c r="H61" s="1" t="s">
        <v>60</v>
      </c>
      <c r="I61" s="3" t="s">
        <v>57</v>
      </c>
      <c r="J61" s="8">
        <f t="shared" si="8"/>
        <v>0.20803225806451611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6">
        <v>2.1160000000000002E-2</v>
      </c>
      <c r="P61" s="5">
        <f t="shared" si="4"/>
        <v>0.23063225806451612</v>
      </c>
      <c r="Q61" s="24">
        <v>64328</v>
      </c>
      <c r="R61" s="24">
        <v>64328</v>
      </c>
      <c r="S61" s="3">
        <v>51</v>
      </c>
      <c r="T61" s="1" t="s">
        <v>77</v>
      </c>
      <c r="U61" s="9">
        <f t="shared" si="7"/>
        <v>328.899</v>
      </c>
      <c r="V61" s="9"/>
      <c r="W61" s="59"/>
      <c r="X61" s="59">
        <v>156588</v>
      </c>
      <c r="Y61" s="1"/>
      <c r="Z61" s="36"/>
      <c r="AA61" s="36"/>
    </row>
    <row r="62" spans="2:27" s="65" customFormat="1" x14ac:dyDescent="0.2">
      <c r="B62" s="1" t="s">
        <v>237</v>
      </c>
      <c r="C62" s="3" t="s">
        <v>45</v>
      </c>
      <c r="D62" s="3" t="s">
        <v>54</v>
      </c>
      <c r="E62" s="4">
        <v>36373</v>
      </c>
      <c r="F62" s="4">
        <v>36738</v>
      </c>
      <c r="G62" s="1" t="s">
        <v>56</v>
      </c>
      <c r="H62" s="1" t="s">
        <v>64</v>
      </c>
      <c r="I62" s="3" t="s">
        <v>57</v>
      </c>
      <c r="J62" s="8">
        <f t="shared" si="8"/>
        <v>0.20803225806451611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6">
        <v>2.1160000000000002E-2</v>
      </c>
      <c r="P62" s="5">
        <f t="shared" si="4"/>
        <v>0.23063225806451612</v>
      </c>
      <c r="Q62" s="24">
        <v>64329</v>
      </c>
      <c r="R62" s="24">
        <v>64329</v>
      </c>
      <c r="S62" s="3">
        <v>12</v>
      </c>
      <c r="T62" s="1" t="s">
        <v>78</v>
      </c>
      <c r="U62" s="9">
        <f t="shared" si="7"/>
        <v>77.388000000000005</v>
      </c>
      <c r="V62" s="9"/>
      <c r="W62" s="59"/>
      <c r="X62" s="59">
        <v>156590</v>
      </c>
      <c r="Y62" s="1"/>
      <c r="Z62" s="36"/>
      <c r="AA62" s="36"/>
    </row>
    <row r="63" spans="2:27" s="65" customFormat="1" x14ac:dyDescent="0.2">
      <c r="B63" s="1" t="s">
        <v>237</v>
      </c>
      <c r="C63" s="3" t="s">
        <v>45</v>
      </c>
      <c r="D63" s="3" t="s">
        <v>54</v>
      </c>
      <c r="E63" s="4">
        <v>36404</v>
      </c>
      <c r="F63" s="4">
        <v>36769</v>
      </c>
      <c r="G63" s="1" t="s">
        <v>56</v>
      </c>
      <c r="H63" s="1" t="s">
        <v>64</v>
      </c>
      <c r="I63" s="3" t="s">
        <v>57</v>
      </c>
      <c r="J63" s="8">
        <f t="shared" si="8"/>
        <v>0.20803225806451611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6">
        <v>2.1160000000000002E-2</v>
      </c>
      <c r="P63" s="5">
        <f t="shared" si="4"/>
        <v>0.23063225806451612</v>
      </c>
      <c r="Q63" s="24">
        <v>64651</v>
      </c>
      <c r="R63" s="24">
        <v>64651</v>
      </c>
      <c r="S63" s="3">
        <v>64</v>
      </c>
      <c r="T63" s="1" t="s">
        <v>79</v>
      </c>
      <c r="U63" s="9">
        <f t="shared" si="7"/>
        <v>412.73599999999999</v>
      </c>
      <c r="V63" s="9"/>
      <c r="W63" s="59"/>
      <c r="X63" s="59">
        <v>156591</v>
      </c>
      <c r="Y63" s="1"/>
      <c r="Z63" s="36"/>
      <c r="AA63" s="36"/>
    </row>
    <row r="64" spans="2:27" s="65" customFormat="1" x14ac:dyDescent="0.2">
      <c r="B64" s="1" t="s">
        <v>237</v>
      </c>
      <c r="C64" s="3" t="s">
        <v>45</v>
      </c>
      <c r="D64" s="3" t="s">
        <v>54</v>
      </c>
      <c r="E64" s="4">
        <v>36434</v>
      </c>
      <c r="F64" s="4">
        <v>36799</v>
      </c>
      <c r="G64" s="1" t="s">
        <v>56</v>
      </c>
      <c r="H64" s="1" t="s">
        <v>58</v>
      </c>
      <c r="I64" s="3" t="s">
        <v>57</v>
      </c>
      <c r="J64" s="8">
        <f t="shared" si="8"/>
        <v>0.20803225806451611</v>
      </c>
      <c r="K64" s="5">
        <v>1.32E-2</v>
      </c>
      <c r="L64" s="5">
        <v>2.2000000000000001E-3</v>
      </c>
      <c r="M64" s="5">
        <v>7.1999999999999998E-3</v>
      </c>
      <c r="N64" s="5">
        <v>0</v>
      </c>
      <c r="O64" s="46">
        <v>2.1160000000000002E-2</v>
      </c>
      <c r="P64" s="5">
        <f t="shared" si="4"/>
        <v>0.23063225806451612</v>
      </c>
      <c r="Q64" s="24">
        <v>64862</v>
      </c>
      <c r="R64" s="24">
        <v>64862</v>
      </c>
      <c r="S64" s="3">
        <v>13</v>
      </c>
      <c r="T64" s="1" t="s">
        <v>80</v>
      </c>
      <c r="U64" s="9">
        <f t="shared" si="7"/>
        <v>83.837000000000003</v>
      </c>
      <c r="V64" s="9"/>
      <c r="W64" s="59"/>
      <c r="X64" s="59">
        <v>156592</v>
      </c>
      <c r="Y64" s="1"/>
      <c r="Z64" s="36"/>
      <c r="AA64" s="36"/>
    </row>
    <row r="65" spans="2:27" s="65" customFormat="1" x14ac:dyDescent="0.2">
      <c r="B65" s="1" t="s">
        <v>237</v>
      </c>
      <c r="C65" s="3" t="s">
        <v>45</v>
      </c>
      <c r="D65" s="3" t="s">
        <v>66</v>
      </c>
      <c r="E65" s="4">
        <v>36434</v>
      </c>
      <c r="F65" s="4">
        <v>36799</v>
      </c>
      <c r="G65" s="1" t="s">
        <v>56</v>
      </c>
      <c r="H65" s="1" t="s">
        <v>81</v>
      </c>
      <c r="I65" s="3" t="s">
        <v>57</v>
      </c>
      <c r="J65" s="8">
        <f>6.372/J$1</f>
        <v>0.2055483870967742</v>
      </c>
      <c r="K65" s="5">
        <v>1.32E-2</v>
      </c>
      <c r="L65" s="5">
        <v>2.2000000000000001E-3</v>
      </c>
      <c r="M65" s="5">
        <v>7.1999999999999998E-3</v>
      </c>
      <c r="N65" s="5">
        <v>0</v>
      </c>
      <c r="O65" s="46">
        <v>2.1160000000000002E-2</v>
      </c>
      <c r="P65" s="5">
        <f t="shared" si="4"/>
        <v>0.22814838709677421</v>
      </c>
      <c r="Q65" s="24">
        <v>64939</v>
      </c>
      <c r="R65" s="24">
        <v>64939</v>
      </c>
      <c r="S65" s="3">
        <v>2300</v>
      </c>
      <c r="T65" s="1" t="s">
        <v>82</v>
      </c>
      <c r="U65" s="9">
        <f t="shared" si="7"/>
        <v>14655.6</v>
      </c>
      <c r="V65" s="9"/>
      <c r="W65" s="59"/>
      <c r="X65" s="59">
        <v>156593</v>
      </c>
      <c r="Y65" s="1"/>
      <c r="Z65" s="36"/>
      <c r="AA65" s="36"/>
    </row>
    <row r="66" spans="2:27" s="65" customFormat="1" x14ac:dyDescent="0.2">
      <c r="B66" s="1" t="s">
        <v>237</v>
      </c>
      <c r="C66" s="3" t="s">
        <v>45</v>
      </c>
      <c r="D66" s="3" t="s">
        <v>54</v>
      </c>
      <c r="E66" s="4">
        <v>36465</v>
      </c>
      <c r="F66" s="4">
        <v>36830</v>
      </c>
      <c r="G66" s="1" t="s">
        <v>56</v>
      </c>
      <c r="H66" s="1" t="s">
        <v>64</v>
      </c>
      <c r="I66" s="3" t="s">
        <v>57</v>
      </c>
      <c r="J66" s="8">
        <f>6.449/J$1</f>
        <v>0.20803225806451611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6">
        <v>2.1160000000000002E-2</v>
      </c>
      <c r="P66" s="5">
        <f t="shared" si="4"/>
        <v>0.23063225806451612</v>
      </c>
      <c r="Q66" s="24">
        <v>65026</v>
      </c>
      <c r="R66" s="24">
        <v>65026</v>
      </c>
      <c r="S66" s="3">
        <v>128</v>
      </c>
      <c r="T66" s="1" t="s">
        <v>83</v>
      </c>
      <c r="U66" s="9">
        <f t="shared" si="7"/>
        <v>825.47199999999998</v>
      </c>
      <c r="V66" s="9"/>
      <c r="W66" s="59"/>
      <c r="X66" s="59">
        <v>162286</v>
      </c>
      <c r="Y66" s="1"/>
      <c r="Z66" s="36"/>
      <c r="AA66" s="36"/>
    </row>
    <row r="67" spans="2:27" s="65" customFormat="1" x14ac:dyDescent="0.2">
      <c r="B67" s="1" t="s">
        <v>237</v>
      </c>
      <c r="C67" s="3" t="s">
        <v>45</v>
      </c>
      <c r="D67" s="3" t="s">
        <v>84</v>
      </c>
      <c r="E67" s="4">
        <v>36465</v>
      </c>
      <c r="F67" s="4">
        <v>36830</v>
      </c>
      <c r="G67" s="1" t="s">
        <v>56</v>
      </c>
      <c r="H67" s="1" t="s">
        <v>85</v>
      </c>
      <c r="I67" s="3" t="s">
        <v>57</v>
      </c>
      <c r="J67" s="8">
        <f>6.449/J$1</f>
        <v>0.20803225806451611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6">
        <v>2.1160000000000002E-2</v>
      </c>
      <c r="P67" s="5">
        <f t="shared" si="4"/>
        <v>0.23063225806451612</v>
      </c>
      <c r="Q67" s="24">
        <v>65041</v>
      </c>
      <c r="R67" s="24">
        <v>65041</v>
      </c>
      <c r="S67" s="3">
        <v>9619</v>
      </c>
      <c r="T67" s="1" t="s">
        <v>86</v>
      </c>
      <c r="U67" s="9">
        <f t="shared" si="7"/>
        <v>62032.930999999997</v>
      </c>
      <c r="V67" s="9"/>
      <c r="W67" s="59"/>
      <c r="X67" s="59">
        <v>162285</v>
      </c>
      <c r="Y67" s="1"/>
      <c r="Z67" s="36"/>
      <c r="AA67" s="36"/>
    </row>
    <row r="68" spans="2:27" s="65" customFormat="1" x14ac:dyDescent="0.2">
      <c r="B68" s="1" t="s">
        <v>237</v>
      </c>
      <c r="C68" s="3" t="s">
        <v>45</v>
      </c>
      <c r="D68" s="3" t="s">
        <v>84</v>
      </c>
      <c r="E68" s="4">
        <v>36465</v>
      </c>
      <c r="F68" s="4">
        <v>36830</v>
      </c>
      <c r="G68" s="1" t="s">
        <v>56</v>
      </c>
      <c r="H68" s="1" t="s">
        <v>88</v>
      </c>
      <c r="I68" s="3" t="s">
        <v>57</v>
      </c>
      <c r="J68" s="8">
        <f>6.449/J$1</f>
        <v>0.20803225806451611</v>
      </c>
      <c r="K68" s="5">
        <v>1.32E-2</v>
      </c>
      <c r="L68" s="5">
        <v>2.2000000000000001E-3</v>
      </c>
      <c r="M68" s="5">
        <v>7.1999999999999998E-3</v>
      </c>
      <c r="N68" s="5">
        <v>0</v>
      </c>
      <c r="O68" s="46">
        <v>2.1160000000000002E-2</v>
      </c>
      <c r="P68" s="5">
        <f t="shared" si="4"/>
        <v>0.23063225806451612</v>
      </c>
      <c r="Q68" s="24">
        <v>65042</v>
      </c>
      <c r="R68" s="24">
        <v>65042</v>
      </c>
      <c r="S68" s="3">
        <v>4427</v>
      </c>
      <c r="T68" s="1" t="s">
        <v>87</v>
      </c>
      <c r="U68" s="9">
        <f t="shared" si="7"/>
        <v>28549.722999999998</v>
      </c>
      <c r="V68" s="9"/>
      <c r="W68" s="59"/>
      <c r="X68" s="59">
        <v>162287</v>
      </c>
      <c r="Y68" s="1"/>
      <c r="Z68" s="36"/>
      <c r="AA68" s="36"/>
    </row>
    <row r="69" spans="2:27" s="65" customFormat="1" x14ac:dyDescent="0.2">
      <c r="B69" s="1" t="s">
        <v>237</v>
      </c>
      <c r="C69" s="3" t="s">
        <v>45</v>
      </c>
      <c r="D69" s="3" t="s">
        <v>89</v>
      </c>
      <c r="E69" s="4">
        <v>36465</v>
      </c>
      <c r="F69" s="4">
        <v>37011</v>
      </c>
      <c r="G69" s="1" t="s">
        <v>56</v>
      </c>
      <c r="H69" s="1" t="s">
        <v>90</v>
      </c>
      <c r="I69" s="3" t="s">
        <v>57</v>
      </c>
      <c r="J69" s="8">
        <f>6.449/J$1</f>
        <v>0.20803225806451611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6">
        <v>2.1160000000000002E-2</v>
      </c>
      <c r="P69" s="5">
        <f t="shared" si="4"/>
        <v>0.23063225806451612</v>
      </c>
      <c r="Q69" s="24">
        <v>65108</v>
      </c>
      <c r="R69" s="24">
        <v>65108</v>
      </c>
      <c r="S69" s="3">
        <v>5000</v>
      </c>
      <c r="T69" s="1" t="s">
        <v>390</v>
      </c>
      <c r="U69" s="9">
        <f t="shared" si="7"/>
        <v>32245</v>
      </c>
      <c r="V69" s="9"/>
      <c r="W69" s="59"/>
      <c r="X69" s="59">
        <v>163001</v>
      </c>
      <c r="Y69" s="1"/>
      <c r="Z69" s="36"/>
      <c r="AA69" s="36"/>
    </row>
    <row r="70" spans="2:27" s="99" customFormat="1" x14ac:dyDescent="0.2">
      <c r="B70" s="42" t="s">
        <v>237</v>
      </c>
      <c r="C70" s="85" t="s">
        <v>45</v>
      </c>
      <c r="D70" s="85" t="s">
        <v>232</v>
      </c>
      <c r="E70" s="86">
        <v>36465</v>
      </c>
      <c r="F70" s="86">
        <v>36830</v>
      </c>
      <c r="G70" s="42" t="s">
        <v>127</v>
      </c>
      <c r="H70" s="87" t="s">
        <v>387</v>
      </c>
      <c r="I70" s="85" t="s">
        <v>57</v>
      </c>
      <c r="J70" s="88">
        <f>3.65/J$1</f>
        <v>0.11774193548387096</v>
      </c>
      <c r="K70" s="89">
        <v>1.32E-2</v>
      </c>
      <c r="L70" s="89">
        <v>2.2000000000000001E-3</v>
      </c>
      <c r="M70" s="89">
        <v>7.4999999999999997E-3</v>
      </c>
      <c r="N70" s="89">
        <v>0</v>
      </c>
      <c r="O70" s="90">
        <v>2.1160000000000002E-2</v>
      </c>
      <c r="P70" s="89">
        <f>SUM(J70:N70)</f>
        <v>0.14064193548387097</v>
      </c>
      <c r="Q70" s="91">
        <v>65402</v>
      </c>
      <c r="R70" s="91">
        <v>65402</v>
      </c>
      <c r="S70" s="85">
        <v>20000</v>
      </c>
      <c r="T70" s="87" t="s">
        <v>388</v>
      </c>
      <c r="U70" s="93">
        <f t="shared" si="7"/>
        <v>73000</v>
      </c>
      <c r="V70" s="93"/>
      <c r="W70" s="94"/>
      <c r="X70" s="94">
        <v>156596</v>
      </c>
      <c r="Y70" s="42"/>
      <c r="Z70" s="98"/>
      <c r="AA70" s="98"/>
    </row>
    <row r="71" spans="2:27" s="65" customFormat="1" x14ac:dyDescent="0.2">
      <c r="B71" s="1" t="s">
        <v>237</v>
      </c>
      <c r="C71" s="3" t="s">
        <v>45</v>
      </c>
      <c r="D71" s="3"/>
      <c r="E71" s="4">
        <v>36465</v>
      </c>
      <c r="F71" s="4">
        <v>37011</v>
      </c>
      <c r="G71" s="1"/>
      <c r="H71" s="1"/>
      <c r="I71" s="3" t="s">
        <v>57</v>
      </c>
      <c r="J71" s="88">
        <f>4.8621/+J$1</f>
        <v>0.15684193548387096</v>
      </c>
      <c r="K71" s="5"/>
      <c r="L71" s="5"/>
      <c r="M71" s="5"/>
      <c r="N71" s="5"/>
      <c r="O71" s="46"/>
      <c r="P71" s="5"/>
      <c r="Q71" s="24">
        <v>65403</v>
      </c>
      <c r="R71" s="24">
        <v>65403</v>
      </c>
      <c r="S71" s="3">
        <v>19293</v>
      </c>
      <c r="T71" s="29" t="s">
        <v>389</v>
      </c>
      <c r="U71" s="9">
        <f t="shared" si="7"/>
        <v>93804.495299999995</v>
      </c>
      <c r="V71" s="9"/>
      <c r="W71" s="59"/>
      <c r="X71" s="59" t="s">
        <v>431</v>
      </c>
      <c r="Y71" s="1"/>
      <c r="Z71" s="36"/>
      <c r="AA71" s="36"/>
    </row>
    <row r="72" spans="2:27" s="65" customFormat="1" x14ac:dyDescent="0.2">
      <c r="B72" s="1" t="s">
        <v>237</v>
      </c>
      <c r="C72" s="3" t="s">
        <v>45</v>
      </c>
      <c r="D72" s="3" t="s">
        <v>100</v>
      </c>
      <c r="E72" s="4">
        <v>36557</v>
      </c>
      <c r="F72" s="4">
        <v>36677</v>
      </c>
      <c r="G72" s="1" t="s">
        <v>130</v>
      </c>
      <c r="H72" s="1" t="s">
        <v>131</v>
      </c>
      <c r="I72" s="3" t="s">
        <v>57</v>
      </c>
      <c r="J72" s="88">
        <f>6.423/J$1</f>
        <v>0.20719354838709678</v>
      </c>
      <c r="K72" s="5">
        <v>1.32E-2</v>
      </c>
      <c r="L72" s="5">
        <v>2.2000000000000001E-3</v>
      </c>
      <c r="M72" s="5">
        <v>7.1999999999999998E-3</v>
      </c>
      <c r="N72" s="5">
        <v>0</v>
      </c>
      <c r="O72" s="46">
        <v>2.1160000000000002E-2</v>
      </c>
      <c r="P72" s="5">
        <f t="shared" si="4"/>
        <v>0.22979354838709679</v>
      </c>
      <c r="Q72" s="24">
        <v>65404</v>
      </c>
      <c r="R72" s="24">
        <v>65404</v>
      </c>
      <c r="S72" s="3">
        <v>34</v>
      </c>
      <c r="T72" s="1" t="s">
        <v>132</v>
      </c>
      <c r="U72" s="9">
        <f t="shared" si="7"/>
        <v>218.38200000000001</v>
      </c>
      <c r="V72" s="9"/>
      <c r="W72" s="59"/>
      <c r="X72" s="59">
        <v>156597</v>
      </c>
      <c r="Y72" s="1"/>
      <c r="Z72" s="36"/>
      <c r="AA72" s="36"/>
    </row>
    <row r="73" spans="2:27" s="65" customFormat="1" x14ac:dyDescent="0.2">
      <c r="B73" s="1" t="s">
        <v>237</v>
      </c>
      <c r="C73" s="3" t="s">
        <v>45</v>
      </c>
      <c r="D73" s="3"/>
      <c r="E73" s="4">
        <v>36557</v>
      </c>
      <c r="F73" s="4">
        <v>36830</v>
      </c>
      <c r="G73" s="1" t="s">
        <v>133</v>
      </c>
      <c r="H73" s="1" t="s">
        <v>125</v>
      </c>
      <c r="I73" s="3" t="s">
        <v>57</v>
      </c>
      <c r="J73" s="8">
        <f>4.563/J$1</f>
        <v>0.14719354838709678</v>
      </c>
      <c r="K73" s="5">
        <v>1.32E-2</v>
      </c>
      <c r="L73" s="5">
        <v>2.2000000000000001E-3</v>
      </c>
      <c r="M73" s="5">
        <v>7.1999999999999998E-3</v>
      </c>
      <c r="N73" s="5">
        <v>0</v>
      </c>
      <c r="O73" s="46">
        <v>2.1160000000000002E-2</v>
      </c>
      <c r="P73" s="5">
        <f t="shared" si="4"/>
        <v>0.16979354838709679</v>
      </c>
      <c r="Q73" s="24">
        <v>65418</v>
      </c>
      <c r="R73" s="24">
        <v>65418</v>
      </c>
      <c r="S73" s="3">
        <v>500</v>
      </c>
      <c r="T73" s="1" t="s">
        <v>134</v>
      </c>
      <c r="U73" s="9">
        <f t="shared" si="7"/>
        <v>2281.5</v>
      </c>
      <c r="V73" s="9"/>
      <c r="W73" s="59"/>
      <c r="X73" s="59">
        <v>156599</v>
      </c>
      <c r="Y73" s="1"/>
      <c r="Z73" s="36"/>
      <c r="AA73" s="36"/>
    </row>
    <row r="74" spans="2:27" s="65" customFormat="1" x14ac:dyDescent="0.2">
      <c r="B74" s="1" t="s">
        <v>237</v>
      </c>
      <c r="C74" s="3" t="s">
        <v>45</v>
      </c>
      <c r="D74" s="3" t="s">
        <v>66</v>
      </c>
      <c r="E74" s="4">
        <v>36557</v>
      </c>
      <c r="F74" s="4">
        <v>36616</v>
      </c>
      <c r="G74" s="1" t="s">
        <v>67</v>
      </c>
      <c r="H74" s="1" t="s">
        <v>92</v>
      </c>
      <c r="I74" s="3" t="s">
        <v>93</v>
      </c>
      <c r="J74" s="8">
        <f>6.077/J$1</f>
        <v>0.19603225806451613</v>
      </c>
      <c r="K74" s="5">
        <v>1.2999999999999999E-2</v>
      </c>
      <c r="L74" s="5">
        <v>2.2000000000000001E-3</v>
      </c>
      <c r="M74" s="5">
        <v>7.1999999999999998E-3</v>
      </c>
      <c r="N74" s="5">
        <v>0</v>
      </c>
      <c r="O74" s="46">
        <v>2.1160000000000002E-2</v>
      </c>
      <c r="P74" s="5">
        <f t="shared" si="4"/>
        <v>0.21843225806451616</v>
      </c>
      <c r="Q74" s="24">
        <v>65458</v>
      </c>
      <c r="R74" s="24">
        <v>65458</v>
      </c>
      <c r="S74" s="3">
        <v>33</v>
      </c>
      <c r="T74" s="1" t="s">
        <v>94</v>
      </c>
      <c r="U74" s="9">
        <f t="shared" si="7"/>
        <v>200.541</v>
      </c>
      <c r="V74" s="9"/>
      <c r="W74" s="59"/>
      <c r="X74" s="59">
        <v>156600</v>
      </c>
      <c r="Y74" s="1"/>
      <c r="Z74" s="36"/>
      <c r="AA74" s="36"/>
    </row>
    <row r="75" spans="2:27" s="65" customFormat="1" x14ac:dyDescent="0.2">
      <c r="B75" s="1" t="s">
        <v>237</v>
      </c>
      <c r="C75" s="3" t="s">
        <v>45</v>
      </c>
      <c r="D75" s="3"/>
      <c r="E75" s="4">
        <v>36557</v>
      </c>
      <c r="F75" s="4">
        <v>36677</v>
      </c>
      <c r="G75" s="1" t="s">
        <v>130</v>
      </c>
      <c r="H75" s="1" t="s">
        <v>131</v>
      </c>
      <c r="I75" s="3" t="s">
        <v>57</v>
      </c>
      <c r="J75" s="8">
        <f>6.372/J$1</f>
        <v>0.2055483870967742</v>
      </c>
      <c r="K75" s="5"/>
      <c r="L75" s="5"/>
      <c r="M75" s="5"/>
      <c r="N75" s="5"/>
      <c r="O75" s="46"/>
      <c r="P75" s="5"/>
      <c r="Q75" s="24">
        <v>65534</v>
      </c>
      <c r="R75" s="24">
        <v>65534</v>
      </c>
      <c r="S75" s="3">
        <v>3</v>
      </c>
      <c r="T75" s="1" t="s">
        <v>391</v>
      </c>
      <c r="U75" s="9">
        <f t="shared" si="7"/>
        <v>19.116</v>
      </c>
      <c r="V75" s="9"/>
      <c r="W75" s="59"/>
      <c r="X75" s="59">
        <v>149349</v>
      </c>
      <c r="Y75" s="1"/>
      <c r="Z75" s="36"/>
      <c r="AA75" s="36"/>
    </row>
    <row r="76" spans="2:27" s="65" customFormat="1" x14ac:dyDescent="0.2">
      <c r="B76" s="1" t="s">
        <v>237</v>
      </c>
      <c r="C76" s="3" t="s">
        <v>45</v>
      </c>
      <c r="D76" s="3" t="s">
        <v>54</v>
      </c>
      <c r="E76" s="4">
        <v>36557</v>
      </c>
      <c r="F76" s="4">
        <v>36860</v>
      </c>
      <c r="G76" s="1" t="s">
        <v>56</v>
      </c>
      <c r="H76" s="1" t="s">
        <v>64</v>
      </c>
      <c r="I76" s="3" t="s">
        <v>57</v>
      </c>
      <c r="J76" s="8">
        <f>6.449/J$1</f>
        <v>0.20803225806451611</v>
      </c>
      <c r="K76" s="5">
        <v>1.32E-2</v>
      </c>
      <c r="L76" s="5">
        <v>2.2000000000000001E-3</v>
      </c>
      <c r="M76" s="5">
        <v>7.1999999999999998E-3</v>
      </c>
      <c r="N76" s="5">
        <v>0</v>
      </c>
      <c r="O76" s="46">
        <v>2.1160000000000002E-2</v>
      </c>
      <c r="P76" s="5">
        <f t="shared" si="4"/>
        <v>0.23063225806451612</v>
      </c>
      <c r="Q76" s="24">
        <v>65556</v>
      </c>
      <c r="R76" s="24">
        <v>65556</v>
      </c>
      <c r="S76" s="3">
        <v>3</v>
      </c>
      <c r="T76" s="1" t="s">
        <v>91</v>
      </c>
      <c r="U76" s="9">
        <f t="shared" si="7"/>
        <v>19.347000000000001</v>
      </c>
      <c r="V76" s="9"/>
      <c r="W76" s="59"/>
      <c r="X76" s="59">
        <v>156602</v>
      </c>
      <c r="Y76" s="1"/>
      <c r="Z76" s="36"/>
      <c r="AA76" s="36"/>
    </row>
    <row r="77" spans="2:27" s="99" customFormat="1" x14ac:dyDescent="0.2">
      <c r="B77" s="42" t="s">
        <v>237</v>
      </c>
      <c r="C77" s="85" t="s">
        <v>45</v>
      </c>
      <c r="D77" s="85" t="s">
        <v>100</v>
      </c>
      <c r="E77" s="86">
        <v>36557</v>
      </c>
      <c r="F77" s="86">
        <v>36616</v>
      </c>
      <c r="G77" s="42" t="s">
        <v>130</v>
      </c>
      <c r="H77" s="42" t="s">
        <v>131</v>
      </c>
      <c r="I77" s="85" t="s">
        <v>57</v>
      </c>
      <c r="J77" s="88">
        <f>6.372/J$1</f>
        <v>0.2055483870967742</v>
      </c>
      <c r="K77" s="89">
        <v>1.32E-2</v>
      </c>
      <c r="L77" s="89">
        <v>2.2000000000000001E-3</v>
      </c>
      <c r="M77" s="89">
        <v>7.1999999999999998E-3</v>
      </c>
      <c r="N77" s="89">
        <v>0</v>
      </c>
      <c r="O77" s="90">
        <v>2.1160000000000002E-2</v>
      </c>
      <c r="P77" s="89">
        <f t="shared" si="4"/>
        <v>0.22814838709677421</v>
      </c>
      <c r="Q77" s="91">
        <v>65659</v>
      </c>
      <c r="R77" s="91">
        <v>65659</v>
      </c>
      <c r="S77" s="85">
        <v>3</v>
      </c>
      <c r="T77" s="42" t="s">
        <v>135</v>
      </c>
      <c r="U77" s="93">
        <f t="shared" si="7"/>
        <v>19.116</v>
      </c>
      <c r="V77" s="93"/>
      <c r="W77" s="94"/>
      <c r="X77" s="94">
        <v>156605</v>
      </c>
      <c r="Y77" s="42"/>
      <c r="Z77" s="98"/>
      <c r="AA77" s="98"/>
    </row>
    <row r="78" spans="2:27" s="131" customFormat="1" x14ac:dyDescent="0.2">
      <c r="B78" s="43" t="s">
        <v>237</v>
      </c>
      <c r="C78" s="122" t="s">
        <v>45</v>
      </c>
      <c r="D78" s="122" t="s">
        <v>201</v>
      </c>
      <c r="E78" s="123">
        <v>36586</v>
      </c>
      <c r="F78" s="123">
        <v>36616</v>
      </c>
      <c r="G78" s="147" t="s">
        <v>202</v>
      </c>
      <c r="H78" s="147" t="s">
        <v>203</v>
      </c>
      <c r="I78" s="122"/>
      <c r="J78" s="124">
        <f>3.72/J$1</f>
        <v>0.12000000000000001</v>
      </c>
      <c r="K78" s="125">
        <v>1.32E-2</v>
      </c>
      <c r="L78" s="125">
        <v>2.2000000000000001E-3</v>
      </c>
      <c r="M78" s="125">
        <v>7.4999999999999997E-3</v>
      </c>
      <c r="N78" s="125">
        <v>0</v>
      </c>
      <c r="O78" s="126">
        <v>2.1160000000000002E-2</v>
      </c>
      <c r="P78" s="125">
        <f>SUM(J78:N78)</f>
        <v>0.14290000000000003</v>
      </c>
      <c r="Q78" s="127">
        <v>66775</v>
      </c>
      <c r="R78" s="127">
        <v>66391</v>
      </c>
      <c r="S78" s="122">
        <v>2200</v>
      </c>
      <c r="T78" s="147" t="s">
        <v>392</v>
      </c>
      <c r="U78" s="128">
        <f t="shared" si="7"/>
        <v>8184</v>
      </c>
      <c r="V78" s="128"/>
      <c r="W78" s="129">
        <v>207942</v>
      </c>
      <c r="X78" s="129"/>
      <c r="Y78" s="43"/>
      <c r="Z78" s="130"/>
      <c r="AA78" s="130"/>
    </row>
    <row r="79" spans="2:27" s="131" customFormat="1" x14ac:dyDescent="0.2">
      <c r="B79" s="43" t="s">
        <v>237</v>
      </c>
      <c r="C79" s="122" t="s">
        <v>45</v>
      </c>
      <c r="D79" s="122" t="s">
        <v>49</v>
      </c>
      <c r="E79" s="123">
        <v>36557</v>
      </c>
      <c r="F79" s="123">
        <v>36922</v>
      </c>
      <c r="G79" s="43" t="s">
        <v>256</v>
      </c>
      <c r="H79" s="43" t="s">
        <v>257</v>
      </c>
      <c r="I79" s="122" t="s">
        <v>57</v>
      </c>
      <c r="J79" s="88">
        <f>6.449/J$1</f>
        <v>0.20803225806451611</v>
      </c>
      <c r="K79" s="125"/>
      <c r="L79" s="125"/>
      <c r="M79" s="125"/>
      <c r="N79" s="125"/>
      <c r="O79" s="126"/>
      <c r="P79" s="125"/>
      <c r="Q79" s="127">
        <v>66280</v>
      </c>
      <c r="R79" s="127">
        <v>66280</v>
      </c>
      <c r="S79" s="122">
        <v>1</v>
      </c>
      <c r="T79" s="43" t="s">
        <v>259</v>
      </c>
      <c r="U79" s="128">
        <f t="shared" si="7"/>
        <v>6.4489999999999998</v>
      </c>
      <c r="V79" s="128"/>
      <c r="W79" s="129"/>
      <c r="X79" s="129">
        <v>156606</v>
      </c>
      <c r="Y79" s="43"/>
      <c r="Z79" s="130"/>
      <c r="AA79" s="130"/>
    </row>
    <row r="80" spans="2:27" s="131" customFormat="1" x14ac:dyDescent="0.2">
      <c r="B80" s="43" t="s">
        <v>237</v>
      </c>
      <c r="C80" s="122" t="s">
        <v>45</v>
      </c>
      <c r="D80" s="122" t="s">
        <v>49</v>
      </c>
      <c r="E80" s="123">
        <v>36557</v>
      </c>
      <c r="F80" s="123">
        <v>36922</v>
      </c>
      <c r="G80" s="43" t="s">
        <v>256</v>
      </c>
      <c r="H80" s="43" t="s">
        <v>258</v>
      </c>
      <c r="I80" s="122" t="s">
        <v>57</v>
      </c>
      <c r="J80" s="88">
        <f>6.449/J$1</f>
        <v>0.20803225806451611</v>
      </c>
      <c r="K80" s="125"/>
      <c r="L80" s="125"/>
      <c r="M80" s="125"/>
      <c r="N80" s="125"/>
      <c r="O80" s="126"/>
      <c r="P80" s="125"/>
      <c r="Q80" s="127">
        <v>66280</v>
      </c>
      <c r="R80" s="127">
        <v>66280</v>
      </c>
      <c r="S80" s="122">
        <v>4</v>
      </c>
      <c r="T80" s="43" t="s">
        <v>259</v>
      </c>
      <c r="U80" s="128">
        <f t="shared" si="7"/>
        <v>25.795999999999999</v>
      </c>
      <c r="V80" s="128"/>
      <c r="W80" s="129"/>
      <c r="X80" s="129">
        <v>156606</v>
      </c>
      <c r="Y80" s="43"/>
      <c r="Z80" s="130"/>
      <c r="AA80" s="130"/>
    </row>
    <row r="81" spans="2:27" s="131" customFormat="1" x14ac:dyDescent="0.2">
      <c r="B81" s="43" t="s">
        <v>237</v>
      </c>
      <c r="C81" s="122" t="s">
        <v>45</v>
      </c>
      <c r="D81" s="122"/>
      <c r="E81" s="123">
        <v>36557</v>
      </c>
      <c r="F81" s="123">
        <v>36616</v>
      </c>
      <c r="G81" s="43" t="s">
        <v>256</v>
      </c>
      <c r="H81" s="43">
        <v>21</v>
      </c>
      <c r="I81" s="122" t="s">
        <v>57</v>
      </c>
      <c r="J81" s="88">
        <f>6.372/J$1</f>
        <v>0.2055483870967742</v>
      </c>
      <c r="K81" s="125"/>
      <c r="L81" s="125"/>
      <c r="M81" s="125"/>
      <c r="N81" s="125"/>
      <c r="O81" s="126"/>
      <c r="P81" s="125"/>
      <c r="Q81" s="127">
        <v>66444</v>
      </c>
      <c r="R81" s="127"/>
      <c r="S81" s="122">
        <v>7</v>
      </c>
      <c r="T81" s="43"/>
      <c r="U81" s="128">
        <f>J81*J$1*S81</f>
        <v>44.603999999999999</v>
      </c>
      <c r="V81" s="128"/>
      <c r="W81" s="129">
        <v>159995</v>
      </c>
      <c r="X81" s="129"/>
      <c r="Y81" s="43"/>
      <c r="Z81" s="130"/>
      <c r="AA81" s="130"/>
    </row>
    <row r="82" spans="2:27" s="131" customFormat="1" x14ac:dyDescent="0.2">
      <c r="B82" s="43" t="s">
        <v>237</v>
      </c>
      <c r="C82" s="122" t="s">
        <v>45</v>
      </c>
      <c r="D82" s="122" t="s">
        <v>136</v>
      </c>
      <c r="E82" s="123">
        <v>36586</v>
      </c>
      <c r="F82" s="123">
        <v>36616</v>
      </c>
      <c r="G82" s="43" t="s">
        <v>256</v>
      </c>
      <c r="H82" s="43">
        <v>54</v>
      </c>
      <c r="I82" s="122" t="s">
        <v>57</v>
      </c>
      <c r="J82" s="124">
        <v>6.4489999999999998</v>
      </c>
      <c r="K82" s="125"/>
      <c r="L82" s="125"/>
      <c r="M82" s="125"/>
      <c r="N82" s="125"/>
      <c r="O82" s="126"/>
      <c r="P82" s="125"/>
      <c r="Q82" s="127">
        <v>66613</v>
      </c>
      <c r="R82" s="127">
        <v>66392</v>
      </c>
      <c r="S82" s="122">
        <v>167</v>
      </c>
      <c r="T82" s="43" t="s">
        <v>327</v>
      </c>
      <c r="U82" s="128">
        <f>+S82*J82</f>
        <v>1076.9829999999999</v>
      </c>
      <c r="V82" s="128"/>
      <c r="W82" s="129">
        <v>205627</v>
      </c>
      <c r="X82" s="129">
        <v>158527</v>
      </c>
      <c r="Y82" s="43"/>
      <c r="Z82" s="130"/>
      <c r="AA82" s="130"/>
    </row>
    <row r="83" spans="2:27" s="131" customFormat="1" x14ac:dyDescent="0.2">
      <c r="B83" s="43" t="s">
        <v>237</v>
      </c>
      <c r="C83" s="122" t="s">
        <v>45</v>
      </c>
      <c r="D83" s="122" t="s">
        <v>49</v>
      </c>
      <c r="E83" s="123">
        <v>36586</v>
      </c>
      <c r="F83" s="123">
        <v>36950</v>
      </c>
      <c r="G83" s="43" t="s">
        <v>256</v>
      </c>
      <c r="H83" s="147" t="s">
        <v>257</v>
      </c>
      <c r="I83" s="122" t="s">
        <v>57</v>
      </c>
      <c r="J83" s="124">
        <v>6.4489999999999998</v>
      </c>
      <c r="K83" s="125"/>
      <c r="L83" s="125"/>
      <c r="M83" s="125"/>
      <c r="N83" s="125"/>
      <c r="O83" s="126"/>
      <c r="P83" s="125"/>
      <c r="Q83" s="127">
        <v>66679</v>
      </c>
      <c r="R83" s="127"/>
      <c r="S83" s="122">
        <v>5</v>
      </c>
      <c r="T83" s="43" t="s">
        <v>328</v>
      </c>
      <c r="U83" s="128">
        <f>+S83*J83</f>
        <v>32.244999999999997</v>
      </c>
      <c r="V83" s="128"/>
      <c r="W83" s="129">
        <v>205617</v>
      </c>
      <c r="X83" s="129"/>
      <c r="Y83" s="43"/>
      <c r="Z83" s="130"/>
      <c r="AA83" s="130"/>
    </row>
    <row r="84" spans="2:27" s="131" customFormat="1" x14ac:dyDescent="0.2">
      <c r="B84" s="43" t="s">
        <v>237</v>
      </c>
      <c r="C84" s="122" t="s">
        <v>45</v>
      </c>
      <c r="D84" s="122" t="s">
        <v>49</v>
      </c>
      <c r="E84" s="123">
        <v>36586</v>
      </c>
      <c r="F84" s="123">
        <v>36950</v>
      </c>
      <c r="G84" s="43" t="s">
        <v>256</v>
      </c>
      <c r="H84" s="147" t="s">
        <v>258</v>
      </c>
      <c r="I84" s="122" t="s">
        <v>57</v>
      </c>
      <c r="J84" s="124">
        <v>6.4489999999999998</v>
      </c>
      <c r="K84" s="125"/>
      <c r="L84" s="125"/>
      <c r="M84" s="125"/>
      <c r="N84" s="125"/>
      <c r="O84" s="126"/>
      <c r="P84" s="125"/>
      <c r="Q84" s="127">
        <v>66679</v>
      </c>
      <c r="R84" s="127"/>
      <c r="S84" s="122">
        <v>4</v>
      </c>
      <c r="T84" s="43" t="s">
        <v>328</v>
      </c>
      <c r="U84" s="128">
        <f>+S84*J84</f>
        <v>25.795999999999999</v>
      </c>
      <c r="V84" s="128"/>
      <c r="W84" s="129">
        <v>205617</v>
      </c>
      <c r="X84" s="129"/>
      <c r="Y84" s="43"/>
      <c r="Z84" s="130"/>
      <c r="AA84" s="130"/>
    </row>
    <row r="85" spans="2:27" x14ac:dyDescent="0.2">
      <c r="B85" s="10" t="s">
        <v>3</v>
      </c>
      <c r="C85" s="11" t="s">
        <v>3</v>
      </c>
      <c r="D85" s="11" t="s">
        <v>3</v>
      </c>
      <c r="E85" s="13" t="s">
        <v>3</v>
      </c>
      <c r="F85" s="13" t="s">
        <v>3</v>
      </c>
      <c r="G85" s="10" t="s">
        <v>3</v>
      </c>
      <c r="H85" s="30" t="s">
        <v>3</v>
      </c>
      <c r="I85" s="11" t="s">
        <v>3</v>
      </c>
      <c r="J85" s="14"/>
      <c r="K85" s="15"/>
      <c r="L85" s="15"/>
      <c r="M85" s="15"/>
      <c r="N85" s="15"/>
      <c r="O85" s="48"/>
      <c r="P85" s="15"/>
      <c r="Q85" s="26" t="s">
        <v>3</v>
      </c>
      <c r="R85" s="26" t="s">
        <v>3</v>
      </c>
      <c r="S85" s="11">
        <f>SUM(S51:S84)</f>
        <v>7713965</v>
      </c>
      <c r="T85" s="10" t="s">
        <v>3</v>
      </c>
      <c r="U85" s="22">
        <f>SUM(U36:U84)</f>
        <v>1680021.0797000008</v>
      </c>
      <c r="V85" s="22">
        <f>SUM(V51:V51)</f>
        <v>0</v>
      </c>
      <c r="W85" s="58"/>
      <c r="X85" s="58"/>
      <c r="Y85" s="30"/>
      <c r="Z85" s="36"/>
      <c r="AA85" s="36"/>
    </row>
    <row r="86" spans="2:27" x14ac:dyDescent="0.2">
      <c r="B86" s="16" t="s">
        <v>4</v>
      </c>
      <c r="C86" s="17" t="s">
        <v>5</v>
      </c>
      <c r="D86" s="17" t="s">
        <v>6</v>
      </c>
      <c r="E86" s="18" t="s">
        <v>7</v>
      </c>
      <c r="F86" s="18"/>
      <c r="G86" s="16" t="s">
        <v>8</v>
      </c>
      <c r="H86" s="16" t="s">
        <v>9</v>
      </c>
      <c r="I86" s="17" t="s">
        <v>53</v>
      </c>
      <c r="J86" s="19" t="s">
        <v>10</v>
      </c>
      <c r="K86" s="17" t="s">
        <v>11</v>
      </c>
      <c r="L86" s="17" t="s">
        <v>12</v>
      </c>
      <c r="M86" s="17" t="s">
        <v>13</v>
      </c>
      <c r="N86" s="17" t="s">
        <v>14</v>
      </c>
      <c r="O86" s="47" t="s">
        <v>15</v>
      </c>
      <c r="P86" s="17" t="s">
        <v>16</v>
      </c>
      <c r="Q86" s="20" t="s">
        <v>234</v>
      </c>
      <c r="R86" s="20" t="s">
        <v>233</v>
      </c>
      <c r="S86" s="17" t="s">
        <v>17</v>
      </c>
      <c r="T86" s="16" t="s">
        <v>18</v>
      </c>
      <c r="U86" s="21" t="s">
        <v>52</v>
      </c>
      <c r="V86" s="21" t="s">
        <v>51</v>
      </c>
      <c r="W86" s="57" t="s">
        <v>235</v>
      </c>
      <c r="X86" s="57" t="s">
        <v>236</v>
      </c>
      <c r="Y86" s="62">
        <f>+Y58</f>
        <v>0</v>
      </c>
      <c r="Z86" s="36"/>
      <c r="AA86" s="36"/>
    </row>
    <row r="87" spans="2:27" s="65" customFormat="1" x14ac:dyDescent="0.2">
      <c r="B87" s="1" t="s">
        <v>237</v>
      </c>
      <c r="C87" s="3" t="s">
        <v>37</v>
      </c>
      <c r="D87" s="3" t="s">
        <v>49</v>
      </c>
      <c r="E87" s="4">
        <v>36192</v>
      </c>
      <c r="F87" s="4">
        <v>36556</v>
      </c>
      <c r="G87" s="1" t="s">
        <v>38</v>
      </c>
      <c r="H87" s="1" t="s">
        <v>31</v>
      </c>
      <c r="I87" s="3" t="s">
        <v>148</v>
      </c>
      <c r="J87" s="8">
        <f t="shared" ref="J87:J101" si="9">3.145/J$1</f>
        <v>0.10145161290322581</v>
      </c>
      <c r="K87" s="5">
        <v>1.32E-2</v>
      </c>
      <c r="L87" s="5">
        <v>2.2000000000000001E-3</v>
      </c>
      <c r="M87" s="5">
        <v>0</v>
      </c>
      <c r="N87" s="5">
        <v>0</v>
      </c>
      <c r="O87" s="46">
        <v>2.1160000000000002E-2</v>
      </c>
      <c r="P87" s="5">
        <f t="shared" ref="P87:P101" si="10">SUM(J87:N87)</f>
        <v>0.11685161290322581</v>
      </c>
      <c r="Q87" s="24">
        <v>62741</v>
      </c>
      <c r="R87" s="24">
        <v>62741</v>
      </c>
      <c r="S87" s="3">
        <v>2</v>
      </c>
      <c r="T87" s="1"/>
      <c r="U87" s="9">
        <v>0</v>
      </c>
      <c r="V87" s="9"/>
      <c r="W87" s="59"/>
      <c r="X87" s="59">
        <v>140449</v>
      </c>
      <c r="Y87" s="1" t="s">
        <v>261</v>
      </c>
      <c r="Z87" s="36"/>
      <c r="AA87" s="36"/>
    </row>
    <row r="88" spans="2:27" s="65" customFormat="1" x14ac:dyDescent="0.2">
      <c r="B88" s="1" t="s">
        <v>237</v>
      </c>
      <c r="C88" s="3" t="s">
        <v>37</v>
      </c>
      <c r="D88" s="3" t="s">
        <v>49</v>
      </c>
      <c r="E88" s="4">
        <v>36220</v>
      </c>
      <c r="F88" s="4">
        <v>36584</v>
      </c>
      <c r="G88" s="1" t="s">
        <v>38</v>
      </c>
      <c r="H88" s="1" t="s">
        <v>31</v>
      </c>
      <c r="I88" s="3" t="s">
        <v>148</v>
      </c>
      <c r="J88" s="8">
        <f t="shared" si="9"/>
        <v>0.10145161290322581</v>
      </c>
      <c r="K88" s="5">
        <v>1.32E-2</v>
      </c>
      <c r="L88" s="5">
        <v>2.2000000000000001E-3</v>
      </c>
      <c r="M88" s="5">
        <v>0</v>
      </c>
      <c r="N88" s="5">
        <v>0</v>
      </c>
      <c r="O88" s="46">
        <v>2.1160000000000002E-2</v>
      </c>
      <c r="P88" s="5">
        <f t="shared" si="10"/>
        <v>0.11685161290322581</v>
      </c>
      <c r="Q88" s="24">
        <v>62979</v>
      </c>
      <c r="R88" s="24">
        <v>62979</v>
      </c>
      <c r="S88" s="3">
        <v>2</v>
      </c>
      <c r="T88" s="1"/>
      <c r="U88" s="9">
        <v>0</v>
      </c>
      <c r="V88" s="9"/>
      <c r="W88" s="59"/>
      <c r="X88" s="59">
        <v>156607</v>
      </c>
      <c r="Y88" s="1" t="s">
        <v>261</v>
      </c>
      <c r="Z88" s="36"/>
      <c r="AA88" s="36"/>
    </row>
    <row r="89" spans="2:27" s="65" customFormat="1" x14ac:dyDescent="0.2">
      <c r="B89" s="1" t="s">
        <v>237</v>
      </c>
      <c r="C89" s="3" t="s">
        <v>37</v>
      </c>
      <c r="D89" s="3" t="s">
        <v>149</v>
      </c>
      <c r="E89" s="4">
        <v>36220</v>
      </c>
      <c r="F89" s="4">
        <v>36585</v>
      </c>
      <c r="G89" s="1" t="s">
        <v>38</v>
      </c>
      <c r="H89" s="1" t="s">
        <v>31</v>
      </c>
      <c r="I89" s="3" t="s">
        <v>148</v>
      </c>
      <c r="J89" s="8">
        <f t="shared" si="9"/>
        <v>0.10145161290322581</v>
      </c>
      <c r="K89" s="5">
        <v>1.32E-2</v>
      </c>
      <c r="L89" s="5">
        <v>2.2000000000000001E-3</v>
      </c>
      <c r="M89" s="5">
        <v>0</v>
      </c>
      <c r="N89" s="5">
        <v>0</v>
      </c>
      <c r="O89" s="46">
        <v>2.1160000000000002E-2</v>
      </c>
      <c r="P89" s="5">
        <f t="shared" si="10"/>
        <v>0.11685161290322581</v>
      </c>
      <c r="Q89" s="24">
        <v>62981</v>
      </c>
      <c r="R89" s="24">
        <v>62981</v>
      </c>
      <c r="S89" s="3">
        <v>2</v>
      </c>
      <c r="T89" s="1"/>
      <c r="U89" s="9">
        <v>0</v>
      </c>
      <c r="V89" s="9"/>
      <c r="W89" s="59"/>
      <c r="X89" s="59">
        <v>156609</v>
      </c>
      <c r="Y89" s="1" t="s">
        <v>261</v>
      </c>
      <c r="Z89" s="36"/>
      <c r="AA89" s="36"/>
    </row>
    <row r="90" spans="2:27" s="65" customFormat="1" x14ac:dyDescent="0.2">
      <c r="B90" s="1" t="s">
        <v>237</v>
      </c>
      <c r="C90" s="3" t="s">
        <v>37</v>
      </c>
      <c r="D90" s="3" t="s">
        <v>149</v>
      </c>
      <c r="E90" s="4">
        <v>36251</v>
      </c>
      <c r="F90" s="4">
        <v>36616</v>
      </c>
      <c r="G90" s="1" t="s">
        <v>38</v>
      </c>
      <c r="H90" s="1" t="s">
        <v>31</v>
      </c>
      <c r="I90" s="3" t="s">
        <v>148</v>
      </c>
      <c r="J90" s="8">
        <f t="shared" si="9"/>
        <v>0.10145161290322581</v>
      </c>
      <c r="K90" s="5">
        <v>1.32E-2</v>
      </c>
      <c r="L90" s="5">
        <v>2.2000000000000001E-3</v>
      </c>
      <c r="M90" s="5">
        <v>0</v>
      </c>
      <c r="N90" s="5">
        <v>0</v>
      </c>
      <c r="O90" s="46">
        <v>2.1160000000000002E-2</v>
      </c>
      <c r="P90" s="5">
        <f t="shared" si="10"/>
        <v>0.11685161290322581</v>
      </c>
      <c r="Q90" s="24">
        <v>63285</v>
      </c>
      <c r="R90" s="24">
        <v>63285</v>
      </c>
      <c r="S90" s="3">
        <v>6</v>
      </c>
      <c r="T90" s="1"/>
      <c r="U90" s="9">
        <f t="shared" ref="U90:U102" si="11">J90*J$1*S90</f>
        <v>18.87</v>
      </c>
      <c r="V90" s="9"/>
      <c r="W90" s="59"/>
      <c r="X90" s="59">
        <v>156610</v>
      </c>
      <c r="Y90" s="1"/>
      <c r="Z90" s="36"/>
      <c r="AA90" s="36"/>
    </row>
    <row r="91" spans="2:27" s="65" customFormat="1" x14ac:dyDescent="0.2">
      <c r="B91" s="1" t="s">
        <v>237</v>
      </c>
      <c r="C91" s="3" t="s">
        <v>37</v>
      </c>
      <c r="D91" s="3" t="s">
        <v>49</v>
      </c>
      <c r="E91" s="4">
        <v>36251</v>
      </c>
      <c r="F91" s="4">
        <v>36616</v>
      </c>
      <c r="G91" s="1" t="s">
        <v>38</v>
      </c>
      <c r="H91" s="1" t="s">
        <v>31</v>
      </c>
      <c r="I91" s="3" t="s">
        <v>148</v>
      </c>
      <c r="J91" s="8">
        <f t="shared" si="9"/>
        <v>0.10145161290322581</v>
      </c>
      <c r="K91" s="5">
        <v>1.32E-2</v>
      </c>
      <c r="L91" s="5">
        <v>2.2000000000000001E-3</v>
      </c>
      <c r="M91" s="5">
        <v>0</v>
      </c>
      <c r="N91" s="5">
        <v>0</v>
      </c>
      <c r="O91" s="46">
        <v>2.1160000000000002E-2</v>
      </c>
      <c r="P91" s="5">
        <f t="shared" si="10"/>
        <v>0.11685161290322581</v>
      </c>
      <c r="Q91" s="24">
        <v>63287</v>
      </c>
      <c r="R91" s="24">
        <v>63287</v>
      </c>
      <c r="S91" s="3">
        <v>47</v>
      </c>
      <c r="T91" s="1"/>
      <c r="U91" s="9">
        <f t="shared" si="11"/>
        <v>147.815</v>
      </c>
      <c r="V91" s="9"/>
      <c r="W91" s="59"/>
      <c r="X91" s="59">
        <v>156612</v>
      </c>
      <c r="Y91" s="1"/>
      <c r="Z91" s="36"/>
      <c r="AA91" s="36"/>
    </row>
    <row r="92" spans="2:27" s="65" customFormat="1" x14ac:dyDescent="0.2">
      <c r="B92" s="1" t="s">
        <v>237</v>
      </c>
      <c r="C92" s="3" t="s">
        <v>37</v>
      </c>
      <c r="D92" s="3" t="s">
        <v>149</v>
      </c>
      <c r="E92" s="4">
        <v>36281</v>
      </c>
      <c r="F92" s="4">
        <v>36646</v>
      </c>
      <c r="G92" s="1" t="s">
        <v>38</v>
      </c>
      <c r="H92" s="1" t="s">
        <v>31</v>
      </c>
      <c r="I92" s="3" t="s">
        <v>148</v>
      </c>
      <c r="J92" s="8">
        <f t="shared" si="9"/>
        <v>0.10145161290322581</v>
      </c>
      <c r="K92" s="5">
        <v>1.32E-2</v>
      </c>
      <c r="L92" s="5">
        <v>2.2000000000000001E-3</v>
      </c>
      <c r="M92" s="5">
        <v>0</v>
      </c>
      <c r="N92" s="5">
        <v>0</v>
      </c>
      <c r="O92" s="46">
        <v>2.1160000000000002E-2</v>
      </c>
      <c r="P92" s="5">
        <f t="shared" si="10"/>
        <v>0.11685161290322581</v>
      </c>
      <c r="Q92" s="24">
        <v>63562</v>
      </c>
      <c r="R92" s="24">
        <v>63562</v>
      </c>
      <c r="S92" s="3">
        <v>34</v>
      </c>
      <c r="T92" s="1"/>
      <c r="U92" s="9">
        <f t="shared" si="11"/>
        <v>106.93</v>
      </c>
      <c r="V92" s="9"/>
      <c r="W92" s="59"/>
      <c r="X92" s="59">
        <v>156613</v>
      </c>
      <c r="Y92" s="1"/>
      <c r="Z92" s="36"/>
      <c r="AA92" s="36"/>
    </row>
    <row r="93" spans="2:27" s="65" customFormat="1" x14ac:dyDescent="0.2">
      <c r="B93" s="1" t="s">
        <v>237</v>
      </c>
      <c r="C93" s="3" t="s">
        <v>37</v>
      </c>
      <c r="D93" s="3" t="s">
        <v>149</v>
      </c>
      <c r="E93" s="4">
        <v>36312</v>
      </c>
      <c r="F93" s="4">
        <v>36677</v>
      </c>
      <c r="G93" s="1" t="s">
        <v>38</v>
      </c>
      <c r="H93" s="1" t="s">
        <v>31</v>
      </c>
      <c r="I93" s="3" t="s">
        <v>148</v>
      </c>
      <c r="J93" s="8">
        <f t="shared" si="9"/>
        <v>0.10145161290322581</v>
      </c>
      <c r="K93" s="5">
        <v>1.32E-2</v>
      </c>
      <c r="L93" s="5">
        <v>2.2000000000000001E-3</v>
      </c>
      <c r="M93" s="5">
        <v>0</v>
      </c>
      <c r="N93" s="5">
        <v>0</v>
      </c>
      <c r="O93" s="46">
        <v>2.1160000000000002E-2</v>
      </c>
      <c r="P93" s="5">
        <f t="shared" si="10"/>
        <v>0.11685161290322581</v>
      </c>
      <c r="Q93" s="24">
        <v>63823</v>
      </c>
      <c r="R93" s="24">
        <v>63823</v>
      </c>
      <c r="S93" s="3">
        <v>310</v>
      </c>
      <c r="T93" s="1"/>
      <c r="U93" s="9">
        <f t="shared" si="11"/>
        <v>974.95</v>
      </c>
      <c r="V93" s="9"/>
      <c r="W93" s="59"/>
      <c r="X93" s="59">
        <v>156615</v>
      </c>
      <c r="Y93" s="1"/>
      <c r="Z93" s="36"/>
      <c r="AA93" s="36"/>
    </row>
    <row r="94" spans="2:27" s="65" customFormat="1" x14ac:dyDescent="0.2">
      <c r="B94" s="1" t="s">
        <v>237</v>
      </c>
      <c r="C94" s="3" t="s">
        <v>37</v>
      </c>
      <c r="D94" s="3" t="s">
        <v>49</v>
      </c>
      <c r="E94" s="4">
        <v>36312</v>
      </c>
      <c r="F94" s="4">
        <v>36677</v>
      </c>
      <c r="G94" s="1" t="s">
        <v>38</v>
      </c>
      <c r="H94" s="1" t="s">
        <v>31</v>
      </c>
      <c r="I94" s="3" t="s">
        <v>148</v>
      </c>
      <c r="J94" s="8">
        <f t="shared" si="9"/>
        <v>0.10145161290322581</v>
      </c>
      <c r="K94" s="5">
        <v>1.32E-2</v>
      </c>
      <c r="L94" s="5">
        <v>2.2000000000000001E-3</v>
      </c>
      <c r="M94" s="5">
        <v>0</v>
      </c>
      <c r="N94" s="5">
        <v>0</v>
      </c>
      <c r="O94" s="46">
        <v>2.1160000000000002E-2</v>
      </c>
      <c r="P94" s="5">
        <f t="shared" si="10"/>
        <v>0.11685161290322581</v>
      </c>
      <c r="Q94" s="24">
        <v>63826</v>
      </c>
      <c r="R94" s="24">
        <v>63826</v>
      </c>
      <c r="S94" s="3">
        <v>218</v>
      </c>
      <c r="T94" s="1"/>
      <c r="U94" s="9">
        <f t="shared" si="11"/>
        <v>685.61</v>
      </c>
      <c r="V94" s="9"/>
      <c r="W94" s="59"/>
      <c r="X94" s="59">
        <v>156617</v>
      </c>
      <c r="Y94" s="1"/>
      <c r="Z94" s="36"/>
      <c r="AA94" s="36"/>
    </row>
    <row r="95" spans="2:27" s="65" customFormat="1" x14ac:dyDescent="0.2">
      <c r="B95" s="1" t="s">
        <v>237</v>
      </c>
      <c r="C95" s="3" t="s">
        <v>37</v>
      </c>
      <c r="D95" s="3" t="s">
        <v>49</v>
      </c>
      <c r="E95" s="4">
        <v>36342</v>
      </c>
      <c r="F95" s="4">
        <v>36707</v>
      </c>
      <c r="G95" s="1" t="s">
        <v>38</v>
      </c>
      <c r="H95" s="1" t="s">
        <v>31</v>
      </c>
      <c r="I95" s="3" t="s">
        <v>148</v>
      </c>
      <c r="J95" s="8">
        <f t="shared" si="9"/>
        <v>0.10145161290322581</v>
      </c>
      <c r="K95" s="5">
        <v>1.32E-2</v>
      </c>
      <c r="L95" s="5">
        <v>2.2000000000000001E-3</v>
      </c>
      <c r="M95" s="5">
        <v>0</v>
      </c>
      <c r="N95" s="5">
        <v>0</v>
      </c>
      <c r="O95" s="46">
        <v>2.1160000000000002E-2</v>
      </c>
      <c r="P95" s="5">
        <f t="shared" si="10"/>
        <v>0.11685161290322581</v>
      </c>
      <c r="Q95" s="24">
        <v>64033</v>
      </c>
      <c r="R95" s="24">
        <v>64033</v>
      </c>
      <c r="S95" s="3">
        <v>1</v>
      </c>
      <c r="T95" s="1"/>
      <c r="U95" s="9">
        <f t="shared" si="11"/>
        <v>3.145</v>
      </c>
      <c r="V95" s="9"/>
      <c r="W95" s="59"/>
      <c r="X95" s="59">
        <v>156618</v>
      </c>
      <c r="Y95" s="1"/>
      <c r="Z95" s="36"/>
      <c r="AA95" s="36"/>
    </row>
    <row r="96" spans="2:27" s="65" customFormat="1" x14ac:dyDescent="0.2">
      <c r="B96" s="1" t="s">
        <v>237</v>
      </c>
      <c r="C96" s="3" t="s">
        <v>37</v>
      </c>
      <c r="D96" s="3" t="s">
        <v>149</v>
      </c>
      <c r="E96" s="4">
        <v>36342</v>
      </c>
      <c r="F96" s="4">
        <v>36707</v>
      </c>
      <c r="G96" s="1" t="s">
        <v>38</v>
      </c>
      <c r="H96" s="1" t="s">
        <v>31</v>
      </c>
      <c r="I96" s="3" t="s">
        <v>148</v>
      </c>
      <c r="J96" s="8">
        <f t="shared" si="9"/>
        <v>0.10145161290322581</v>
      </c>
      <c r="K96" s="5">
        <v>1.32E-2</v>
      </c>
      <c r="L96" s="5">
        <v>2.2000000000000001E-3</v>
      </c>
      <c r="M96" s="5">
        <v>0</v>
      </c>
      <c r="N96" s="5">
        <v>0</v>
      </c>
      <c r="O96" s="46">
        <v>2.1160000000000002E-2</v>
      </c>
      <c r="P96" s="5">
        <f t="shared" si="10"/>
        <v>0.11685161290322581</v>
      </c>
      <c r="Q96" s="24">
        <v>64035</v>
      </c>
      <c r="R96" s="24">
        <v>64035</v>
      </c>
      <c r="S96" s="3">
        <v>931</v>
      </c>
      <c r="T96" s="1"/>
      <c r="U96" s="9">
        <f t="shared" si="11"/>
        <v>2927.9949999999999</v>
      </c>
      <c r="V96" s="9"/>
      <c r="W96" s="59"/>
      <c r="X96" s="59">
        <v>156620</v>
      </c>
      <c r="Y96" s="1"/>
      <c r="Z96" s="36"/>
      <c r="AA96" s="36"/>
    </row>
    <row r="97" spans="2:27" s="65" customFormat="1" x14ac:dyDescent="0.2">
      <c r="B97" s="1" t="s">
        <v>237</v>
      </c>
      <c r="C97" s="3" t="s">
        <v>37</v>
      </c>
      <c r="D97" s="3" t="s">
        <v>49</v>
      </c>
      <c r="E97" s="4">
        <v>36373</v>
      </c>
      <c r="F97" s="4">
        <v>36738</v>
      </c>
      <c r="G97" s="1" t="s">
        <v>38</v>
      </c>
      <c r="H97" s="1" t="s">
        <v>31</v>
      </c>
      <c r="I97" s="3" t="s">
        <v>148</v>
      </c>
      <c r="J97" s="8">
        <f t="shared" si="9"/>
        <v>0.10145161290322581</v>
      </c>
      <c r="K97" s="5">
        <v>1.32E-2</v>
      </c>
      <c r="L97" s="5">
        <v>2.2000000000000001E-3</v>
      </c>
      <c r="M97" s="5">
        <v>0</v>
      </c>
      <c r="N97" s="5">
        <v>0</v>
      </c>
      <c r="O97" s="46">
        <v>2.1160000000000002E-2</v>
      </c>
      <c r="P97" s="5">
        <f t="shared" si="10"/>
        <v>0.11685161290322581</v>
      </c>
      <c r="Q97" s="24">
        <v>64332</v>
      </c>
      <c r="R97" s="24">
        <v>64332</v>
      </c>
      <c r="S97" s="3">
        <v>12</v>
      </c>
      <c r="T97" s="1"/>
      <c r="U97" s="9">
        <f t="shared" si="11"/>
        <v>37.74</v>
      </c>
      <c r="V97" s="9"/>
      <c r="W97" s="59"/>
      <c r="X97" s="59">
        <v>156621</v>
      </c>
      <c r="Y97" s="1"/>
      <c r="Z97" s="36"/>
      <c r="AA97" s="36"/>
    </row>
    <row r="98" spans="2:27" s="65" customFormat="1" x14ac:dyDescent="0.2">
      <c r="B98" s="1" t="s">
        <v>237</v>
      </c>
      <c r="C98" s="3" t="s">
        <v>37</v>
      </c>
      <c r="D98" s="3" t="s">
        <v>149</v>
      </c>
      <c r="E98" s="4">
        <v>36373</v>
      </c>
      <c r="F98" s="4">
        <v>36738</v>
      </c>
      <c r="G98" s="1" t="s">
        <v>38</v>
      </c>
      <c r="H98" s="1" t="s">
        <v>31</v>
      </c>
      <c r="I98" s="3" t="s">
        <v>148</v>
      </c>
      <c r="J98" s="8">
        <f t="shared" si="9"/>
        <v>0.10145161290322581</v>
      </c>
      <c r="K98" s="5">
        <v>1.32E-2</v>
      </c>
      <c r="L98" s="5">
        <v>2.2000000000000001E-3</v>
      </c>
      <c r="M98" s="5">
        <v>0</v>
      </c>
      <c r="N98" s="5">
        <v>0</v>
      </c>
      <c r="O98" s="46">
        <v>2.1160000000000002E-2</v>
      </c>
      <c r="P98" s="5">
        <f t="shared" si="10"/>
        <v>0.11685161290322581</v>
      </c>
      <c r="Q98" s="24">
        <v>64334</v>
      </c>
      <c r="R98" s="24">
        <v>64334</v>
      </c>
      <c r="S98" s="3">
        <v>52</v>
      </c>
      <c r="T98" s="1"/>
      <c r="U98" s="9">
        <f t="shared" si="11"/>
        <v>163.54</v>
      </c>
      <c r="V98" s="9"/>
      <c r="W98" s="59">
        <v>221878</v>
      </c>
      <c r="X98" s="59"/>
      <c r="Y98" s="1"/>
      <c r="Z98" s="36"/>
      <c r="AA98" s="36"/>
    </row>
    <row r="99" spans="2:27" s="65" customFormat="1" x14ac:dyDescent="0.2">
      <c r="B99" s="1" t="s">
        <v>237</v>
      </c>
      <c r="C99" s="3" t="s">
        <v>37</v>
      </c>
      <c r="D99" s="3"/>
      <c r="E99" s="4">
        <v>36373</v>
      </c>
      <c r="F99" s="4">
        <v>36738</v>
      </c>
      <c r="G99" s="1" t="s">
        <v>38</v>
      </c>
      <c r="H99" s="1" t="s">
        <v>434</v>
      </c>
      <c r="I99" s="3" t="s">
        <v>148</v>
      </c>
      <c r="J99" s="8">
        <f t="shared" si="9"/>
        <v>0.10145161290322581</v>
      </c>
      <c r="K99" s="5">
        <v>1.32E-2</v>
      </c>
      <c r="L99" s="5">
        <v>2.2000000000000001E-3</v>
      </c>
      <c r="M99" s="5">
        <v>0</v>
      </c>
      <c r="N99" s="5">
        <v>0</v>
      </c>
      <c r="O99" s="46">
        <v>2.1160000000000002E-2</v>
      </c>
      <c r="P99" s="5">
        <f>SUM(J99:N99)</f>
        <v>0.11685161290322581</v>
      </c>
      <c r="Q99" s="24">
        <v>64446</v>
      </c>
      <c r="R99" s="24"/>
      <c r="S99" s="3">
        <v>142</v>
      </c>
      <c r="T99" s="1"/>
      <c r="U99" s="9">
        <f>J99*J$1*S99</f>
        <v>446.59</v>
      </c>
      <c r="V99" s="9"/>
      <c r="W99" s="59">
        <v>221881</v>
      </c>
      <c r="X99" s="59"/>
      <c r="Y99" s="1"/>
      <c r="Z99" s="36"/>
      <c r="AA99" s="36"/>
    </row>
    <row r="100" spans="2:27" s="65" customFormat="1" x14ac:dyDescent="0.2">
      <c r="B100" s="1" t="s">
        <v>237</v>
      </c>
      <c r="C100" s="3" t="s">
        <v>37</v>
      </c>
      <c r="D100" s="3" t="s">
        <v>49</v>
      </c>
      <c r="E100" s="4">
        <v>36404</v>
      </c>
      <c r="F100" s="4">
        <v>36769</v>
      </c>
      <c r="G100" s="1" t="s">
        <v>38</v>
      </c>
      <c r="H100" s="1" t="s">
        <v>31</v>
      </c>
      <c r="I100" s="3" t="s">
        <v>148</v>
      </c>
      <c r="J100" s="8">
        <f t="shared" si="9"/>
        <v>0.10145161290322581</v>
      </c>
      <c r="K100" s="5">
        <v>1.32E-2</v>
      </c>
      <c r="L100" s="5">
        <v>2.2000000000000001E-3</v>
      </c>
      <c r="M100" s="5">
        <v>0</v>
      </c>
      <c r="N100" s="5">
        <v>0</v>
      </c>
      <c r="O100" s="46">
        <v>2.1160000000000002E-2</v>
      </c>
      <c r="P100" s="5">
        <f t="shared" si="10"/>
        <v>0.11685161290322581</v>
      </c>
      <c r="Q100" s="24">
        <v>64652</v>
      </c>
      <c r="R100" s="24">
        <v>64652</v>
      </c>
      <c r="S100" s="3">
        <v>65</v>
      </c>
      <c r="T100" s="1"/>
      <c r="U100" s="9">
        <f t="shared" si="11"/>
        <v>204.42500000000001</v>
      </c>
      <c r="V100" s="9"/>
      <c r="W100" s="59"/>
      <c r="X100" s="59">
        <v>156623</v>
      </c>
      <c r="Y100" s="1"/>
      <c r="Z100" s="36"/>
      <c r="AA100" s="36"/>
    </row>
    <row r="101" spans="2:27" s="65" customFormat="1" x14ac:dyDescent="0.2">
      <c r="B101" s="1" t="s">
        <v>237</v>
      </c>
      <c r="C101" s="3" t="s">
        <v>37</v>
      </c>
      <c r="D101" s="3" t="s">
        <v>49</v>
      </c>
      <c r="E101" s="4">
        <v>36434</v>
      </c>
      <c r="F101" s="4">
        <v>36799</v>
      </c>
      <c r="G101" s="1" t="s">
        <v>38</v>
      </c>
      <c r="H101" s="1" t="s">
        <v>31</v>
      </c>
      <c r="I101" s="3" t="s">
        <v>148</v>
      </c>
      <c r="J101" s="8">
        <f t="shared" si="9"/>
        <v>0.10145161290322581</v>
      </c>
      <c r="K101" s="5">
        <v>1.32E-2</v>
      </c>
      <c r="L101" s="5">
        <v>2.2000000000000001E-3</v>
      </c>
      <c r="M101" s="5">
        <v>0</v>
      </c>
      <c r="N101" s="5">
        <v>0</v>
      </c>
      <c r="O101" s="46">
        <v>2.1160000000000002E-2</v>
      </c>
      <c r="P101" s="5">
        <f t="shared" si="10"/>
        <v>0.11685161290322581</v>
      </c>
      <c r="Q101" s="24">
        <v>64863</v>
      </c>
      <c r="R101" s="24">
        <v>64863</v>
      </c>
      <c r="S101" s="3">
        <v>13</v>
      </c>
      <c r="T101" s="1"/>
      <c r="U101" s="9">
        <f t="shared" si="11"/>
        <v>40.884999999999998</v>
      </c>
      <c r="V101" s="9"/>
      <c r="W101" s="59"/>
      <c r="X101" s="59">
        <v>156625</v>
      </c>
      <c r="Y101" s="1"/>
      <c r="Z101" s="36"/>
      <c r="AA101" s="36"/>
    </row>
    <row r="102" spans="2:27" s="65" customFormat="1" x14ac:dyDescent="0.2">
      <c r="B102" s="1" t="s">
        <v>237</v>
      </c>
      <c r="C102" s="3" t="s">
        <v>37</v>
      </c>
      <c r="D102" s="3" t="s">
        <v>49</v>
      </c>
      <c r="E102" s="4">
        <v>36465</v>
      </c>
      <c r="F102" s="4">
        <v>36830</v>
      </c>
      <c r="G102" s="1" t="s">
        <v>38</v>
      </c>
      <c r="H102" s="1" t="s">
        <v>31</v>
      </c>
      <c r="I102" s="3" t="s">
        <v>148</v>
      </c>
      <c r="J102" s="8">
        <f>3.145/J$1</f>
        <v>0.10145161290322581</v>
      </c>
      <c r="K102" s="5">
        <v>1.32E-2</v>
      </c>
      <c r="L102" s="5">
        <v>2.2000000000000001E-3</v>
      </c>
      <c r="M102" s="5">
        <v>0</v>
      </c>
      <c r="N102" s="5">
        <v>0</v>
      </c>
      <c r="O102" s="46">
        <v>2.1160000000000002E-2</v>
      </c>
      <c r="P102" s="5">
        <f>SUM(J102:N102)</f>
        <v>0.11685161290322581</v>
      </c>
      <c r="Q102" s="24">
        <v>65027</v>
      </c>
      <c r="R102" s="24">
        <v>65027</v>
      </c>
      <c r="S102" s="3">
        <v>131</v>
      </c>
      <c r="T102" s="1" t="s">
        <v>44</v>
      </c>
      <c r="U102" s="9">
        <f t="shared" si="11"/>
        <v>411.995</v>
      </c>
      <c r="V102" s="9"/>
      <c r="W102" s="59"/>
      <c r="X102" s="59">
        <v>156666</v>
      </c>
      <c r="Y102" s="1" t="s">
        <v>43</v>
      </c>
      <c r="Z102" s="36"/>
      <c r="AA102" s="36"/>
    </row>
    <row r="103" spans="2:27" s="65" customFormat="1" x14ac:dyDescent="0.2">
      <c r="B103" s="1" t="s">
        <v>237</v>
      </c>
      <c r="C103" s="3" t="s">
        <v>37</v>
      </c>
      <c r="D103" s="3" t="s">
        <v>49</v>
      </c>
      <c r="E103" s="4">
        <v>36495</v>
      </c>
      <c r="F103" s="4">
        <v>36860</v>
      </c>
      <c r="G103" s="1" t="s">
        <v>38</v>
      </c>
      <c r="H103" s="1" t="s">
        <v>31</v>
      </c>
      <c r="I103" s="3" t="s">
        <v>148</v>
      </c>
      <c r="J103" s="8">
        <f>3.145/J$1</f>
        <v>0.10145161290322581</v>
      </c>
      <c r="K103" s="5">
        <v>1.32E-2</v>
      </c>
      <c r="L103" s="5">
        <v>2.2000000000000001E-3</v>
      </c>
      <c r="M103" s="5">
        <v>0</v>
      </c>
      <c r="N103" s="5">
        <v>0</v>
      </c>
      <c r="O103" s="46">
        <v>2.1160000000000002E-2</v>
      </c>
      <c r="P103" s="5">
        <f>SUM(J103:N103)</f>
        <v>0.11685161290322581</v>
      </c>
      <c r="Q103" s="24">
        <v>65557</v>
      </c>
      <c r="R103" s="24">
        <v>65557</v>
      </c>
      <c r="S103" s="3">
        <v>3</v>
      </c>
      <c r="T103" s="1"/>
      <c r="U103" s="9">
        <f>J103*J$1*S103</f>
        <v>9.4350000000000005</v>
      </c>
      <c r="V103" s="9"/>
      <c r="W103" s="59"/>
      <c r="X103" s="59">
        <v>156669</v>
      </c>
      <c r="Y103" s="1"/>
      <c r="Z103" s="36"/>
      <c r="AA103" s="36"/>
    </row>
    <row r="104" spans="2:27" s="99" customFormat="1" x14ac:dyDescent="0.2">
      <c r="B104" s="42" t="s">
        <v>237</v>
      </c>
      <c r="C104" s="85" t="s">
        <v>37</v>
      </c>
      <c r="D104" s="85" t="s">
        <v>136</v>
      </c>
      <c r="E104" s="86">
        <v>36586</v>
      </c>
      <c r="F104" s="86">
        <v>36616</v>
      </c>
      <c r="G104" s="42" t="s">
        <v>284</v>
      </c>
      <c r="H104" s="42" t="s">
        <v>285</v>
      </c>
      <c r="I104" s="85" t="s">
        <v>150</v>
      </c>
      <c r="J104" s="88">
        <f>1.0603/31</f>
        <v>3.4203225806451611E-2</v>
      </c>
      <c r="K104" s="89">
        <v>0</v>
      </c>
      <c r="L104" s="89">
        <v>2.2000000000000001E-3</v>
      </c>
      <c r="M104" s="89">
        <v>7.1999999999999998E-3</v>
      </c>
      <c r="N104" s="89">
        <v>0</v>
      </c>
      <c r="O104" s="90">
        <v>0</v>
      </c>
      <c r="P104" s="89">
        <f>SUM(J104:N104)</f>
        <v>4.3603225806451609E-2</v>
      </c>
      <c r="Q104" s="91">
        <v>66680</v>
      </c>
      <c r="R104" s="91">
        <v>66386</v>
      </c>
      <c r="S104" s="85">
        <v>176</v>
      </c>
      <c r="T104" s="42"/>
      <c r="U104" s="93">
        <f>J104*J$1*S104</f>
        <v>186.61279999999999</v>
      </c>
      <c r="V104" s="93"/>
      <c r="W104" s="94">
        <v>205613</v>
      </c>
      <c r="X104" s="94">
        <v>158501</v>
      </c>
      <c r="Y104" s="42" t="s">
        <v>329</v>
      </c>
      <c r="Z104" s="98"/>
      <c r="AA104" s="98"/>
    </row>
    <row r="105" spans="2:27" s="99" customFormat="1" x14ac:dyDescent="0.2">
      <c r="B105" s="42" t="s">
        <v>237</v>
      </c>
      <c r="C105" s="85" t="s">
        <v>37</v>
      </c>
      <c r="D105" s="85" t="s">
        <v>136</v>
      </c>
      <c r="E105" s="86">
        <v>36586</v>
      </c>
      <c r="F105" s="86">
        <v>36616</v>
      </c>
      <c r="G105" s="42" t="s">
        <v>38</v>
      </c>
      <c r="H105" s="42" t="s">
        <v>31</v>
      </c>
      <c r="I105" s="85" t="s">
        <v>148</v>
      </c>
      <c r="J105" s="88">
        <f>3.145/31</f>
        <v>0.10145161290322581</v>
      </c>
      <c r="K105" s="89">
        <v>0</v>
      </c>
      <c r="L105" s="89">
        <v>2.2000000000000001E-3</v>
      </c>
      <c r="M105" s="89">
        <v>7.1999999999999998E-3</v>
      </c>
      <c r="N105" s="89">
        <v>0</v>
      </c>
      <c r="O105" s="90">
        <v>0</v>
      </c>
      <c r="P105" s="89">
        <f>SUM(J105:N105)</f>
        <v>0.1108516129032258</v>
      </c>
      <c r="Q105" s="91">
        <v>66681</v>
      </c>
      <c r="R105" s="91">
        <v>66385</v>
      </c>
      <c r="S105" s="85">
        <v>171</v>
      </c>
      <c r="T105" s="42"/>
      <c r="U105" s="93">
        <f>J105*J$1*S105</f>
        <v>537.79499999999996</v>
      </c>
      <c r="V105" s="93"/>
      <c r="W105" s="94">
        <v>205609</v>
      </c>
      <c r="X105" s="94">
        <v>158507</v>
      </c>
      <c r="Y105" s="42" t="s">
        <v>330</v>
      </c>
      <c r="Z105" s="98"/>
      <c r="AA105" s="98"/>
    </row>
    <row r="106" spans="2:27" s="65" customFormat="1" x14ac:dyDescent="0.2">
      <c r="B106" s="1" t="s">
        <v>237</v>
      </c>
      <c r="C106" s="3" t="s">
        <v>37</v>
      </c>
      <c r="D106" s="3" t="s">
        <v>49</v>
      </c>
      <c r="E106" s="4">
        <v>36557</v>
      </c>
      <c r="F106" s="4">
        <v>36922</v>
      </c>
      <c r="G106" s="1" t="s">
        <v>38</v>
      </c>
      <c r="H106" s="1" t="s">
        <v>31</v>
      </c>
      <c r="I106" s="3" t="s">
        <v>148</v>
      </c>
      <c r="J106" s="8">
        <f>3.145/31</f>
        <v>0.10145161290322581</v>
      </c>
      <c r="K106" s="5"/>
      <c r="L106" s="5"/>
      <c r="M106" s="5"/>
      <c r="N106" s="5"/>
      <c r="O106" s="46"/>
      <c r="P106" s="5"/>
      <c r="Q106" s="24">
        <v>66283</v>
      </c>
      <c r="R106" s="24"/>
      <c r="S106" s="3">
        <v>5</v>
      </c>
      <c r="T106" s="1"/>
      <c r="U106" s="146">
        <f>+J106*S106*31</f>
        <v>15.725000000000001</v>
      </c>
      <c r="V106" s="9"/>
      <c r="W106" s="59"/>
      <c r="X106" s="59">
        <v>156674</v>
      </c>
      <c r="Y106" s="1"/>
      <c r="Z106" s="36"/>
      <c r="AA106" s="36"/>
    </row>
    <row r="107" spans="2:27" s="99" customFormat="1" x14ac:dyDescent="0.2">
      <c r="B107" s="42" t="s">
        <v>237</v>
      </c>
      <c r="C107" s="85" t="s">
        <v>37</v>
      </c>
      <c r="D107" s="85" t="s">
        <v>49</v>
      </c>
      <c r="E107" s="86">
        <v>36586</v>
      </c>
      <c r="F107" s="86">
        <v>36950</v>
      </c>
      <c r="G107" s="42" t="s">
        <v>38</v>
      </c>
      <c r="H107" s="42" t="s">
        <v>31</v>
      </c>
      <c r="I107" s="85" t="s">
        <v>148</v>
      </c>
      <c r="J107" s="88">
        <v>3.145</v>
      </c>
      <c r="K107" s="89"/>
      <c r="L107" s="89"/>
      <c r="M107" s="89"/>
      <c r="N107" s="89"/>
      <c r="O107" s="90"/>
      <c r="P107" s="89"/>
      <c r="Q107" s="91">
        <v>66682</v>
      </c>
      <c r="R107" s="91"/>
      <c r="S107" s="85">
        <v>9</v>
      </c>
      <c r="T107" s="42"/>
      <c r="U107" s="93">
        <f>+J107*S107</f>
        <v>28.305</v>
      </c>
      <c r="V107" s="93"/>
      <c r="W107" s="94">
        <v>205604</v>
      </c>
      <c r="X107" s="94"/>
      <c r="Y107" s="42" t="s">
        <v>331</v>
      </c>
      <c r="Z107" s="98"/>
      <c r="AA107" s="98"/>
    </row>
    <row r="109" spans="2:27" s="65" customFormat="1" x14ac:dyDescent="0.2">
      <c r="B109" s="1"/>
      <c r="C109" s="3"/>
      <c r="D109" s="3"/>
      <c r="E109" s="4"/>
      <c r="F109" s="4"/>
      <c r="G109" s="1"/>
      <c r="H109" s="1"/>
      <c r="I109" s="3"/>
      <c r="J109" s="8"/>
      <c r="K109" s="5"/>
      <c r="L109" s="5"/>
      <c r="M109" s="5"/>
      <c r="N109" s="5"/>
      <c r="O109" s="46"/>
      <c r="P109" s="5"/>
      <c r="Q109" s="24"/>
      <c r="R109" s="24"/>
      <c r="S109" s="3"/>
      <c r="T109" s="1"/>
      <c r="U109" s="9"/>
      <c r="V109" s="9"/>
      <c r="W109" s="59"/>
      <c r="X109" s="59"/>
      <c r="Y109" s="1"/>
      <c r="Z109" s="36"/>
      <c r="AA109" s="36"/>
    </row>
    <row r="110" spans="2:27" x14ac:dyDescent="0.2">
      <c r="B110" s="1"/>
      <c r="C110" s="3"/>
      <c r="D110" s="3"/>
      <c r="E110" s="4"/>
      <c r="F110" s="4"/>
      <c r="G110" s="1"/>
      <c r="H110" s="1"/>
      <c r="I110" s="3"/>
      <c r="J110" s="8"/>
      <c r="K110" s="5"/>
      <c r="L110" s="23"/>
      <c r="M110" s="5"/>
      <c r="N110" s="5"/>
      <c r="O110" s="46"/>
      <c r="P110" s="5"/>
      <c r="Q110" s="24"/>
      <c r="R110" s="24"/>
      <c r="S110" s="2">
        <f>SUM(S87:S105)</f>
        <v>2318</v>
      </c>
      <c r="T110" s="3"/>
      <c r="U110" s="9">
        <f>SUM(U87:U109)</f>
        <v>6948.3628000000017</v>
      </c>
      <c r="V110" s="9"/>
      <c r="W110" s="59"/>
      <c r="X110" s="59"/>
      <c r="Y110" s="1"/>
      <c r="Z110" s="36"/>
      <c r="AA110" s="36"/>
    </row>
    <row r="111" spans="2:27" x14ac:dyDescent="0.2">
      <c r="B111" s="16" t="s">
        <v>4</v>
      </c>
      <c r="C111" s="17" t="s">
        <v>5</v>
      </c>
      <c r="D111" s="17" t="s">
        <v>6</v>
      </c>
      <c r="E111" s="18" t="s">
        <v>7</v>
      </c>
      <c r="F111" s="18"/>
      <c r="G111" s="16" t="s">
        <v>8</v>
      </c>
      <c r="H111" s="16" t="s">
        <v>9</v>
      </c>
      <c r="I111" s="17" t="s">
        <v>53</v>
      </c>
      <c r="J111" s="19" t="s">
        <v>10</v>
      </c>
      <c r="K111" s="17" t="s">
        <v>11</v>
      </c>
      <c r="L111" s="17" t="s">
        <v>12</v>
      </c>
      <c r="M111" s="17" t="s">
        <v>13</v>
      </c>
      <c r="N111" s="17" t="s">
        <v>14</v>
      </c>
      <c r="O111" s="47" t="s">
        <v>15</v>
      </c>
      <c r="P111" s="17" t="s">
        <v>16</v>
      </c>
      <c r="Q111" s="20" t="s">
        <v>234</v>
      </c>
      <c r="R111" s="20" t="s">
        <v>233</v>
      </c>
      <c r="S111" s="17" t="s">
        <v>17</v>
      </c>
      <c r="T111" s="16" t="s">
        <v>18</v>
      </c>
      <c r="U111" s="21" t="s">
        <v>52</v>
      </c>
      <c r="V111" s="21" t="s">
        <v>51</v>
      </c>
      <c r="W111" s="57" t="s">
        <v>235</v>
      </c>
      <c r="X111" s="57" t="s">
        <v>236</v>
      </c>
      <c r="Y111" s="62">
        <f>+Y62</f>
        <v>0</v>
      </c>
      <c r="Z111" s="36"/>
      <c r="AA111" s="36"/>
    </row>
    <row r="112" spans="2:27" s="65" customFormat="1" ht="12" customHeight="1" x14ac:dyDescent="0.2">
      <c r="B112" s="1" t="s">
        <v>237</v>
      </c>
      <c r="C112" s="3" t="s">
        <v>384</v>
      </c>
      <c r="D112" s="3" t="s">
        <v>312</v>
      </c>
      <c r="E112" s="4">
        <v>35612</v>
      </c>
      <c r="F112" s="4">
        <v>37437</v>
      </c>
      <c r="G112" s="29" t="s">
        <v>385</v>
      </c>
      <c r="H112" s="1" t="s">
        <v>386</v>
      </c>
      <c r="I112" s="3" t="s">
        <v>57</v>
      </c>
      <c r="J112" s="88">
        <f>+(5.6195+1.3875+0.2)/J$1</f>
        <v>0.23248387096774195</v>
      </c>
      <c r="K112" s="5">
        <v>0</v>
      </c>
      <c r="L112" s="5">
        <v>2.2000000000000001E-3</v>
      </c>
      <c r="M112" s="5">
        <v>7.1999999999999998E-3</v>
      </c>
      <c r="N112" s="5">
        <v>0</v>
      </c>
      <c r="O112" s="46">
        <v>0</v>
      </c>
      <c r="P112" s="5">
        <f>SUM(J112:N112)</f>
        <v>0.24188387096774197</v>
      </c>
      <c r="Q112" s="24">
        <v>270</v>
      </c>
      <c r="R112" s="24"/>
      <c r="S112" s="3">
        <v>1000</v>
      </c>
      <c r="T112" s="1"/>
      <c r="U112" s="9">
        <f>J112*J$1*S112</f>
        <v>7207.0000000000009</v>
      </c>
      <c r="V112" s="9"/>
      <c r="W112" s="59">
        <v>149901</v>
      </c>
      <c r="X112" s="59"/>
      <c r="Y112" s="1"/>
      <c r="Z112" s="36"/>
      <c r="AA112" s="36"/>
    </row>
    <row r="113" spans="1:27" s="65" customFormat="1" ht="12" customHeight="1" x14ac:dyDescent="0.2">
      <c r="B113" s="1"/>
      <c r="C113" s="3"/>
      <c r="D113" s="3"/>
      <c r="E113" s="4"/>
      <c r="F113" s="4"/>
      <c r="G113" s="29"/>
      <c r="H113" s="29"/>
      <c r="I113" s="3"/>
      <c r="J113" s="8"/>
      <c r="K113" s="5"/>
      <c r="L113" s="5"/>
      <c r="M113" s="5"/>
      <c r="N113" s="5"/>
      <c r="O113" s="46"/>
      <c r="P113" s="5"/>
      <c r="Q113" s="24"/>
      <c r="R113" s="24"/>
      <c r="S113" s="3"/>
      <c r="T113" s="1"/>
      <c r="U113" s="9">
        <f>SUM(U112)</f>
        <v>7207.0000000000009</v>
      </c>
      <c r="V113" s="9"/>
      <c r="W113" s="59"/>
      <c r="X113" s="59"/>
      <c r="Y113" s="1"/>
      <c r="Z113" s="36"/>
      <c r="AA113" s="36"/>
    </row>
    <row r="114" spans="1:27" x14ac:dyDescent="0.2">
      <c r="B114" s="16" t="s">
        <v>4</v>
      </c>
      <c r="C114" s="17" t="s">
        <v>5</v>
      </c>
      <c r="D114" s="17" t="s">
        <v>6</v>
      </c>
      <c r="E114" s="18" t="s">
        <v>7</v>
      </c>
      <c r="F114" s="18"/>
      <c r="G114" s="16" t="s">
        <v>8</v>
      </c>
      <c r="H114" s="16" t="s">
        <v>9</v>
      </c>
      <c r="I114" s="17" t="s">
        <v>53</v>
      </c>
      <c r="J114" s="19" t="s">
        <v>10</v>
      </c>
      <c r="K114" s="17" t="s">
        <v>11</v>
      </c>
      <c r="L114" s="17" t="s">
        <v>12</v>
      </c>
      <c r="M114" s="17" t="s">
        <v>13</v>
      </c>
      <c r="N114" s="17" t="s">
        <v>14</v>
      </c>
      <c r="O114" s="47" t="s">
        <v>15</v>
      </c>
      <c r="P114" s="17" t="s">
        <v>16</v>
      </c>
      <c r="Q114" s="20" t="s">
        <v>234</v>
      </c>
      <c r="R114" s="20" t="s">
        <v>233</v>
      </c>
      <c r="S114" s="17" t="s">
        <v>17</v>
      </c>
      <c r="T114" s="16" t="s">
        <v>18</v>
      </c>
      <c r="U114" s="21" t="s">
        <v>52</v>
      </c>
      <c r="V114" s="21" t="s">
        <v>51</v>
      </c>
      <c r="W114" s="57" t="s">
        <v>235</v>
      </c>
      <c r="X114" s="57" t="s">
        <v>236</v>
      </c>
      <c r="Y114" s="62">
        <f>+Y65</f>
        <v>0</v>
      </c>
      <c r="Z114" s="36"/>
      <c r="AA114" s="36"/>
    </row>
    <row r="115" spans="1:27" s="99" customFormat="1" ht="12" customHeight="1" x14ac:dyDescent="0.2">
      <c r="B115" s="42" t="s">
        <v>237</v>
      </c>
      <c r="C115" s="85" t="s">
        <v>280</v>
      </c>
      <c r="D115" s="85" t="s">
        <v>281</v>
      </c>
      <c r="E115" s="86">
        <v>36586</v>
      </c>
      <c r="F115" s="86">
        <v>36616</v>
      </c>
      <c r="G115" s="87"/>
      <c r="H115" s="87"/>
      <c r="I115" s="85" t="s">
        <v>282</v>
      </c>
      <c r="J115" s="88">
        <v>3.0259999999999999E-2</v>
      </c>
      <c r="K115" s="89">
        <v>0</v>
      </c>
      <c r="L115" s="89">
        <v>2.2000000000000001E-3</v>
      </c>
      <c r="M115" s="89">
        <v>7.1999999999999998E-3</v>
      </c>
      <c r="N115" s="89">
        <v>0</v>
      </c>
      <c r="O115" s="90">
        <v>0</v>
      </c>
      <c r="P115" s="89">
        <f>SUM(J115:N115)</f>
        <v>3.9659999999999994E-2</v>
      </c>
      <c r="Q115" s="91" t="s">
        <v>283</v>
      </c>
      <c r="R115" s="91"/>
      <c r="S115" s="85">
        <v>841904</v>
      </c>
      <c r="T115" s="42"/>
      <c r="U115" s="93">
        <f>+S115*J115</f>
        <v>25476.015039999998</v>
      </c>
      <c r="V115" s="93"/>
      <c r="W115" s="94">
        <v>212249</v>
      </c>
      <c r="X115" s="94">
        <v>158583</v>
      </c>
      <c r="Y115" s="42" t="s">
        <v>336</v>
      </c>
      <c r="Z115" s="98"/>
      <c r="AA115" s="98"/>
    </row>
    <row r="116" spans="1:27" s="99" customFormat="1" ht="12" customHeight="1" x14ac:dyDescent="0.2">
      <c r="B116" s="42" t="s">
        <v>237</v>
      </c>
      <c r="C116" s="85" t="s">
        <v>280</v>
      </c>
      <c r="D116" s="85" t="s">
        <v>281</v>
      </c>
      <c r="E116" s="86">
        <v>36586</v>
      </c>
      <c r="F116" s="86">
        <v>36616</v>
      </c>
      <c r="G116" s="87"/>
      <c r="H116" s="87"/>
      <c r="I116" s="85" t="s">
        <v>282</v>
      </c>
      <c r="J116" s="88">
        <v>1.446</v>
      </c>
      <c r="K116" s="89">
        <v>0</v>
      </c>
      <c r="L116" s="89">
        <v>2.2000000000000001E-3</v>
      </c>
      <c r="M116" s="89">
        <v>7.1999999999999998E-3</v>
      </c>
      <c r="N116" s="89">
        <v>0</v>
      </c>
      <c r="O116" s="90">
        <v>0</v>
      </c>
      <c r="P116" s="89">
        <f>SUM(J116:N116)</f>
        <v>1.4554</v>
      </c>
      <c r="Q116" s="91" t="s">
        <v>283</v>
      </c>
      <c r="R116" s="91"/>
      <c r="S116" s="85">
        <v>16998</v>
      </c>
      <c r="T116" s="42"/>
      <c r="U116" s="93">
        <f>+S116*J116</f>
        <v>24579.108</v>
      </c>
      <c r="V116" s="93"/>
      <c r="W116" s="94">
        <v>212249</v>
      </c>
      <c r="X116" s="94">
        <v>158583</v>
      </c>
      <c r="Y116" s="42" t="s">
        <v>336</v>
      </c>
      <c r="Z116" s="98"/>
      <c r="AA116" s="98"/>
    </row>
    <row r="117" spans="1:27" s="65" customFormat="1" ht="12" customHeight="1" x14ac:dyDescent="0.2">
      <c r="B117" s="1" t="s">
        <v>237</v>
      </c>
      <c r="C117" s="3" t="s">
        <v>280</v>
      </c>
      <c r="D117" s="3" t="s">
        <v>281</v>
      </c>
      <c r="E117" s="4">
        <v>36586</v>
      </c>
      <c r="F117" s="4">
        <v>36616</v>
      </c>
      <c r="G117" s="29"/>
      <c r="H117" s="29"/>
      <c r="I117" s="3" t="s">
        <v>161</v>
      </c>
      <c r="J117" s="8">
        <f>12.9509/31</f>
        <v>0.41777096774193551</v>
      </c>
      <c r="K117" s="5"/>
      <c r="L117" s="5"/>
      <c r="M117" s="5"/>
      <c r="N117" s="5"/>
      <c r="O117" s="46"/>
      <c r="P117" s="5"/>
      <c r="Q117" s="24" t="s">
        <v>337</v>
      </c>
      <c r="R117" s="24"/>
      <c r="S117" s="3">
        <v>31979</v>
      </c>
      <c r="T117" s="1"/>
      <c r="U117" s="93">
        <f>J117*J$1*S117</f>
        <v>414156.83110000001</v>
      </c>
      <c r="V117" s="9"/>
      <c r="W117" s="59"/>
      <c r="X117" s="59"/>
      <c r="Y117" s="1" t="s">
        <v>338</v>
      </c>
      <c r="Z117" s="36"/>
      <c r="AA117" s="36"/>
    </row>
    <row r="118" spans="1:27" s="65" customFormat="1" ht="12" customHeight="1" x14ac:dyDescent="0.2">
      <c r="B118" s="1"/>
      <c r="C118" s="3"/>
      <c r="D118" s="3"/>
      <c r="E118" s="4"/>
      <c r="F118" s="4"/>
      <c r="G118" s="29"/>
      <c r="H118" s="29"/>
      <c r="I118" s="3"/>
      <c r="J118" s="8">
        <f>9.8771/31</f>
        <v>0.31861612903225806</v>
      </c>
      <c r="K118" s="5"/>
      <c r="L118" s="5"/>
      <c r="M118" s="5"/>
      <c r="N118" s="5"/>
      <c r="O118" s="46"/>
      <c r="P118" s="5"/>
      <c r="Q118" s="24" t="s">
        <v>337</v>
      </c>
      <c r="R118" s="24"/>
      <c r="S118" s="3">
        <f>509*1.02</f>
        <v>519.18000000000006</v>
      </c>
      <c r="T118" s="1"/>
      <c r="U118" s="93">
        <f>J118*J$1*S118</f>
        <v>5127.9927780000007</v>
      </c>
      <c r="V118" s="9"/>
      <c r="W118" s="59"/>
      <c r="X118" s="59"/>
      <c r="Y118" s="1" t="s">
        <v>339</v>
      </c>
      <c r="Z118" s="36"/>
      <c r="AA118" s="36"/>
    </row>
    <row r="119" spans="1:27" s="65" customFormat="1" ht="12" customHeight="1" x14ac:dyDescent="0.2">
      <c r="B119" s="1"/>
      <c r="C119" s="3"/>
      <c r="D119" s="3"/>
      <c r="E119" s="4"/>
      <c r="F119" s="4"/>
      <c r="G119" s="29"/>
      <c r="H119" s="29"/>
      <c r="I119" s="3"/>
      <c r="J119" s="8"/>
      <c r="K119" s="5"/>
      <c r="L119" s="5"/>
      <c r="M119" s="5"/>
      <c r="N119" s="5"/>
      <c r="O119" s="46"/>
      <c r="P119" s="5"/>
      <c r="Q119" s="24"/>
      <c r="R119" s="24"/>
      <c r="S119" s="3"/>
      <c r="T119" s="1"/>
      <c r="U119" s="93"/>
      <c r="V119" s="9"/>
      <c r="W119" s="59"/>
      <c r="X119" s="59"/>
      <c r="Y119" s="1"/>
      <c r="Z119" s="36"/>
      <c r="AA119" s="36"/>
    </row>
    <row r="120" spans="1:27" s="65" customFormat="1" ht="12" customHeight="1" x14ac:dyDescent="0.2">
      <c r="B120" s="1" t="s">
        <v>237</v>
      </c>
      <c r="C120" s="3" t="s">
        <v>340</v>
      </c>
      <c r="D120" s="3" t="s">
        <v>281</v>
      </c>
      <c r="E120" s="4">
        <v>36586</v>
      </c>
      <c r="F120" s="4">
        <v>36616</v>
      </c>
      <c r="G120" s="1" t="s">
        <v>214</v>
      </c>
      <c r="H120" s="1" t="s">
        <v>214</v>
      </c>
      <c r="I120" s="3" t="s">
        <v>161</v>
      </c>
      <c r="J120" s="8">
        <v>0.17438999999999999</v>
      </c>
      <c r="K120" s="5"/>
      <c r="L120" s="5"/>
      <c r="M120" s="5"/>
      <c r="N120" s="5"/>
      <c r="O120" s="46"/>
      <c r="P120" s="5"/>
      <c r="Q120" s="24" t="s">
        <v>342</v>
      </c>
      <c r="R120" s="24"/>
      <c r="S120" s="3">
        <v>517</v>
      </c>
      <c r="T120" s="1"/>
      <c r="U120" s="93">
        <f>J120*J$1*S120</f>
        <v>2794.9485300000001</v>
      </c>
      <c r="V120" s="9"/>
      <c r="W120" s="59"/>
      <c r="X120" s="59"/>
      <c r="Y120" s="1" t="s">
        <v>341</v>
      </c>
      <c r="Z120" s="36"/>
      <c r="AA120" s="36"/>
    </row>
    <row r="121" spans="1:27" s="65" customFormat="1" x14ac:dyDescent="0.2">
      <c r="B121" s="1"/>
      <c r="C121" s="3"/>
      <c r="D121" s="3"/>
      <c r="E121" s="4"/>
      <c r="F121" s="4"/>
      <c r="G121" s="29"/>
      <c r="H121" s="29"/>
      <c r="I121" s="3"/>
      <c r="J121" s="8"/>
      <c r="K121" s="5"/>
      <c r="L121" s="5"/>
      <c r="M121" s="5"/>
      <c r="N121" s="5"/>
      <c r="O121" s="46"/>
      <c r="P121" s="5"/>
      <c r="Q121" s="24"/>
      <c r="R121" s="24"/>
      <c r="S121" s="3"/>
      <c r="T121" s="1"/>
      <c r="U121" s="9">
        <f>SUM(U115:U120)</f>
        <v>472134.895448</v>
      </c>
      <c r="V121" s="9"/>
      <c r="W121" s="59"/>
      <c r="X121" s="59"/>
      <c r="Y121" s="1"/>
      <c r="Z121" s="36"/>
      <c r="AA121" s="36"/>
    </row>
    <row r="122" spans="1:27" x14ac:dyDescent="0.2">
      <c r="B122" s="16" t="s">
        <v>4</v>
      </c>
      <c r="C122" s="17" t="s">
        <v>5</v>
      </c>
      <c r="D122" s="17" t="s">
        <v>6</v>
      </c>
      <c r="E122" s="18" t="s">
        <v>7</v>
      </c>
      <c r="F122" s="18"/>
      <c r="G122" s="16" t="s">
        <v>8</v>
      </c>
      <c r="H122" s="16" t="s">
        <v>9</v>
      </c>
      <c r="I122" s="17" t="s">
        <v>53</v>
      </c>
      <c r="J122" s="19" t="s">
        <v>10</v>
      </c>
      <c r="K122" s="17" t="s">
        <v>11</v>
      </c>
      <c r="L122" s="17" t="s">
        <v>12</v>
      </c>
      <c r="M122" s="17" t="s">
        <v>13</v>
      </c>
      <c r="N122" s="17" t="s">
        <v>14</v>
      </c>
      <c r="O122" s="47" t="s">
        <v>15</v>
      </c>
      <c r="P122" s="17" t="s">
        <v>16</v>
      </c>
      <c r="Q122" s="20" t="s">
        <v>234</v>
      </c>
      <c r="R122" s="20" t="s">
        <v>233</v>
      </c>
      <c r="S122" s="17" t="s">
        <v>17</v>
      </c>
      <c r="T122" s="16" t="s">
        <v>18</v>
      </c>
      <c r="U122" s="21" t="s">
        <v>52</v>
      </c>
      <c r="V122" s="21" t="s">
        <v>51</v>
      </c>
      <c r="W122" s="57" t="s">
        <v>235</v>
      </c>
      <c r="X122" s="57" t="s">
        <v>236</v>
      </c>
      <c r="Y122" s="62">
        <f>+Y68</f>
        <v>0</v>
      </c>
      <c r="Z122" s="36"/>
      <c r="AA122" s="36"/>
    </row>
    <row r="123" spans="1:27" s="65" customFormat="1" x14ac:dyDescent="0.2">
      <c r="A123" s="65" t="s">
        <v>212</v>
      </c>
      <c r="B123" s="1" t="s">
        <v>237</v>
      </c>
      <c r="C123" s="3" t="s">
        <v>2</v>
      </c>
      <c r="D123" s="3" t="s">
        <v>136</v>
      </c>
      <c r="E123" s="4">
        <v>36557</v>
      </c>
      <c r="F123" s="4">
        <v>36677</v>
      </c>
      <c r="G123" s="29" t="s">
        <v>137</v>
      </c>
      <c r="H123" s="29" t="s">
        <v>138</v>
      </c>
      <c r="I123" s="3" t="s">
        <v>139</v>
      </c>
      <c r="J123" s="88">
        <f>14.76/J$1</f>
        <v>0.47612903225806452</v>
      </c>
      <c r="K123" s="5">
        <v>0</v>
      </c>
      <c r="L123" s="5">
        <v>2.2000000000000001E-3</v>
      </c>
      <c r="M123" s="5">
        <v>7.1999999999999998E-3</v>
      </c>
      <c r="N123" s="5">
        <v>0</v>
      </c>
      <c r="O123" s="46">
        <v>0</v>
      </c>
      <c r="P123" s="5">
        <f t="shared" ref="P123:P129" si="12">SUM(J123:N123)</f>
        <v>0.48552903225806449</v>
      </c>
      <c r="Q123" s="24">
        <v>32337</v>
      </c>
      <c r="R123" s="24">
        <v>31372</v>
      </c>
      <c r="S123" s="3">
        <v>431</v>
      </c>
      <c r="T123" s="1" t="s">
        <v>29</v>
      </c>
      <c r="U123" s="9">
        <f t="shared" ref="U123:U129" si="13">J123*J$1*S123</f>
        <v>6361.5599999999995</v>
      </c>
      <c r="V123" s="9"/>
      <c r="W123" s="59"/>
      <c r="X123" s="59">
        <v>157612</v>
      </c>
      <c r="Y123" s="1"/>
      <c r="Z123" s="36"/>
      <c r="AA123" s="36"/>
    </row>
    <row r="124" spans="1:27" s="65" customFormat="1" x14ac:dyDescent="0.2">
      <c r="A124" s="65" t="s">
        <v>212</v>
      </c>
      <c r="B124" s="1" t="s">
        <v>237</v>
      </c>
      <c r="C124" s="3" t="s">
        <v>2</v>
      </c>
      <c r="D124" s="3" t="s">
        <v>100</v>
      </c>
      <c r="E124" s="4">
        <v>36557</v>
      </c>
      <c r="F124" s="4">
        <v>36677</v>
      </c>
      <c r="G124" s="29" t="s">
        <v>141</v>
      </c>
      <c r="H124" s="29" t="s">
        <v>140</v>
      </c>
      <c r="I124" s="3" t="s">
        <v>139</v>
      </c>
      <c r="J124" s="88">
        <f>13.28/J$1</f>
        <v>0.42838709677419351</v>
      </c>
      <c r="K124" s="5">
        <v>0</v>
      </c>
      <c r="L124" s="5">
        <v>2.2000000000000001E-3</v>
      </c>
      <c r="M124" s="5">
        <v>7.1999999999999998E-3</v>
      </c>
      <c r="N124" s="5">
        <v>0</v>
      </c>
      <c r="O124" s="46">
        <v>0</v>
      </c>
      <c r="P124" s="5">
        <f t="shared" si="12"/>
        <v>0.43778709677419347</v>
      </c>
      <c r="Q124" s="24">
        <v>32336</v>
      </c>
      <c r="R124" s="24">
        <v>31533</v>
      </c>
      <c r="S124" s="3">
        <v>48</v>
      </c>
      <c r="T124" s="1" t="s">
        <v>29</v>
      </c>
      <c r="U124" s="9">
        <f t="shared" si="13"/>
        <v>637.43999999999994</v>
      </c>
      <c r="V124" s="9"/>
      <c r="W124" s="59"/>
      <c r="X124" s="59">
        <v>157613</v>
      </c>
      <c r="Y124" s="1"/>
      <c r="Z124" s="36"/>
      <c r="AA124" s="36"/>
    </row>
    <row r="125" spans="1:27" s="65" customFormat="1" x14ac:dyDescent="0.2">
      <c r="A125" s="99"/>
      <c r="B125" s="42" t="s">
        <v>237</v>
      </c>
      <c r="C125" s="85" t="s">
        <v>2</v>
      </c>
      <c r="D125" s="85" t="s">
        <v>142</v>
      </c>
      <c r="E125" s="86">
        <v>36586</v>
      </c>
      <c r="F125" s="86">
        <v>36616</v>
      </c>
      <c r="G125" s="42" t="s">
        <v>143</v>
      </c>
      <c r="H125" s="87" t="s">
        <v>144</v>
      </c>
      <c r="I125" s="85" t="s">
        <v>139</v>
      </c>
      <c r="J125" s="88">
        <f>5.61/31</f>
        <v>0.18096774193548387</v>
      </c>
      <c r="K125" s="89">
        <v>7.6300000000000007E-2</v>
      </c>
      <c r="L125" s="89">
        <v>2.2000000000000001E-3</v>
      </c>
      <c r="M125" s="89">
        <v>7.1999999999999998E-3</v>
      </c>
      <c r="N125" s="89">
        <v>0</v>
      </c>
      <c r="O125" s="90">
        <v>2.7900000000000001E-2</v>
      </c>
      <c r="P125" s="89">
        <f t="shared" si="12"/>
        <v>0.26666774193548382</v>
      </c>
      <c r="Q125" s="91">
        <v>32541</v>
      </c>
      <c r="R125" s="91">
        <v>32398</v>
      </c>
      <c r="S125" s="85">
        <v>3659</v>
      </c>
      <c r="T125" s="42" t="s">
        <v>29</v>
      </c>
      <c r="U125" s="93">
        <f t="shared" si="13"/>
        <v>20526.990000000002</v>
      </c>
      <c r="V125" s="93"/>
      <c r="W125" s="94">
        <v>204555</v>
      </c>
      <c r="X125" s="94">
        <v>158613</v>
      </c>
      <c r="Y125" s="42" t="s">
        <v>145</v>
      </c>
      <c r="Z125" s="36"/>
      <c r="AA125" s="36"/>
    </row>
    <row r="126" spans="1:27" s="99" customFormat="1" x14ac:dyDescent="0.2">
      <c r="B126" s="42" t="s">
        <v>237</v>
      </c>
      <c r="C126" s="85" t="s">
        <v>2</v>
      </c>
      <c r="D126" s="85"/>
      <c r="E126" s="86">
        <v>36586</v>
      </c>
      <c r="F126" s="86">
        <v>36616</v>
      </c>
      <c r="G126" s="87" t="s">
        <v>146</v>
      </c>
      <c r="H126" s="87" t="s">
        <v>147</v>
      </c>
      <c r="I126" s="85" t="s">
        <v>139</v>
      </c>
      <c r="J126" s="88">
        <v>0</v>
      </c>
      <c r="K126" s="89">
        <v>0</v>
      </c>
      <c r="L126" s="89">
        <v>2.2000000000000001E-3</v>
      </c>
      <c r="M126" s="89">
        <v>7.1999999999999998E-3</v>
      </c>
      <c r="N126" s="89">
        <v>0</v>
      </c>
      <c r="O126" s="90">
        <v>0</v>
      </c>
      <c r="P126" s="89">
        <f t="shared" si="12"/>
        <v>9.4000000000000004E-3</v>
      </c>
      <c r="Q126" s="91">
        <v>32645</v>
      </c>
      <c r="R126" s="91">
        <v>31957</v>
      </c>
      <c r="S126" s="85">
        <v>769</v>
      </c>
      <c r="T126" s="42" t="s">
        <v>29</v>
      </c>
      <c r="U126" s="93">
        <f t="shared" si="13"/>
        <v>0</v>
      </c>
      <c r="V126" s="93"/>
      <c r="W126" s="94">
        <v>204715</v>
      </c>
      <c r="X126" s="94"/>
      <c r="Y126" s="42" t="s">
        <v>145</v>
      </c>
      <c r="Z126" s="98"/>
      <c r="AA126" s="98"/>
    </row>
    <row r="127" spans="1:27" s="99" customFormat="1" x14ac:dyDescent="0.2">
      <c r="B127" s="42" t="s">
        <v>237</v>
      </c>
      <c r="C127" s="85" t="s">
        <v>208</v>
      </c>
      <c r="D127" s="85" t="s">
        <v>142</v>
      </c>
      <c r="E127" s="86">
        <v>36586</v>
      </c>
      <c r="F127" s="86">
        <v>36616</v>
      </c>
      <c r="G127" s="42" t="s">
        <v>209</v>
      </c>
      <c r="H127" s="42" t="s">
        <v>142</v>
      </c>
      <c r="I127" s="85" t="s">
        <v>139</v>
      </c>
      <c r="J127" s="88">
        <v>0.38450000000000001</v>
      </c>
      <c r="K127" s="89">
        <v>0</v>
      </c>
      <c r="L127" s="89">
        <v>2.2000000000000001E-3</v>
      </c>
      <c r="M127" s="89">
        <v>7.1999999999999998E-3</v>
      </c>
      <c r="N127" s="89">
        <v>0</v>
      </c>
      <c r="O127" s="90">
        <v>2.2200000000000001E-2</v>
      </c>
      <c r="P127" s="89">
        <f t="shared" si="12"/>
        <v>0.39389999999999997</v>
      </c>
      <c r="Q127" s="91">
        <v>32542</v>
      </c>
      <c r="R127" s="91">
        <v>32391</v>
      </c>
      <c r="S127" s="85">
        <v>4083</v>
      </c>
      <c r="T127" s="42" t="s">
        <v>29</v>
      </c>
      <c r="U127" s="93">
        <f t="shared" si="13"/>
        <v>48667.318500000001</v>
      </c>
      <c r="V127" s="93"/>
      <c r="W127" s="94">
        <v>203535</v>
      </c>
      <c r="X127" s="94">
        <v>158454</v>
      </c>
      <c r="Y127" s="42" t="s">
        <v>145</v>
      </c>
      <c r="Z127" s="98"/>
      <c r="AA127" s="98"/>
    </row>
    <row r="128" spans="1:27" s="99" customFormat="1" x14ac:dyDescent="0.2">
      <c r="B128" s="42" t="s">
        <v>237</v>
      </c>
      <c r="C128" s="85" t="s">
        <v>213</v>
      </c>
      <c r="D128" s="85" t="s">
        <v>205</v>
      </c>
      <c r="E128" s="86">
        <v>36586</v>
      </c>
      <c r="F128" s="86">
        <v>36616</v>
      </c>
      <c r="G128" s="87" t="s">
        <v>206</v>
      </c>
      <c r="H128" s="87" t="s">
        <v>207</v>
      </c>
      <c r="I128" s="85" t="s">
        <v>139</v>
      </c>
      <c r="J128" s="88">
        <f>1.5/31</f>
        <v>4.8387096774193547E-2</v>
      </c>
      <c r="K128" s="89">
        <v>8.9999999999999993E-3</v>
      </c>
      <c r="L128" s="89">
        <v>2.2000000000000001E-3</v>
      </c>
      <c r="M128" s="89">
        <v>7.1999999999999998E-3</v>
      </c>
      <c r="N128" s="89">
        <v>0</v>
      </c>
      <c r="O128" s="90">
        <v>0</v>
      </c>
      <c r="P128" s="89">
        <f t="shared" si="12"/>
        <v>6.6787096774193547E-2</v>
      </c>
      <c r="Q128" s="91">
        <v>32576</v>
      </c>
      <c r="R128" s="91">
        <v>32425</v>
      </c>
      <c r="S128" s="85">
        <v>5000</v>
      </c>
      <c r="T128" s="42" t="s">
        <v>29</v>
      </c>
      <c r="U128" s="93">
        <f t="shared" si="13"/>
        <v>7500</v>
      </c>
      <c r="V128" s="93"/>
      <c r="W128" s="94">
        <v>203525</v>
      </c>
      <c r="X128" s="94"/>
      <c r="Y128" s="42" t="s">
        <v>145</v>
      </c>
      <c r="Z128" s="98"/>
      <c r="AA128" s="98"/>
    </row>
    <row r="129" spans="1:27" s="99" customFormat="1" x14ac:dyDescent="0.2">
      <c r="B129" s="42" t="s">
        <v>237</v>
      </c>
      <c r="C129" s="85" t="s">
        <v>213</v>
      </c>
      <c r="D129" s="85" t="s">
        <v>205</v>
      </c>
      <c r="E129" s="86">
        <v>36557</v>
      </c>
      <c r="F129" s="86">
        <v>36585</v>
      </c>
      <c r="G129" s="42" t="s">
        <v>206</v>
      </c>
      <c r="H129" s="42" t="s">
        <v>207</v>
      </c>
      <c r="I129" s="85" t="s">
        <v>139</v>
      </c>
      <c r="J129" s="88">
        <v>7.2900000000000006E-2</v>
      </c>
      <c r="K129" s="89">
        <v>8.9999999999999993E-3</v>
      </c>
      <c r="L129" s="89">
        <v>2.2000000000000001E-3</v>
      </c>
      <c r="M129" s="89">
        <v>7.1999999999999998E-3</v>
      </c>
      <c r="N129" s="89">
        <v>0</v>
      </c>
      <c r="O129" s="90">
        <v>0</v>
      </c>
      <c r="P129" s="89">
        <f t="shared" si="12"/>
        <v>9.1299999999999992E-2</v>
      </c>
      <c r="Q129" s="91">
        <v>32689</v>
      </c>
      <c r="R129" s="91">
        <v>32358</v>
      </c>
      <c r="S129" s="85">
        <v>761</v>
      </c>
      <c r="T129" s="42" t="s">
        <v>29</v>
      </c>
      <c r="U129" s="93">
        <f t="shared" si="13"/>
        <v>1719.7838999999999</v>
      </c>
      <c r="V129" s="93"/>
      <c r="W129" s="94">
        <v>206605</v>
      </c>
      <c r="X129" s="94">
        <v>157203</v>
      </c>
      <c r="Y129" s="42" t="s">
        <v>145</v>
      </c>
      <c r="Z129" s="98"/>
      <c r="AA129" s="98"/>
    </row>
    <row r="130" spans="1:27" s="99" customFormat="1" x14ac:dyDescent="0.2">
      <c r="B130" s="42" t="s">
        <v>237</v>
      </c>
      <c r="C130" s="85" t="s">
        <v>2</v>
      </c>
      <c r="D130" s="85" t="s">
        <v>142</v>
      </c>
      <c r="E130" s="86">
        <v>36586</v>
      </c>
      <c r="F130" s="86">
        <v>36616</v>
      </c>
      <c r="G130" s="42" t="s">
        <v>324</v>
      </c>
      <c r="H130" s="42"/>
      <c r="I130" s="85" t="s">
        <v>325</v>
      </c>
      <c r="J130" s="88"/>
      <c r="K130" s="89"/>
      <c r="L130" s="89"/>
      <c r="M130" s="89"/>
      <c r="N130" s="89"/>
      <c r="O130" s="90"/>
      <c r="P130" s="89"/>
      <c r="Q130" s="91">
        <v>32585</v>
      </c>
      <c r="R130" s="91"/>
      <c r="S130" s="85">
        <v>1460</v>
      </c>
      <c r="T130" s="42"/>
      <c r="U130" s="93"/>
      <c r="V130" s="93"/>
      <c r="W130" s="94">
        <v>206968</v>
      </c>
      <c r="X130" s="94"/>
      <c r="Y130" s="42"/>
      <c r="Z130" s="98"/>
      <c r="AA130" s="98"/>
    </row>
    <row r="131" spans="1:27" s="99" customFormat="1" x14ac:dyDescent="0.2">
      <c r="B131" s="42" t="s">
        <v>237</v>
      </c>
      <c r="C131" s="85" t="s">
        <v>326</v>
      </c>
      <c r="D131" s="85" t="s">
        <v>142</v>
      </c>
      <c r="E131" s="86">
        <v>36586</v>
      </c>
      <c r="F131" s="86">
        <v>36616</v>
      </c>
      <c r="G131" s="42" t="s">
        <v>382</v>
      </c>
      <c r="H131" s="42"/>
      <c r="I131" s="85" t="s">
        <v>383</v>
      </c>
      <c r="J131" s="88">
        <v>1.8700000000000001E-2</v>
      </c>
      <c r="K131" s="89"/>
      <c r="L131" s="89"/>
      <c r="M131" s="89"/>
      <c r="N131" s="89"/>
      <c r="O131" s="90"/>
      <c r="P131" s="89"/>
      <c r="Q131" s="91">
        <v>32607</v>
      </c>
      <c r="R131" s="91"/>
      <c r="S131" s="121">
        <v>78000</v>
      </c>
      <c r="T131" s="42"/>
      <c r="U131" s="93">
        <f>+S131*J131</f>
        <v>1458.6000000000001</v>
      </c>
      <c r="V131" s="93"/>
      <c r="W131" s="94">
        <v>206973</v>
      </c>
      <c r="X131" s="94"/>
      <c r="Y131" s="42"/>
      <c r="Z131" s="98"/>
      <c r="AA131" s="98"/>
    </row>
    <row r="132" spans="1:27" s="99" customFormat="1" x14ac:dyDescent="0.2">
      <c r="B132" s="42" t="s">
        <v>237</v>
      </c>
      <c r="C132" s="85" t="s">
        <v>326</v>
      </c>
      <c r="D132" s="85" t="s">
        <v>142</v>
      </c>
      <c r="E132" s="86">
        <v>36586</v>
      </c>
      <c r="F132" s="86">
        <v>36616</v>
      </c>
      <c r="G132" s="42" t="s">
        <v>382</v>
      </c>
      <c r="H132" s="42"/>
      <c r="I132" s="85" t="s">
        <v>383</v>
      </c>
      <c r="J132" s="88">
        <v>1.17</v>
      </c>
      <c r="K132" s="89"/>
      <c r="L132" s="89"/>
      <c r="M132" s="89"/>
      <c r="N132" s="89"/>
      <c r="O132" s="90"/>
      <c r="P132" s="89"/>
      <c r="Q132" s="91">
        <v>32607</v>
      </c>
      <c r="R132" s="91"/>
      <c r="S132" s="107">
        <v>571</v>
      </c>
      <c r="T132" s="42"/>
      <c r="U132" s="93">
        <f>+S132*J132</f>
        <v>668.06999999999994</v>
      </c>
      <c r="V132" s="93"/>
      <c r="W132" s="94">
        <v>206973</v>
      </c>
      <c r="X132" s="94"/>
      <c r="Y132" s="42"/>
      <c r="Z132" s="98"/>
      <c r="AA132" s="98"/>
    </row>
    <row r="133" spans="1:27" x14ac:dyDescent="0.2">
      <c r="A133" s="70" t="s">
        <v>212</v>
      </c>
      <c r="B133" s="42" t="s">
        <v>237</v>
      </c>
      <c r="C133" s="85" t="s">
        <v>2</v>
      </c>
      <c r="D133" s="85" t="s">
        <v>205</v>
      </c>
      <c r="E133" s="86">
        <v>36586</v>
      </c>
      <c r="F133" s="86">
        <v>36616</v>
      </c>
      <c r="G133" s="42" t="s">
        <v>214</v>
      </c>
      <c r="H133" s="42" t="s">
        <v>206</v>
      </c>
      <c r="I133" s="85" t="s">
        <v>215</v>
      </c>
      <c r="J133" s="88">
        <v>0</v>
      </c>
      <c r="K133" s="89"/>
      <c r="L133" s="105"/>
      <c r="M133" s="89"/>
      <c r="N133" s="89"/>
      <c r="O133" s="90"/>
      <c r="P133" s="89"/>
      <c r="Q133" s="91">
        <v>32645</v>
      </c>
      <c r="R133" s="91">
        <v>32067</v>
      </c>
      <c r="S133" s="85">
        <v>769</v>
      </c>
      <c r="T133" s="85"/>
      <c r="U133" s="93"/>
      <c r="V133" s="93"/>
      <c r="W133" s="94">
        <v>204715</v>
      </c>
      <c r="X133" s="94">
        <v>157207</v>
      </c>
      <c r="Y133" s="42" t="s">
        <v>145</v>
      </c>
      <c r="Z133" s="36"/>
      <c r="AA133" s="36"/>
    </row>
    <row r="134" spans="1:27" x14ac:dyDescent="0.2">
      <c r="B134" s="1"/>
      <c r="C134" s="3"/>
      <c r="D134" s="3"/>
      <c r="E134" s="4"/>
      <c r="F134" s="4"/>
      <c r="G134" s="1"/>
      <c r="H134" s="1"/>
      <c r="I134" s="3"/>
      <c r="J134" s="8"/>
      <c r="K134" s="5"/>
      <c r="L134" s="23"/>
      <c r="M134" s="5"/>
      <c r="N134" s="5"/>
      <c r="O134" s="46"/>
      <c r="P134" s="5"/>
      <c r="Q134" s="24"/>
      <c r="R134" s="24"/>
      <c r="S134" s="2"/>
      <c r="T134" s="3"/>
      <c r="U134" s="9"/>
      <c r="V134" s="9"/>
      <c r="W134" s="59"/>
      <c r="X134" s="59"/>
      <c r="Y134" s="1"/>
      <c r="Z134" s="36"/>
      <c r="AA134" s="36"/>
    </row>
    <row r="135" spans="1:27" x14ac:dyDescent="0.2">
      <c r="B135" s="1"/>
      <c r="C135" s="3"/>
      <c r="D135" s="3"/>
      <c r="E135" s="4"/>
      <c r="F135" s="4"/>
      <c r="G135" s="1"/>
      <c r="H135" s="1"/>
      <c r="I135" s="3"/>
      <c r="J135" s="8"/>
      <c r="K135" s="5"/>
      <c r="L135" s="23"/>
      <c r="M135" s="5"/>
      <c r="N135" s="5"/>
      <c r="O135" s="49"/>
      <c r="P135" s="5"/>
      <c r="Q135" s="24"/>
      <c r="R135" s="24"/>
      <c r="S135" s="3"/>
      <c r="T135" s="3"/>
      <c r="U135" s="106">
        <f>SUM(U123:U134)</f>
        <v>87539.762400000007</v>
      </c>
      <c r="Y135" s="29"/>
      <c r="Z135" s="37"/>
      <c r="AA135" s="37"/>
    </row>
    <row r="136" spans="1:27" x14ac:dyDescent="0.2">
      <c r="B136" s="16" t="s">
        <v>4</v>
      </c>
      <c r="C136" s="17" t="s">
        <v>5</v>
      </c>
      <c r="D136" s="17" t="s">
        <v>6</v>
      </c>
      <c r="E136" s="18" t="s">
        <v>7</v>
      </c>
      <c r="F136" s="18"/>
      <c r="G136" s="16" t="s">
        <v>8</v>
      </c>
      <c r="H136" s="16" t="s">
        <v>9</v>
      </c>
      <c r="I136" s="17" t="s">
        <v>53</v>
      </c>
      <c r="J136" s="19" t="s">
        <v>10</v>
      </c>
      <c r="K136" s="17" t="s">
        <v>11</v>
      </c>
      <c r="L136" s="17" t="s">
        <v>12</v>
      </c>
      <c r="M136" s="17" t="s">
        <v>13</v>
      </c>
      <c r="N136" s="17" t="s">
        <v>14</v>
      </c>
      <c r="O136" s="47" t="s">
        <v>15</v>
      </c>
      <c r="P136" s="17" t="s">
        <v>16</v>
      </c>
      <c r="Q136" s="20" t="s">
        <v>234</v>
      </c>
      <c r="R136" s="20" t="s">
        <v>233</v>
      </c>
      <c r="S136" s="17" t="s">
        <v>17</v>
      </c>
      <c r="T136" s="16" t="s">
        <v>18</v>
      </c>
      <c r="U136" s="21" t="s">
        <v>52</v>
      </c>
      <c r="V136" s="21" t="s">
        <v>51</v>
      </c>
      <c r="W136" s="57" t="s">
        <v>235</v>
      </c>
      <c r="X136" s="57" t="s">
        <v>236</v>
      </c>
      <c r="Y136" s="62">
        <f>+Y74</f>
        <v>0</v>
      </c>
      <c r="Z136" s="36"/>
      <c r="AA136" s="36"/>
    </row>
    <row r="137" spans="1:27" s="65" customFormat="1" x14ac:dyDescent="0.2">
      <c r="B137" s="42" t="s">
        <v>104</v>
      </c>
      <c r="C137" s="85" t="s">
        <v>25</v>
      </c>
      <c r="D137" s="85" t="s">
        <v>151</v>
      </c>
      <c r="E137" s="86">
        <v>35977</v>
      </c>
      <c r="F137" s="86">
        <v>41029</v>
      </c>
      <c r="G137" s="42" t="s">
        <v>152</v>
      </c>
      <c r="H137" s="42" t="s">
        <v>153</v>
      </c>
      <c r="I137" s="85" t="s">
        <v>22</v>
      </c>
      <c r="J137" s="88">
        <v>0</v>
      </c>
      <c r="K137" s="89">
        <v>0</v>
      </c>
      <c r="L137" s="89">
        <v>2.2000000000000001E-3</v>
      </c>
      <c r="M137" s="89">
        <v>0</v>
      </c>
      <c r="N137" s="89">
        <v>0</v>
      </c>
      <c r="O137" s="90">
        <v>0</v>
      </c>
      <c r="P137" s="89">
        <f t="shared" ref="P137:P148" si="14">SUM(J137:N137)</f>
        <v>2.2000000000000001E-3</v>
      </c>
      <c r="Q137" s="91">
        <v>892591</v>
      </c>
      <c r="R137" s="91">
        <v>886677</v>
      </c>
      <c r="S137" s="85">
        <v>74</v>
      </c>
      <c r="T137" s="42"/>
      <c r="U137" s="93">
        <f t="shared" ref="U137:U149" si="15">J137*J$1*S137</f>
        <v>0</v>
      </c>
      <c r="V137" s="93"/>
      <c r="W137" s="94"/>
      <c r="X137" s="94">
        <v>157553</v>
      </c>
      <c r="Y137" s="42" t="s">
        <v>275</v>
      </c>
      <c r="Z137" s="36"/>
      <c r="AA137" s="36"/>
    </row>
    <row r="138" spans="1:27" s="65" customFormat="1" x14ac:dyDescent="0.2">
      <c r="B138" s="42" t="s">
        <v>104</v>
      </c>
      <c r="C138" s="85" t="s">
        <v>25</v>
      </c>
      <c r="D138" s="85" t="s">
        <v>151</v>
      </c>
      <c r="E138" s="86">
        <v>36130</v>
      </c>
      <c r="F138" s="86">
        <v>41029</v>
      </c>
      <c r="G138" s="42" t="s">
        <v>152</v>
      </c>
      <c r="H138" s="42" t="s">
        <v>153</v>
      </c>
      <c r="I138" s="85" t="s">
        <v>22</v>
      </c>
      <c r="J138" s="88">
        <v>0</v>
      </c>
      <c r="K138" s="89">
        <v>0</v>
      </c>
      <c r="L138" s="89">
        <v>2.2000000000000001E-3</v>
      </c>
      <c r="M138" s="89">
        <v>0</v>
      </c>
      <c r="N138" s="89">
        <v>0</v>
      </c>
      <c r="O138" s="90">
        <v>0</v>
      </c>
      <c r="P138" s="89">
        <f t="shared" si="14"/>
        <v>2.2000000000000001E-3</v>
      </c>
      <c r="Q138" s="91" t="s">
        <v>276</v>
      </c>
      <c r="R138" s="91">
        <v>887978</v>
      </c>
      <c r="S138" s="85">
        <v>0</v>
      </c>
      <c r="T138" s="42"/>
      <c r="U138" s="93">
        <f t="shared" si="15"/>
        <v>0</v>
      </c>
      <c r="V138" s="93"/>
      <c r="W138" s="94"/>
      <c r="X138" s="94">
        <v>143310</v>
      </c>
      <c r="Y138" s="42" t="s">
        <v>273</v>
      </c>
      <c r="Z138" s="36"/>
      <c r="AA138" s="36"/>
    </row>
    <row r="139" spans="1:27" s="65" customFormat="1" x14ac:dyDescent="0.2">
      <c r="B139" s="42" t="s">
        <v>104</v>
      </c>
      <c r="C139" s="85" t="s">
        <v>25</v>
      </c>
      <c r="D139" s="85" t="s">
        <v>151</v>
      </c>
      <c r="E139" s="86">
        <v>36220</v>
      </c>
      <c r="F139" s="86">
        <v>41029</v>
      </c>
      <c r="G139" s="42" t="s">
        <v>152</v>
      </c>
      <c r="H139" s="42" t="s">
        <v>154</v>
      </c>
      <c r="I139" s="85" t="s">
        <v>22</v>
      </c>
      <c r="J139" s="88">
        <v>0</v>
      </c>
      <c r="K139" s="89">
        <v>0</v>
      </c>
      <c r="L139" s="89">
        <v>2.2000000000000001E-3</v>
      </c>
      <c r="M139" s="89">
        <v>0</v>
      </c>
      <c r="N139" s="89">
        <v>0</v>
      </c>
      <c r="O139" s="90">
        <v>0</v>
      </c>
      <c r="P139" s="89">
        <f t="shared" si="14"/>
        <v>2.2000000000000001E-3</v>
      </c>
      <c r="Q139" s="91" t="s">
        <v>276</v>
      </c>
      <c r="R139" s="91">
        <v>888786</v>
      </c>
      <c r="S139" s="85">
        <v>0</v>
      </c>
      <c r="T139" s="42"/>
      <c r="U139" s="93">
        <f t="shared" si="15"/>
        <v>0</v>
      </c>
      <c r="V139" s="93"/>
      <c r="W139" s="94"/>
      <c r="X139" s="94">
        <v>143311</v>
      </c>
      <c r="Y139" s="42" t="s">
        <v>274</v>
      </c>
      <c r="Z139" s="36"/>
      <c r="AA139" s="36"/>
    </row>
    <row r="140" spans="1:27" s="65" customFormat="1" x14ac:dyDescent="0.2">
      <c r="B140" s="42" t="s">
        <v>104</v>
      </c>
      <c r="C140" s="85" t="s">
        <v>25</v>
      </c>
      <c r="D140" s="85" t="s">
        <v>151</v>
      </c>
      <c r="E140" s="86">
        <v>36465</v>
      </c>
      <c r="F140" s="86">
        <v>39021</v>
      </c>
      <c r="G140" s="42" t="s">
        <v>21</v>
      </c>
      <c r="H140" s="42" t="s">
        <v>24</v>
      </c>
      <c r="I140" s="85" t="s">
        <v>22</v>
      </c>
      <c r="J140" s="88">
        <v>0</v>
      </c>
      <c r="K140" s="89">
        <v>0</v>
      </c>
      <c r="L140" s="89">
        <v>2.2000000000000001E-3</v>
      </c>
      <c r="M140" s="89">
        <v>0</v>
      </c>
      <c r="N140" s="89">
        <v>0</v>
      </c>
      <c r="O140" s="90">
        <v>0</v>
      </c>
      <c r="P140" s="89">
        <f t="shared" si="14"/>
        <v>2.2000000000000001E-3</v>
      </c>
      <c r="Q140" s="91">
        <v>892596</v>
      </c>
      <c r="R140" s="91">
        <v>892066</v>
      </c>
      <c r="S140" s="85">
        <v>139</v>
      </c>
      <c r="T140" s="42" t="s">
        <v>269</v>
      </c>
      <c r="U140" s="93">
        <f t="shared" si="15"/>
        <v>0</v>
      </c>
      <c r="V140" s="93">
        <v>3385.59</v>
      </c>
      <c r="W140" s="94">
        <v>143315</v>
      </c>
      <c r="X140" s="94">
        <v>157537</v>
      </c>
      <c r="Y140" s="42" t="s">
        <v>508</v>
      </c>
      <c r="Z140" s="36"/>
      <c r="AA140" s="36"/>
    </row>
    <row r="141" spans="1:27" s="65" customFormat="1" x14ac:dyDescent="0.2">
      <c r="B141" s="42" t="s">
        <v>104</v>
      </c>
      <c r="C141" s="85" t="s">
        <v>25</v>
      </c>
      <c r="D141" s="85" t="s">
        <v>151</v>
      </c>
      <c r="E141" s="86">
        <v>36465</v>
      </c>
      <c r="F141" s="86">
        <v>36830</v>
      </c>
      <c r="G141" s="42" t="s">
        <v>30</v>
      </c>
      <c r="H141" s="42" t="s">
        <v>24</v>
      </c>
      <c r="I141" s="85" t="s">
        <v>23</v>
      </c>
      <c r="J141" s="88">
        <v>0</v>
      </c>
      <c r="K141" s="89">
        <v>0</v>
      </c>
      <c r="L141" s="89">
        <v>2.2000000000000001E-3</v>
      </c>
      <c r="M141" s="89">
        <v>0</v>
      </c>
      <c r="N141" s="89">
        <v>0</v>
      </c>
      <c r="O141" s="90">
        <v>0</v>
      </c>
      <c r="P141" s="89">
        <f t="shared" si="14"/>
        <v>2.2000000000000001E-3</v>
      </c>
      <c r="Q141" s="91">
        <v>892594</v>
      </c>
      <c r="R141" s="91">
        <v>892069</v>
      </c>
      <c r="S141" s="85">
        <v>11</v>
      </c>
      <c r="T141" s="42" t="s">
        <v>270</v>
      </c>
      <c r="U141" s="93">
        <f t="shared" si="15"/>
        <v>0</v>
      </c>
      <c r="V141" s="93">
        <v>117.79</v>
      </c>
      <c r="W141" s="94">
        <v>143316</v>
      </c>
      <c r="X141" s="94">
        <v>157539</v>
      </c>
      <c r="Y141" s="42" t="s">
        <v>508</v>
      </c>
      <c r="Z141" s="36"/>
      <c r="AA141" s="36"/>
    </row>
    <row r="142" spans="1:27" s="65" customFormat="1" x14ac:dyDescent="0.2">
      <c r="B142" s="42" t="s">
        <v>104</v>
      </c>
      <c r="C142" s="85" t="s">
        <v>25</v>
      </c>
      <c r="D142" s="85" t="s">
        <v>151</v>
      </c>
      <c r="E142" s="86">
        <v>36465</v>
      </c>
      <c r="F142" s="86">
        <v>37560</v>
      </c>
      <c r="G142" s="42" t="s">
        <v>21</v>
      </c>
      <c r="H142" s="42" t="s">
        <v>30</v>
      </c>
      <c r="I142" s="85" t="s">
        <v>22</v>
      </c>
      <c r="J142" s="88">
        <v>0</v>
      </c>
      <c r="K142" s="89">
        <v>0</v>
      </c>
      <c r="L142" s="89">
        <v>2.2000000000000001E-3</v>
      </c>
      <c r="M142" s="89">
        <v>0</v>
      </c>
      <c r="N142" s="89">
        <v>0</v>
      </c>
      <c r="O142" s="90">
        <v>0</v>
      </c>
      <c r="P142" s="89">
        <f t="shared" si="14"/>
        <v>2.2000000000000001E-3</v>
      </c>
      <c r="Q142" s="91">
        <v>892593</v>
      </c>
      <c r="R142" s="91">
        <v>892084</v>
      </c>
      <c r="S142" s="85">
        <v>18</v>
      </c>
      <c r="T142" s="42" t="s">
        <v>271</v>
      </c>
      <c r="U142" s="93">
        <f t="shared" si="15"/>
        <v>0</v>
      </c>
      <c r="V142" s="93">
        <v>280.62</v>
      </c>
      <c r="W142" s="94">
        <v>143318</v>
      </c>
      <c r="X142" s="94">
        <v>157543</v>
      </c>
      <c r="Y142" s="42" t="s">
        <v>508</v>
      </c>
      <c r="Z142" s="36"/>
      <c r="AA142" s="36"/>
    </row>
    <row r="143" spans="1:27" s="65" customFormat="1" x14ac:dyDescent="0.2">
      <c r="B143" s="42" t="s">
        <v>104</v>
      </c>
      <c r="C143" s="85" t="s">
        <v>25</v>
      </c>
      <c r="D143" s="85" t="s">
        <v>151</v>
      </c>
      <c r="E143" s="86">
        <v>36465</v>
      </c>
      <c r="F143" s="86">
        <v>39021</v>
      </c>
      <c r="G143" s="42" t="s">
        <v>21</v>
      </c>
      <c r="H143" s="42" t="s">
        <v>24</v>
      </c>
      <c r="I143" s="85" t="s">
        <v>22</v>
      </c>
      <c r="J143" s="88">
        <v>0</v>
      </c>
      <c r="K143" s="89">
        <v>0</v>
      </c>
      <c r="L143" s="89">
        <v>2.2000000000000001E-3</v>
      </c>
      <c r="M143" s="89">
        <v>0</v>
      </c>
      <c r="N143" s="89">
        <v>0</v>
      </c>
      <c r="O143" s="90">
        <v>0</v>
      </c>
      <c r="P143" s="89">
        <f>SUM(J143:N143)</f>
        <v>2.2000000000000001E-3</v>
      </c>
      <c r="Q143" s="91">
        <v>892597</v>
      </c>
      <c r="R143" s="91">
        <v>892085</v>
      </c>
      <c r="S143" s="85">
        <v>167</v>
      </c>
      <c r="T143" s="42" t="s">
        <v>272</v>
      </c>
      <c r="U143" s="93">
        <f t="shared" si="15"/>
        <v>0</v>
      </c>
      <c r="V143" s="93">
        <v>3108.2</v>
      </c>
      <c r="W143" s="94">
        <v>143319</v>
      </c>
      <c r="X143" s="94">
        <v>157570</v>
      </c>
      <c r="Y143" s="42" t="s">
        <v>508</v>
      </c>
      <c r="Z143" s="36"/>
      <c r="AA143" s="36"/>
    </row>
    <row r="144" spans="1:27" s="65" customFormat="1" x14ac:dyDescent="0.2">
      <c r="B144" s="42" t="s">
        <v>237</v>
      </c>
      <c r="C144" s="85" t="s">
        <v>25</v>
      </c>
      <c r="D144" s="85" t="s">
        <v>151</v>
      </c>
      <c r="E144" s="86">
        <v>36586</v>
      </c>
      <c r="F144" s="86">
        <v>39021</v>
      </c>
      <c r="G144" s="42" t="s">
        <v>21</v>
      </c>
      <c r="H144" s="42" t="s">
        <v>24</v>
      </c>
      <c r="I144" s="85" t="s">
        <v>23</v>
      </c>
      <c r="J144" s="88">
        <v>0</v>
      </c>
      <c r="K144" s="89">
        <v>0</v>
      </c>
      <c r="L144" s="89">
        <v>2.2000000000000001E-3</v>
      </c>
      <c r="M144" s="89">
        <v>0</v>
      </c>
      <c r="N144" s="89">
        <v>0</v>
      </c>
      <c r="O144" s="90">
        <v>0</v>
      </c>
      <c r="P144" s="89">
        <f>SUM(J144:N144)</f>
        <v>2.2000000000000001E-3</v>
      </c>
      <c r="Q144" s="91">
        <v>892722</v>
      </c>
      <c r="R144" s="91">
        <v>892592</v>
      </c>
      <c r="S144" s="85">
        <v>114</v>
      </c>
      <c r="T144" s="42" t="s">
        <v>321</v>
      </c>
      <c r="U144" s="93">
        <f>J144*J$1*S144</f>
        <v>0</v>
      </c>
      <c r="V144" s="93">
        <v>2211.84</v>
      </c>
      <c r="W144" s="94">
        <v>207137</v>
      </c>
      <c r="X144" s="94">
        <v>157545</v>
      </c>
      <c r="Y144" s="42"/>
      <c r="Z144" s="36"/>
      <c r="AA144" s="36"/>
    </row>
    <row r="145" spans="2:27" s="65" customFormat="1" x14ac:dyDescent="0.2">
      <c r="B145" s="42" t="s">
        <v>104</v>
      </c>
      <c r="C145" s="85" t="s">
        <v>25</v>
      </c>
      <c r="D145" s="85" t="s">
        <v>151</v>
      </c>
      <c r="E145" s="86">
        <v>36557</v>
      </c>
      <c r="F145" s="86">
        <v>41029</v>
      </c>
      <c r="G145" s="42" t="s">
        <v>24</v>
      </c>
      <c r="H145" s="42" t="s">
        <v>24</v>
      </c>
      <c r="I145" s="85" t="s">
        <v>22</v>
      </c>
      <c r="J145" s="88">
        <f>6.237*0.0328767</f>
        <v>0.20505197790000002</v>
      </c>
      <c r="K145" s="89">
        <v>0</v>
      </c>
      <c r="L145" s="89">
        <v>2.2000000000000001E-3</v>
      </c>
      <c r="M145" s="89">
        <v>0</v>
      </c>
      <c r="N145" s="89">
        <v>0</v>
      </c>
      <c r="O145" s="90">
        <v>0</v>
      </c>
      <c r="P145" s="89">
        <f t="shared" si="14"/>
        <v>0.20725197790000002</v>
      </c>
      <c r="Q145" s="91">
        <v>892590</v>
      </c>
      <c r="R145" s="91"/>
      <c r="S145" s="85">
        <v>74</v>
      </c>
      <c r="T145" s="42" t="s">
        <v>509</v>
      </c>
      <c r="U145" s="93">
        <v>0</v>
      </c>
      <c r="V145" s="93">
        <v>506.38</v>
      </c>
      <c r="W145" s="94">
        <v>245855</v>
      </c>
      <c r="X145" s="94"/>
      <c r="Y145" s="42"/>
      <c r="Z145" s="36"/>
      <c r="AA145" s="36"/>
    </row>
    <row r="146" spans="2:27" s="65" customFormat="1" x14ac:dyDescent="0.2">
      <c r="B146" s="42" t="s">
        <v>104</v>
      </c>
      <c r="C146" s="85" t="s">
        <v>25</v>
      </c>
      <c r="D146" s="85" t="s">
        <v>290</v>
      </c>
      <c r="E146" s="86">
        <v>36526</v>
      </c>
      <c r="F146" s="86">
        <v>36677</v>
      </c>
      <c r="G146" s="42" t="s">
        <v>291</v>
      </c>
      <c r="H146" s="42" t="s">
        <v>24</v>
      </c>
      <c r="I146" s="85" t="s">
        <v>23</v>
      </c>
      <c r="J146" s="88">
        <v>0.87839999999999996</v>
      </c>
      <c r="K146" s="89"/>
      <c r="L146" s="89"/>
      <c r="M146" s="89"/>
      <c r="N146" s="89"/>
      <c r="O146" s="90"/>
      <c r="P146" s="89"/>
      <c r="Q146" s="91"/>
      <c r="R146" s="91">
        <v>891719</v>
      </c>
      <c r="S146" s="85">
        <v>300</v>
      </c>
      <c r="T146" s="42" t="s">
        <v>292</v>
      </c>
      <c r="U146" s="93">
        <f>(+S146*J146)*31</f>
        <v>8169.119999999999</v>
      </c>
      <c r="V146" s="93"/>
      <c r="W146" s="94"/>
      <c r="X146" s="94">
        <v>202419</v>
      </c>
      <c r="Y146" s="42"/>
      <c r="Z146" s="36"/>
      <c r="AA146" s="36"/>
    </row>
    <row r="147" spans="2:27" s="65" customFormat="1" x14ac:dyDescent="0.2">
      <c r="B147" s="42" t="s">
        <v>104</v>
      </c>
      <c r="C147" s="85" t="s">
        <v>25</v>
      </c>
      <c r="D147" s="85" t="s">
        <v>151</v>
      </c>
      <c r="E147" s="86">
        <v>36465</v>
      </c>
      <c r="F147" s="86">
        <v>41394</v>
      </c>
      <c r="G147" s="42" t="s">
        <v>155</v>
      </c>
      <c r="H147" s="42" t="s">
        <v>0</v>
      </c>
      <c r="I147" s="85" t="s">
        <v>155</v>
      </c>
      <c r="J147" s="88">
        <v>0</v>
      </c>
      <c r="K147" s="89">
        <v>0</v>
      </c>
      <c r="L147" s="89">
        <v>2.2000000000000001E-3</v>
      </c>
      <c r="M147" s="89">
        <v>0</v>
      </c>
      <c r="N147" s="89">
        <v>0</v>
      </c>
      <c r="O147" s="90">
        <v>0</v>
      </c>
      <c r="P147" s="89">
        <f>SUM(J147:N147)</f>
        <v>2.2000000000000001E-3</v>
      </c>
      <c r="Q147" s="91"/>
      <c r="R147" s="91">
        <v>892102</v>
      </c>
      <c r="S147" s="85">
        <v>170</v>
      </c>
      <c r="T147" s="42" t="s">
        <v>156</v>
      </c>
      <c r="U147" s="93">
        <v>1056.1199999999999</v>
      </c>
      <c r="V147" s="93">
        <v>977.59</v>
      </c>
      <c r="W147" s="94"/>
      <c r="X147" s="94">
        <v>143323</v>
      </c>
      <c r="Y147" s="42"/>
      <c r="Z147" s="36"/>
      <c r="AA147" s="36"/>
    </row>
    <row r="148" spans="2:27" s="65" customFormat="1" x14ac:dyDescent="0.2">
      <c r="B148" s="42" t="s">
        <v>104</v>
      </c>
      <c r="C148" s="85" t="s">
        <v>25</v>
      </c>
      <c r="D148" s="85" t="s">
        <v>151</v>
      </c>
      <c r="E148" s="86">
        <v>36465</v>
      </c>
      <c r="F148" s="86">
        <v>41394</v>
      </c>
      <c r="G148" s="42" t="s">
        <v>155</v>
      </c>
      <c r="H148" s="42" t="s">
        <v>157</v>
      </c>
      <c r="I148" s="85" t="s">
        <v>155</v>
      </c>
      <c r="J148" s="88">
        <v>0</v>
      </c>
      <c r="K148" s="89">
        <v>0</v>
      </c>
      <c r="L148" s="89">
        <v>2.2000000000000001E-3</v>
      </c>
      <c r="M148" s="89">
        <v>0</v>
      </c>
      <c r="N148" s="89">
        <v>0</v>
      </c>
      <c r="O148" s="90">
        <v>0</v>
      </c>
      <c r="P148" s="89">
        <f t="shared" si="14"/>
        <v>2.2000000000000001E-3</v>
      </c>
      <c r="Q148" s="91"/>
      <c r="R148" s="91">
        <v>892102</v>
      </c>
      <c r="S148" s="85">
        <v>12207</v>
      </c>
      <c r="T148" s="42" t="s">
        <v>156</v>
      </c>
      <c r="U148" s="93">
        <f t="shared" si="15"/>
        <v>0</v>
      </c>
      <c r="V148" s="93">
        <v>151.37</v>
      </c>
      <c r="W148" s="94"/>
      <c r="X148" s="94">
        <v>143323</v>
      </c>
      <c r="Y148" s="42"/>
      <c r="Z148" s="36"/>
      <c r="AA148" s="36"/>
    </row>
    <row r="149" spans="2:27" s="99" customFormat="1" x14ac:dyDescent="0.2">
      <c r="B149" s="42" t="s">
        <v>237</v>
      </c>
      <c r="C149" s="85" t="s">
        <v>25</v>
      </c>
      <c r="D149" s="85" t="s">
        <v>204</v>
      </c>
      <c r="E149" s="86">
        <v>36586</v>
      </c>
      <c r="F149" s="86">
        <v>36616</v>
      </c>
      <c r="G149" s="42" t="s">
        <v>21</v>
      </c>
      <c r="H149" s="42" t="s">
        <v>24</v>
      </c>
      <c r="I149" s="85" t="s">
        <v>23</v>
      </c>
      <c r="J149" s="88">
        <v>0.65</v>
      </c>
      <c r="K149" s="89">
        <v>0</v>
      </c>
      <c r="L149" s="89">
        <v>2.2000000000000001E-3</v>
      </c>
      <c r="M149" s="89">
        <v>0</v>
      </c>
      <c r="N149" s="89">
        <v>0</v>
      </c>
      <c r="O149" s="90">
        <v>0</v>
      </c>
      <c r="P149" s="89">
        <f>SUM(J149:N149)</f>
        <v>0.6522</v>
      </c>
      <c r="Q149" s="91">
        <v>892686</v>
      </c>
      <c r="R149" s="91" t="s">
        <v>312</v>
      </c>
      <c r="S149" s="85">
        <v>105</v>
      </c>
      <c r="T149" s="42" t="s">
        <v>311</v>
      </c>
      <c r="U149" s="93">
        <f t="shared" si="15"/>
        <v>2115.75</v>
      </c>
      <c r="V149" s="93"/>
      <c r="W149" s="94">
        <v>205504</v>
      </c>
      <c r="X149" s="94">
        <v>145307</v>
      </c>
      <c r="Y149" s="42"/>
      <c r="Z149" s="98"/>
      <c r="AA149" s="98"/>
    </row>
    <row r="150" spans="2:27" s="99" customFormat="1" x14ac:dyDescent="0.2">
      <c r="B150" s="42" t="s">
        <v>237</v>
      </c>
      <c r="C150" s="85" t="s">
        <v>25</v>
      </c>
      <c r="D150" s="85" t="s">
        <v>267</v>
      </c>
      <c r="E150" s="86">
        <v>36586</v>
      </c>
      <c r="F150" s="86">
        <v>36616</v>
      </c>
      <c r="G150" s="42" t="s">
        <v>30</v>
      </c>
      <c r="H150" s="42" t="s">
        <v>30</v>
      </c>
      <c r="I150" s="85" t="s">
        <v>334</v>
      </c>
      <c r="J150" s="88">
        <f>1.2167*0.0328767</f>
        <v>4.0001080889999999E-2</v>
      </c>
      <c r="K150" s="89"/>
      <c r="L150" s="89"/>
      <c r="M150" s="89"/>
      <c r="N150" s="89"/>
      <c r="O150" s="90"/>
      <c r="P150" s="89"/>
      <c r="Q150" s="91">
        <v>892687</v>
      </c>
      <c r="R150" s="91"/>
      <c r="S150" s="85">
        <v>41</v>
      </c>
      <c r="T150" s="42" t="s">
        <v>335</v>
      </c>
      <c r="U150" s="93">
        <f>+J150*S150*J$1</f>
        <v>50.841373811190003</v>
      </c>
      <c r="V150" s="93"/>
      <c r="W150" s="94">
        <v>205587</v>
      </c>
      <c r="X150" s="94"/>
      <c r="Y150" s="42"/>
      <c r="Z150" s="98"/>
      <c r="AA150" s="98"/>
    </row>
    <row r="151" spans="2:27" s="99" customFormat="1" x14ac:dyDescent="0.2">
      <c r="B151" s="42" t="s">
        <v>237</v>
      </c>
      <c r="C151" s="85" t="s">
        <v>25</v>
      </c>
      <c r="D151" s="85" t="s">
        <v>267</v>
      </c>
      <c r="E151" s="86">
        <v>36586</v>
      </c>
      <c r="F151" s="86">
        <v>36616</v>
      </c>
      <c r="G151" s="42" t="s">
        <v>333</v>
      </c>
      <c r="H151" s="42" t="s">
        <v>30</v>
      </c>
      <c r="I151" s="85" t="s">
        <v>22</v>
      </c>
      <c r="J151" s="88">
        <f>5.075*0.0328767</f>
        <v>0.16684925250000002</v>
      </c>
      <c r="K151" s="89"/>
      <c r="L151" s="89"/>
      <c r="M151" s="89"/>
      <c r="N151" s="89"/>
      <c r="O151" s="90"/>
      <c r="P151" s="89"/>
      <c r="Q151" s="91">
        <v>892690</v>
      </c>
      <c r="R151" s="91"/>
      <c r="S151" s="85">
        <v>41</v>
      </c>
      <c r="T151" s="42" t="s">
        <v>332</v>
      </c>
      <c r="U151" s="93">
        <f>+J151*S151*J$1</f>
        <v>212.06539992750001</v>
      </c>
      <c r="V151" s="93"/>
      <c r="W151" s="94">
        <v>205590</v>
      </c>
      <c r="X151" s="94"/>
      <c r="Y151" s="42"/>
      <c r="Z151" s="98"/>
      <c r="AA151" s="98"/>
    </row>
    <row r="152" spans="2:27" ht="11.25" customHeight="1" x14ac:dyDescent="0.2">
      <c r="B152" s="1"/>
      <c r="C152" s="3"/>
      <c r="D152" s="3"/>
      <c r="E152" s="4"/>
      <c r="F152" s="4"/>
      <c r="G152" s="1"/>
      <c r="H152" s="1"/>
      <c r="I152" s="3"/>
      <c r="J152" s="8"/>
      <c r="K152" s="5"/>
      <c r="L152" s="23"/>
      <c r="M152" s="5"/>
      <c r="N152" s="5"/>
      <c r="O152" s="46"/>
      <c r="P152" s="5"/>
      <c r="Q152" s="24"/>
      <c r="R152" s="24"/>
      <c r="S152" s="2">
        <f>SUM(S137:S151)</f>
        <v>13461</v>
      </c>
      <c r="T152" s="3"/>
      <c r="U152" s="9">
        <f>SUM(U137:U151)</f>
        <v>11603.896773738688</v>
      </c>
      <c r="V152" s="9"/>
      <c r="W152" s="59"/>
      <c r="X152" s="59"/>
      <c r="Y152" s="1"/>
      <c r="Z152" s="36"/>
      <c r="AA152" s="36"/>
    </row>
    <row r="153" spans="2:27" x14ac:dyDescent="0.2">
      <c r="B153" s="16" t="s">
        <v>4</v>
      </c>
      <c r="C153" s="17" t="s">
        <v>5</v>
      </c>
      <c r="D153" s="17" t="s">
        <v>6</v>
      </c>
      <c r="E153" s="18" t="s">
        <v>7</v>
      </c>
      <c r="F153" s="18"/>
      <c r="G153" s="16" t="s">
        <v>8</v>
      </c>
      <c r="H153" s="16" t="s">
        <v>9</v>
      </c>
      <c r="I153" s="17" t="s">
        <v>53</v>
      </c>
      <c r="J153" s="19" t="s">
        <v>10</v>
      </c>
      <c r="K153" s="17" t="s">
        <v>11</v>
      </c>
      <c r="L153" s="17" t="s">
        <v>12</v>
      </c>
      <c r="M153" s="17" t="s">
        <v>13</v>
      </c>
      <c r="N153" s="17" t="s">
        <v>14</v>
      </c>
      <c r="O153" s="47" t="s">
        <v>15</v>
      </c>
      <c r="P153" s="17" t="s">
        <v>16</v>
      </c>
      <c r="Q153" s="20" t="s">
        <v>234</v>
      </c>
      <c r="R153" s="20" t="s">
        <v>233</v>
      </c>
      <c r="S153" s="17" t="s">
        <v>17</v>
      </c>
      <c r="T153" s="16" t="s">
        <v>18</v>
      </c>
      <c r="U153" s="21" t="s">
        <v>52</v>
      </c>
      <c r="V153" s="21" t="s">
        <v>51</v>
      </c>
      <c r="W153" s="57" t="s">
        <v>235</v>
      </c>
      <c r="X153" s="57" t="s">
        <v>236</v>
      </c>
      <c r="Y153" s="62">
        <f>+Y93</f>
        <v>0</v>
      </c>
      <c r="Z153" s="36"/>
      <c r="AA153" s="36"/>
    </row>
    <row r="154" spans="2:27" s="65" customFormat="1" x14ac:dyDescent="0.2">
      <c r="B154" s="42" t="s">
        <v>104</v>
      </c>
      <c r="C154" s="85" t="s">
        <v>158</v>
      </c>
      <c r="D154" s="85" t="s">
        <v>151</v>
      </c>
      <c r="E154" s="86">
        <v>35977</v>
      </c>
      <c r="F154" s="86">
        <v>38657</v>
      </c>
      <c r="G154" s="42" t="s">
        <v>165</v>
      </c>
      <c r="H154" s="42" t="s">
        <v>159</v>
      </c>
      <c r="I154" s="85" t="s">
        <v>160</v>
      </c>
      <c r="J154" s="88">
        <v>0</v>
      </c>
      <c r="K154" s="89">
        <v>0</v>
      </c>
      <c r="L154" s="89">
        <v>2.2000000000000001E-3</v>
      </c>
      <c r="M154" s="89">
        <v>0</v>
      </c>
      <c r="N154" s="89">
        <v>0</v>
      </c>
      <c r="O154" s="90">
        <v>0</v>
      </c>
      <c r="P154" s="89">
        <f t="shared" ref="P154:P161" si="16">SUM(J154:N154)</f>
        <v>2.2000000000000001E-3</v>
      </c>
      <c r="Q154" s="91" t="s">
        <v>266</v>
      </c>
      <c r="R154" s="91" t="s">
        <v>162</v>
      </c>
      <c r="S154" s="85">
        <v>16</v>
      </c>
      <c r="T154" s="42" t="s">
        <v>265</v>
      </c>
      <c r="U154" s="93">
        <f t="shared" ref="U154:U159" si="17">J154*J$1*S154</f>
        <v>0</v>
      </c>
      <c r="V154" s="93"/>
      <c r="W154" s="94"/>
      <c r="X154" s="94">
        <v>143324</v>
      </c>
      <c r="Y154" s="1"/>
      <c r="Z154" s="36"/>
      <c r="AA154" s="36"/>
    </row>
    <row r="155" spans="2:27" s="65" customFormat="1" x14ac:dyDescent="0.2">
      <c r="B155" s="42" t="s">
        <v>104</v>
      </c>
      <c r="C155" s="85" t="s">
        <v>158</v>
      </c>
      <c r="D155" s="85" t="s">
        <v>151</v>
      </c>
      <c r="E155" s="86">
        <v>35977</v>
      </c>
      <c r="F155" s="86">
        <v>38657</v>
      </c>
      <c r="G155" s="42" t="s">
        <v>166</v>
      </c>
      <c r="H155" s="42" t="s">
        <v>159</v>
      </c>
      <c r="I155" s="85" t="s">
        <v>160</v>
      </c>
      <c r="J155" s="88">
        <v>0</v>
      </c>
      <c r="K155" s="89">
        <v>0</v>
      </c>
      <c r="L155" s="89">
        <v>2.2000000000000001E-3</v>
      </c>
      <c r="M155" s="89">
        <v>0</v>
      </c>
      <c r="N155" s="89">
        <v>0</v>
      </c>
      <c r="O155" s="90">
        <v>0</v>
      </c>
      <c r="P155" s="89">
        <f t="shared" si="16"/>
        <v>2.2000000000000001E-3</v>
      </c>
      <c r="Q155" s="91" t="s">
        <v>266</v>
      </c>
      <c r="R155" s="91" t="s">
        <v>162</v>
      </c>
      <c r="S155" s="85">
        <v>17</v>
      </c>
      <c r="T155" s="42" t="s">
        <v>265</v>
      </c>
      <c r="U155" s="93">
        <f t="shared" si="17"/>
        <v>0</v>
      </c>
      <c r="V155" s="93"/>
      <c r="W155" s="94"/>
      <c r="X155" s="94">
        <v>143324</v>
      </c>
      <c r="Y155" s="1"/>
      <c r="Z155" s="36"/>
      <c r="AA155" s="36"/>
    </row>
    <row r="156" spans="2:27" s="65" customFormat="1" x14ac:dyDescent="0.2">
      <c r="B156" s="42" t="s">
        <v>104</v>
      </c>
      <c r="C156" s="85" t="s">
        <v>158</v>
      </c>
      <c r="D156" s="85" t="s">
        <v>151</v>
      </c>
      <c r="E156" s="86">
        <v>36161</v>
      </c>
      <c r="F156" s="86">
        <v>38657</v>
      </c>
      <c r="G156" s="42" t="s">
        <v>165</v>
      </c>
      <c r="H156" s="42" t="s">
        <v>159</v>
      </c>
      <c r="I156" s="85" t="s">
        <v>161</v>
      </c>
      <c r="J156" s="88">
        <v>0</v>
      </c>
      <c r="K156" s="89">
        <v>0</v>
      </c>
      <c r="L156" s="89">
        <v>2.2000000000000001E-3</v>
      </c>
      <c r="M156" s="89">
        <v>0</v>
      </c>
      <c r="N156" s="89">
        <v>0</v>
      </c>
      <c r="O156" s="90">
        <v>0</v>
      </c>
      <c r="P156" s="89">
        <f t="shared" si="16"/>
        <v>2.2000000000000001E-3</v>
      </c>
      <c r="Q156" s="91" t="s">
        <v>266</v>
      </c>
      <c r="R156" s="91" t="s">
        <v>163</v>
      </c>
      <c r="S156" s="85">
        <v>19</v>
      </c>
      <c r="T156" s="42" t="s">
        <v>265</v>
      </c>
      <c r="U156" s="93">
        <f t="shared" si="17"/>
        <v>0</v>
      </c>
      <c r="V156" s="93"/>
      <c r="W156" s="94"/>
      <c r="X156" s="94">
        <v>143326</v>
      </c>
      <c r="Y156" s="1"/>
      <c r="Z156" s="36"/>
      <c r="AA156" s="36"/>
    </row>
    <row r="157" spans="2:27" s="65" customFormat="1" x14ac:dyDescent="0.2">
      <c r="B157" s="42" t="s">
        <v>104</v>
      </c>
      <c r="C157" s="85" t="s">
        <v>158</v>
      </c>
      <c r="D157" s="85" t="s">
        <v>151</v>
      </c>
      <c r="E157" s="86">
        <v>36161</v>
      </c>
      <c r="F157" s="86">
        <v>38657</v>
      </c>
      <c r="G157" s="42" t="s">
        <v>166</v>
      </c>
      <c r="H157" s="42" t="s">
        <v>159</v>
      </c>
      <c r="I157" s="85" t="s">
        <v>161</v>
      </c>
      <c r="J157" s="88">
        <v>0</v>
      </c>
      <c r="K157" s="89">
        <v>0</v>
      </c>
      <c r="L157" s="89">
        <v>2.2000000000000001E-3</v>
      </c>
      <c r="M157" s="89">
        <v>0</v>
      </c>
      <c r="N157" s="89">
        <v>0</v>
      </c>
      <c r="O157" s="90">
        <v>0</v>
      </c>
      <c r="P157" s="89">
        <f t="shared" si="16"/>
        <v>2.2000000000000001E-3</v>
      </c>
      <c r="Q157" s="91" t="s">
        <v>266</v>
      </c>
      <c r="R157" s="91" t="s">
        <v>163</v>
      </c>
      <c r="S157" s="85">
        <v>17</v>
      </c>
      <c r="T157" s="42" t="s">
        <v>265</v>
      </c>
      <c r="U157" s="93">
        <f t="shared" si="17"/>
        <v>0</v>
      </c>
      <c r="V157" s="93"/>
      <c r="W157" s="94"/>
      <c r="X157" s="94">
        <v>143326</v>
      </c>
      <c r="Y157" s="1"/>
      <c r="Z157" s="36"/>
      <c r="AA157" s="36"/>
    </row>
    <row r="158" spans="2:27" s="65" customFormat="1" x14ac:dyDescent="0.2">
      <c r="B158" s="42" t="s">
        <v>237</v>
      </c>
      <c r="C158" s="85" t="s">
        <v>158</v>
      </c>
      <c r="D158" s="85" t="s">
        <v>151</v>
      </c>
      <c r="E158" s="86">
        <v>36220</v>
      </c>
      <c r="F158" s="86">
        <v>38656</v>
      </c>
      <c r="G158" s="42" t="s">
        <v>165</v>
      </c>
      <c r="H158" s="42" t="s">
        <v>159</v>
      </c>
      <c r="I158" s="85" t="s">
        <v>161</v>
      </c>
      <c r="J158" s="88">
        <v>0</v>
      </c>
      <c r="K158" s="89">
        <v>0</v>
      </c>
      <c r="L158" s="89">
        <v>2.2000000000000001E-3</v>
      </c>
      <c r="M158" s="89">
        <v>0</v>
      </c>
      <c r="N158" s="89">
        <v>0</v>
      </c>
      <c r="O158" s="90">
        <v>0</v>
      </c>
      <c r="P158" s="89">
        <f t="shared" si="16"/>
        <v>2.2000000000000001E-3</v>
      </c>
      <c r="Q158" s="91" t="s">
        <v>268</v>
      </c>
      <c r="R158" s="91" t="s">
        <v>164</v>
      </c>
      <c r="S158" s="85">
        <v>25</v>
      </c>
      <c r="T158" s="42" t="s">
        <v>265</v>
      </c>
      <c r="U158" s="93">
        <f t="shared" si="17"/>
        <v>0</v>
      </c>
      <c r="V158" s="93"/>
      <c r="W158" s="94"/>
      <c r="X158" s="94">
        <v>157260</v>
      </c>
      <c r="Y158" s="1"/>
      <c r="Z158" s="36"/>
      <c r="AA158" s="36"/>
    </row>
    <row r="159" spans="2:27" s="65" customFormat="1" x14ac:dyDescent="0.2">
      <c r="B159" s="42" t="s">
        <v>237</v>
      </c>
      <c r="C159" s="85" t="s">
        <v>158</v>
      </c>
      <c r="D159" s="85" t="s">
        <v>151</v>
      </c>
      <c r="E159" s="86">
        <v>36220</v>
      </c>
      <c r="F159" s="86">
        <v>38656</v>
      </c>
      <c r="G159" s="42" t="s">
        <v>166</v>
      </c>
      <c r="H159" s="42" t="s">
        <v>159</v>
      </c>
      <c r="I159" s="85" t="s">
        <v>161</v>
      </c>
      <c r="J159" s="88">
        <v>0</v>
      </c>
      <c r="K159" s="89">
        <v>0</v>
      </c>
      <c r="L159" s="89">
        <v>2.2000000000000001E-3</v>
      </c>
      <c r="M159" s="89">
        <v>0</v>
      </c>
      <c r="N159" s="89">
        <v>0</v>
      </c>
      <c r="O159" s="90">
        <v>0</v>
      </c>
      <c r="P159" s="89">
        <f t="shared" si="16"/>
        <v>2.2000000000000001E-3</v>
      </c>
      <c r="Q159" s="91" t="s">
        <v>268</v>
      </c>
      <c r="R159" s="91" t="s">
        <v>164</v>
      </c>
      <c r="S159" s="85">
        <v>21</v>
      </c>
      <c r="T159" s="42" t="s">
        <v>265</v>
      </c>
      <c r="U159" s="93">
        <f t="shared" si="17"/>
        <v>0</v>
      </c>
      <c r="V159" s="93"/>
      <c r="W159" s="94"/>
      <c r="X159" s="94">
        <v>157260</v>
      </c>
      <c r="Y159" s="1"/>
      <c r="Z159" s="36"/>
      <c r="AA159" s="36"/>
    </row>
    <row r="160" spans="2:27" s="65" customFormat="1" x14ac:dyDescent="0.2">
      <c r="B160" s="42" t="s">
        <v>104</v>
      </c>
      <c r="C160" s="85" t="s">
        <v>158</v>
      </c>
      <c r="D160" s="85" t="s">
        <v>151</v>
      </c>
      <c r="E160" s="86">
        <v>36586</v>
      </c>
      <c r="F160" s="86">
        <v>38656</v>
      </c>
      <c r="G160" s="42" t="s">
        <v>505</v>
      </c>
      <c r="H160" s="42" t="s">
        <v>506</v>
      </c>
      <c r="I160" s="85" t="s">
        <v>161</v>
      </c>
      <c r="J160" s="88">
        <v>0.30740000000000001</v>
      </c>
      <c r="K160" s="89"/>
      <c r="L160" s="89"/>
      <c r="M160" s="89"/>
      <c r="N160" s="89"/>
      <c r="O160" s="90"/>
      <c r="P160" s="89"/>
      <c r="Q160" s="91" t="s">
        <v>507</v>
      </c>
      <c r="R160" s="91"/>
      <c r="S160" s="85">
        <v>41</v>
      </c>
      <c r="T160" s="42"/>
      <c r="U160" s="93">
        <f>+S160*J160*30</f>
        <v>378.10200000000003</v>
      </c>
      <c r="V160" s="93"/>
      <c r="W160" s="94">
        <v>209329</v>
      </c>
      <c r="X160" s="94"/>
      <c r="Y160" s="1"/>
      <c r="Z160" s="36"/>
      <c r="AA160" s="36"/>
    </row>
    <row r="161" spans="2:27" s="65" customFormat="1" x14ac:dyDescent="0.2">
      <c r="B161" s="42" t="s">
        <v>237</v>
      </c>
      <c r="C161" s="85" t="s">
        <v>158</v>
      </c>
      <c r="D161" s="85" t="s">
        <v>267</v>
      </c>
      <c r="E161" s="86">
        <v>36586</v>
      </c>
      <c r="F161" s="86">
        <v>36616</v>
      </c>
      <c r="G161" s="42" t="s">
        <v>166</v>
      </c>
      <c r="H161" s="42" t="s">
        <v>159</v>
      </c>
      <c r="I161" s="85" t="s">
        <v>161</v>
      </c>
      <c r="J161" s="102">
        <v>0.31380000000000002</v>
      </c>
      <c r="K161" s="102">
        <v>2.7900000000000001E-2</v>
      </c>
      <c r="L161" s="102">
        <v>2.2000000000000001E-3</v>
      </c>
      <c r="M161" s="102">
        <v>7.1999999999999998E-3</v>
      </c>
      <c r="N161" s="102">
        <v>0</v>
      </c>
      <c r="O161" s="90">
        <v>0</v>
      </c>
      <c r="P161" s="89">
        <f t="shared" si="16"/>
        <v>0.35109999999999997</v>
      </c>
      <c r="Q161" s="91" t="s">
        <v>310</v>
      </c>
      <c r="R161" s="91" t="s">
        <v>279</v>
      </c>
      <c r="S161" s="91">
        <v>1405</v>
      </c>
      <c r="T161" s="85" t="s">
        <v>309</v>
      </c>
      <c r="U161" s="103">
        <f>+(0.3074*S161)*31</f>
        <v>13388.806999999999</v>
      </c>
      <c r="V161" s="103"/>
      <c r="W161" s="104">
        <v>204625</v>
      </c>
      <c r="X161" s="104"/>
      <c r="Y161" s="1"/>
      <c r="Z161" s="36"/>
      <c r="AA161" s="36"/>
    </row>
    <row r="162" spans="2:27" x14ac:dyDescent="0.2">
      <c r="B162" s="1"/>
      <c r="C162" s="3"/>
      <c r="D162" s="3"/>
      <c r="E162" s="4" t="s">
        <v>3</v>
      </c>
      <c r="F162" s="4"/>
      <c r="G162" s="1"/>
      <c r="H162" s="1"/>
      <c r="I162" s="3"/>
      <c r="J162" s="8"/>
      <c r="K162" s="5"/>
      <c r="L162" s="23"/>
      <c r="M162" s="5"/>
      <c r="N162" s="5"/>
      <c r="O162" s="46"/>
      <c r="P162" s="5"/>
      <c r="Q162" s="52"/>
      <c r="R162" s="52"/>
      <c r="S162" s="53">
        <f>SUM(S154:S161)</f>
        <v>1561</v>
      </c>
      <c r="T162" s="40"/>
      <c r="U162" s="39">
        <f>SUM(U154:U161)</f>
        <v>13766.909</v>
      </c>
      <c r="V162" s="39"/>
      <c r="W162" s="60"/>
      <c r="X162" s="60"/>
      <c r="Y162" s="63"/>
      <c r="Z162" s="35"/>
      <c r="AA162" s="35"/>
    </row>
    <row r="163" spans="2:27" x14ac:dyDescent="0.2">
      <c r="B163" s="16" t="s">
        <v>4</v>
      </c>
      <c r="C163" s="17" t="s">
        <v>5</v>
      </c>
      <c r="D163" s="17" t="s">
        <v>6</v>
      </c>
      <c r="E163" s="18" t="s">
        <v>7</v>
      </c>
      <c r="F163" s="18"/>
      <c r="G163" s="16" t="s">
        <v>8</v>
      </c>
      <c r="H163" s="16" t="s">
        <v>9</v>
      </c>
      <c r="I163" s="17" t="s">
        <v>53</v>
      </c>
      <c r="J163" s="19" t="s">
        <v>10</v>
      </c>
      <c r="K163" s="17" t="s">
        <v>11</v>
      </c>
      <c r="L163" s="17" t="s">
        <v>12</v>
      </c>
      <c r="M163" s="17" t="s">
        <v>13</v>
      </c>
      <c r="N163" s="17" t="s">
        <v>14</v>
      </c>
      <c r="O163" s="47" t="s">
        <v>15</v>
      </c>
      <c r="P163" s="17" t="s">
        <v>16</v>
      </c>
      <c r="Q163" s="20" t="s">
        <v>234</v>
      </c>
      <c r="R163" s="20" t="s">
        <v>233</v>
      </c>
      <c r="S163" s="17" t="s">
        <v>17</v>
      </c>
      <c r="T163" s="16" t="s">
        <v>18</v>
      </c>
      <c r="U163" s="21" t="s">
        <v>52</v>
      </c>
      <c r="V163" s="21" t="s">
        <v>51</v>
      </c>
      <c r="W163" s="57" t="s">
        <v>235</v>
      </c>
      <c r="X163" s="57" t="s">
        <v>236</v>
      </c>
      <c r="Y163" s="62" t="e">
        <f>+#REF!</f>
        <v>#REF!</v>
      </c>
      <c r="Z163" s="36"/>
      <c r="AA163" s="36"/>
    </row>
    <row r="164" spans="2:27" s="99" customFormat="1" x14ac:dyDescent="0.2">
      <c r="B164" s="42" t="s">
        <v>104</v>
      </c>
      <c r="C164" s="85" t="s">
        <v>1</v>
      </c>
      <c r="D164" s="85" t="s">
        <v>167</v>
      </c>
      <c r="E164" s="86">
        <v>36586</v>
      </c>
      <c r="F164" s="86">
        <v>36616</v>
      </c>
      <c r="G164" s="42" t="s">
        <v>33</v>
      </c>
      <c r="H164" s="42" t="s">
        <v>167</v>
      </c>
      <c r="I164" s="85" t="s">
        <v>168</v>
      </c>
      <c r="J164" s="88">
        <v>0</v>
      </c>
      <c r="K164" s="89">
        <v>0</v>
      </c>
      <c r="L164" s="89">
        <v>2.2000000000000001E-3</v>
      </c>
      <c r="M164" s="89">
        <v>0</v>
      </c>
      <c r="N164" s="89">
        <v>0</v>
      </c>
      <c r="O164" s="90">
        <v>0</v>
      </c>
      <c r="P164" s="89">
        <f>SUM(J164:N164)</f>
        <v>2.2000000000000001E-3</v>
      </c>
      <c r="Q164" s="91"/>
      <c r="R164" s="91" t="s">
        <v>316</v>
      </c>
      <c r="S164" s="85">
        <v>55</v>
      </c>
      <c r="T164" s="87" t="s">
        <v>317</v>
      </c>
      <c r="U164" s="93">
        <f t="shared" ref="U164:U184" si="18">J164*J$1*S164</f>
        <v>0</v>
      </c>
      <c r="V164" s="93"/>
      <c r="W164" s="94"/>
      <c r="X164" s="94" t="s">
        <v>318</v>
      </c>
      <c r="Y164" s="42"/>
      <c r="Z164" s="98"/>
      <c r="AA164" s="98"/>
    </row>
    <row r="165" spans="2:27" s="99" customFormat="1" x14ac:dyDescent="0.2">
      <c r="B165" s="42" t="s">
        <v>104</v>
      </c>
      <c r="C165" s="85" t="s">
        <v>1</v>
      </c>
      <c r="D165" s="85" t="s">
        <v>167</v>
      </c>
      <c r="E165" s="86">
        <v>36586</v>
      </c>
      <c r="F165" s="86">
        <v>36616</v>
      </c>
      <c r="G165" s="42" t="s">
        <v>169</v>
      </c>
      <c r="H165" s="42" t="s">
        <v>167</v>
      </c>
      <c r="I165" s="85" t="s">
        <v>168</v>
      </c>
      <c r="J165" s="88">
        <v>0</v>
      </c>
      <c r="K165" s="89">
        <v>0</v>
      </c>
      <c r="L165" s="89">
        <v>2.2000000000000001E-3</v>
      </c>
      <c r="M165" s="89">
        <v>0</v>
      </c>
      <c r="N165" s="89">
        <v>0</v>
      </c>
      <c r="O165" s="90">
        <v>0</v>
      </c>
      <c r="P165" s="89">
        <f t="shared" ref="P165:P170" si="19">SUM(J165:N165)</f>
        <v>2.2000000000000001E-3</v>
      </c>
      <c r="Q165" s="91"/>
      <c r="R165" s="91" t="s">
        <v>316</v>
      </c>
      <c r="S165" s="85">
        <v>81</v>
      </c>
      <c r="T165" s="87" t="s">
        <v>317</v>
      </c>
      <c r="U165" s="93">
        <f t="shared" si="18"/>
        <v>0</v>
      </c>
      <c r="V165" s="93"/>
      <c r="W165" s="94"/>
      <c r="X165" s="94" t="s">
        <v>318</v>
      </c>
      <c r="Y165" s="42"/>
      <c r="Z165" s="98"/>
      <c r="AA165" s="98"/>
    </row>
    <row r="166" spans="2:27" s="99" customFormat="1" x14ac:dyDescent="0.2">
      <c r="B166" s="42" t="s">
        <v>104</v>
      </c>
      <c r="C166" s="85" t="s">
        <v>1</v>
      </c>
      <c r="D166" s="85" t="s">
        <v>167</v>
      </c>
      <c r="E166" s="86">
        <v>36586</v>
      </c>
      <c r="F166" s="86">
        <v>36616</v>
      </c>
      <c r="G166" s="42" t="s">
        <v>170</v>
      </c>
      <c r="H166" s="42" t="s">
        <v>167</v>
      </c>
      <c r="I166" s="85" t="s">
        <v>168</v>
      </c>
      <c r="J166" s="88">
        <v>0</v>
      </c>
      <c r="K166" s="89">
        <v>0</v>
      </c>
      <c r="L166" s="89">
        <v>2.2000000000000001E-3</v>
      </c>
      <c r="M166" s="89">
        <v>0</v>
      </c>
      <c r="N166" s="89">
        <v>0</v>
      </c>
      <c r="O166" s="90">
        <v>0</v>
      </c>
      <c r="P166" s="89">
        <f t="shared" si="19"/>
        <v>2.2000000000000001E-3</v>
      </c>
      <c r="Q166" s="91"/>
      <c r="R166" s="91" t="s">
        <v>316</v>
      </c>
      <c r="S166" s="85">
        <v>188</v>
      </c>
      <c r="T166" s="87" t="s">
        <v>317</v>
      </c>
      <c r="U166" s="93">
        <f t="shared" si="18"/>
        <v>0</v>
      </c>
      <c r="V166" s="93"/>
      <c r="W166" s="94"/>
      <c r="X166" s="94" t="s">
        <v>318</v>
      </c>
      <c r="Y166" s="42"/>
      <c r="Z166" s="98"/>
      <c r="AA166" s="98"/>
    </row>
    <row r="167" spans="2:27" s="99" customFormat="1" x14ac:dyDescent="0.2">
      <c r="B167" s="42" t="s">
        <v>237</v>
      </c>
      <c r="C167" s="85" t="s">
        <v>1</v>
      </c>
      <c r="D167" s="85" t="s">
        <v>142</v>
      </c>
      <c r="E167" s="86">
        <v>36586</v>
      </c>
      <c r="F167" s="86">
        <v>36616</v>
      </c>
      <c r="G167" s="42" t="s">
        <v>33</v>
      </c>
      <c r="H167" s="87" t="s">
        <v>171</v>
      </c>
      <c r="I167" s="85" t="s">
        <v>168</v>
      </c>
      <c r="J167" s="88">
        <f t="shared" ref="J167:J172" si="20">7.5958/J$1</f>
        <v>0.2450258064516129</v>
      </c>
      <c r="K167" s="89">
        <v>0</v>
      </c>
      <c r="L167" s="89">
        <v>2.2000000000000001E-3</v>
      </c>
      <c r="M167" s="89">
        <v>0</v>
      </c>
      <c r="N167" s="89">
        <v>0</v>
      </c>
      <c r="O167" s="90">
        <v>0</v>
      </c>
      <c r="P167" s="89">
        <f>SUM(J167:N167)</f>
        <v>0.24722580645161291</v>
      </c>
      <c r="Q167" s="91" t="s">
        <v>299</v>
      </c>
      <c r="R167" s="91" t="s">
        <v>238</v>
      </c>
      <c r="S167" s="85">
        <v>1173</v>
      </c>
      <c r="T167" s="42" t="s">
        <v>302</v>
      </c>
      <c r="U167" s="97">
        <f t="shared" si="18"/>
        <v>8909.8734000000004</v>
      </c>
      <c r="V167" s="93"/>
      <c r="W167" s="94"/>
      <c r="X167" s="94" t="s">
        <v>277</v>
      </c>
      <c r="Y167" s="42"/>
      <c r="Z167" s="98"/>
      <c r="AA167" s="98"/>
    </row>
    <row r="168" spans="2:27" s="99" customFormat="1" x14ac:dyDescent="0.2">
      <c r="B168" s="42" t="s">
        <v>237</v>
      </c>
      <c r="C168" s="85" t="s">
        <v>1</v>
      </c>
      <c r="D168" s="85" t="s">
        <v>142</v>
      </c>
      <c r="E168" s="86">
        <v>36586</v>
      </c>
      <c r="F168" s="86">
        <v>36616</v>
      </c>
      <c r="G168" s="42" t="s">
        <v>169</v>
      </c>
      <c r="H168" s="87" t="s">
        <v>171</v>
      </c>
      <c r="I168" s="85" t="s">
        <v>168</v>
      </c>
      <c r="J168" s="88">
        <f t="shared" si="20"/>
        <v>0.2450258064516129</v>
      </c>
      <c r="K168" s="89">
        <v>0</v>
      </c>
      <c r="L168" s="89">
        <v>2.2000000000000001E-3</v>
      </c>
      <c r="M168" s="89">
        <v>0</v>
      </c>
      <c r="N168" s="89">
        <v>0</v>
      </c>
      <c r="O168" s="90">
        <v>0</v>
      </c>
      <c r="P168" s="89">
        <f>SUM(J168:N168)</f>
        <v>0.24722580645161291</v>
      </c>
      <c r="Q168" s="91" t="s">
        <v>300</v>
      </c>
      <c r="R168" s="91" t="s">
        <v>238</v>
      </c>
      <c r="S168" s="85">
        <v>1726</v>
      </c>
      <c r="T168" s="42" t="s">
        <v>302</v>
      </c>
      <c r="U168" s="97">
        <f t="shared" si="18"/>
        <v>13110.3508</v>
      </c>
      <c r="V168" s="93"/>
      <c r="W168" s="94"/>
      <c r="X168" s="94" t="s">
        <v>277</v>
      </c>
      <c r="Y168" s="42"/>
      <c r="Z168" s="98"/>
      <c r="AA168" s="98"/>
    </row>
    <row r="169" spans="2:27" s="99" customFormat="1" x14ac:dyDescent="0.2">
      <c r="B169" s="42" t="s">
        <v>237</v>
      </c>
      <c r="C169" s="85" t="s">
        <v>1</v>
      </c>
      <c r="D169" s="85" t="s">
        <v>142</v>
      </c>
      <c r="E169" s="86">
        <v>36586</v>
      </c>
      <c r="F169" s="86">
        <v>36616</v>
      </c>
      <c r="G169" s="42" t="s">
        <v>170</v>
      </c>
      <c r="H169" s="87" t="s">
        <v>171</v>
      </c>
      <c r="I169" s="85" t="s">
        <v>168</v>
      </c>
      <c r="J169" s="88">
        <f t="shared" si="20"/>
        <v>0.2450258064516129</v>
      </c>
      <c r="K169" s="89">
        <v>0</v>
      </c>
      <c r="L169" s="89">
        <v>2.2000000000000001E-3</v>
      </c>
      <c r="M169" s="89">
        <v>0</v>
      </c>
      <c r="N169" s="89">
        <v>0</v>
      </c>
      <c r="O169" s="90">
        <v>0</v>
      </c>
      <c r="P169" s="89">
        <f>SUM(J169:N169)</f>
        <v>0.24722580645161291</v>
      </c>
      <c r="Q169" s="91" t="s">
        <v>301</v>
      </c>
      <c r="R169" s="91" t="s">
        <v>238</v>
      </c>
      <c r="S169" s="85">
        <f>1311+2692</f>
        <v>4003</v>
      </c>
      <c r="T169" s="42" t="s">
        <v>302</v>
      </c>
      <c r="U169" s="97">
        <f t="shared" si="18"/>
        <v>30405.987399999998</v>
      </c>
      <c r="V169" s="93"/>
      <c r="W169" s="94"/>
      <c r="X169" s="94" t="s">
        <v>277</v>
      </c>
      <c r="Y169" s="42"/>
      <c r="Z169" s="98"/>
      <c r="AA169" s="98"/>
    </row>
    <row r="170" spans="2:27" s="99" customFormat="1" x14ac:dyDescent="0.2">
      <c r="B170" s="42" t="s">
        <v>237</v>
      </c>
      <c r="C170" s="85" t="s">
        <v>1</v>
      </c>
      <c r="D170" s="85" t="s">
        <v>142</v>
      </c>
      <c r="E170" s="86">
        <v>36586</v>
      </c>
      <c r="F170" s="86">
        <v>36616</v>
      </c>
      <c r="G170" s="42" t="s">
        <v>33</v>
      </c>
      <c r="H170" s="87" t="s">
        <v>171</v>
      </c>
      <c r="I170" s="85" t="s">
        <v>168</v>
      </c>
      <c r="J170" s="88">
        <f t="shared" si="20"/>
        <v>0.2450258064516129</v>
      </c>
      <c r="K170" s="89">
        <v>0</v>
      </c>
      <c r="L170" s="89">
        <v>2.2000000000000001E-3</v>
      </c>
      <c r="M170" s="89">
        <v>0</v>
      </c>
      <c r="N170" s="89">
        <v>0</v>
      </c>
      <c r="O170" s="90">
        <v>0</v>
      </c>
      <c r="P170" s="89">
        <f t="shared" si="19"/>
        <v>0.24722580645161291</v>
      </c>
      <c r="Q170" s="91" t="s">
        <v>307</v>
      </c>
      <c r="R170" s="91" t="s">
        <v>239</v>
      </c>
      <c r="S170" s="85">
        <v>70</v>
      </c>
      <c r="T170" s="42" t="s">
        <v>308</v>
      </c>
      <c r="U170" s="97">
        <f t="shared" si="18"/>
        <v>531.70600000000002</v>
      </c>
      <c r="V170" s="93"/>
      <c r="W170" s="94">
        <v>203720</v>
      </c>
      <c r="X170" s="94" t="s">
        <v>278</v>
      </c>
      <c r="Y170" s="42"/>
      <c r="Z170" s="98"/>
      <c r="AA170" s="98"/>
    </row>
    <row r="171" spans="2:27" s="99" customFormat="1" x14ac:dyDescent="0.2">
      <c r="B171" s="42" t="s">
        <v>237</v>
      </c>
      <c r="C171" s="85" t="s">
        <v>1</v>
      </c>
      <c r="D171" s="85" t="s">
        <v>142</v>
      </c>
      <c r="E171" s="86">
        <v>36586</v>
      </c>
      <c r="F171" s="86">
        <v>36616</v>
      </c>
      <c r="G171" s="42" t="s">
        <v>169</v>
      </c>
      <c r="H171" s="87" t="s">
        <v>171</v>
      </c>
      <c r="I171" s="85" t="s">
        <v>168</v>
      </c>
      <c r="J171" s="88">
        <f t="shared" si="20"/>
        <v>0.2450258064516129</v>
      </c>
      <c r="K171" s="89">
        <v>0</v>
      </c>
      <c r="L171" s="89">
        <v>2.2000000000000001E-3</v>
      </c>
      <c r="M171" s="89">
        <v>0</v>
      </c>
      <c r="N171" s="89">
        <v>0</v>
      </c>
      <c r="O171" s="90">
        <v>0</v>
      </c>
      <c r="P171" s="89">
        <f>SUM(J171:N171)</f>
        <v>0.24722580645161291</v>
      </c>
      <c r="Q171" s="91" t="s">
        <v>307</v>
      </c>
      <c r="R171" s="91" t="s">
        <v>239</v>
      </c>
      <c r="S171" s="85">
        <v>103</v>
      </c>
      <c r="T171" s="42" t="s">
        <v>308</v>
      </c>
      <c r="U171" s="97">
        <f t="shared" si="18"/>
        <v>782.36739999999998</v>
      </c>
      <c r="V171" s="93"/>
      <c r="W171" s="94">
        <v>203720</v>
      </c>
      <c r="X171" s="94" t="s">
        <v>278</v>
      </c>
      <c r="Y171" s="42"/>
      <c r="Z171" s="98"/>
      <c r="AA171" s="98"/>
    </row>
    <row r="172" spans="2:27" s="99" customFormat="1" x14ac:dyDescent="0.2">
      <c r="B172" s="42" t="s">
        <v>237</v>
      </c>
      <c r="C172" s="85" t="s">
        <v>1</v>
      </c>
      <c r="D172" s="85" t="s">
        <v>142</v>
      </c>
      <c r="E172" s="86">
        <v>36586</v>
      </c>
      <c r="F172" s="86">
        <v>36616</v>
      </c>
      <c r="G172" s="42" t="s">
        <v>170</v>
      </c>
      <c r="H172" s="87" t="s">
        <v>171</v>
      </c>
      <c r="I172" s="85" t="s">
        <v>168</v>
      </c>
      <c r="J172" s="88">
        <f t="shared" si="20"/>
        <v>0.2450258064516129</v>
      </c>
      <c r="K172" s="89">
        <v>0</v>
      </c>
      <c r="L172" s="89">
        <v>2.2000000000000001E-3</v>
      </c>
      <c r="M172" s="89">
        <v>0</v>
      </c>
      <c r="N172" s="89">
        <v>0</v>
      </c>
      <c r="O172" s="90">
        <v>0</v>
      </c>
      <c r="P172" s="89">
        <f>SUM(J172:N172)</f>
        <v>0.24722580645161291</v>
      </c>
      <c r="Q172" s="91" t="s">
        <v>307</v>
      </c>
      <c r="R172" s="91" t="s">
        <v>239</v>
      </c>
      <c r="S172" s="85">
        <f>78+160</f>
        <v>238</v>
      </c>
      <c r="T172" s="42" t="s">
        <v>308</v>
      </c>
      <c r="U172" s="97">
        <f t="shared" si="18"/>
        <v>1807.8003999999999</v>
      </c>
      <c r="V172" s="93"/>
      <c r="W172" s="94">
        <v>203720</v>
      </c>
      <c r="X172" s="94" t="s">
        <v>278</v>
      </c>
      <c r="Y172" s="42"/>
      <c r="Z172" s="98"/>
      <c r="AA172" s="98"/>
    </row>
    <row r="173" spans="2:27" s="99" customFormat="1" x14ac:dyDescent="0.2">
      <c r="B173" s="42" t="s">
        <v>237</v>
      </c>
      <c r="C173" s="85" t="s">
        <v>1</v>
      </c>
      <c r="D173" s="85" t="s">
        <v>142</v>
      </c>
      <c r="E173" s="86">
        <v>36586</v>
      </c>
      <c r="F173" s="86">
        <v>36616</v>
      </c>
      <c r="G173" s="42" t="s">
        <v>172</v>
      </c>
      <c r="H173" s="87" t="s">
        <v>171</v>
      </c>
      <c r="I173" s="85" t="s">
        <v>173</v>
      </c>
      <c r="J173" s="88">
        <f>14.174/J$1</f>
        <v>0.45722580645161287</v>
      </c>
      <c r="K173" s="89">
        <v>0</v>
      </c>
      <c r="L173" s="89">
        <v>2.2000000000000001E-3</v>
      </c>
      <c r="M173" s="89">
        <v>0</v>
      </c>
      <c r="N173" s="89">
        <v>0</v>
      </c>
      <c r="O173" s="90">
        <v>0</v>
      </c>
      <c r="P173" s="89">
        <f>SUM(J173:N173)</f>
        <v>0.45942580645161285</v>
      </c>
      <c r="Q173" s="91" t="s">
        <v>305</v>
      </c>
      <c r="R173" s="91" t="s">
        <v>240</v>
      </c>
      <c r="S173" s="85">
        <v>5426</v>
      </c>
      <c r="T173" s="42" t="s">
        <v>306</v>
      </c>
      <c r="U173" s="97">
        <f t="shared" si="18"/>
        <v>76908.123999999996</v>
      </c>
      <c r="V173" s="93"/>
      <c r="W173" s="94">
        <v>203829</v>
      </c>
      <c r="X173" s="94">
        <v>158618</v>
      </c>
      <c r="Y173" s="42"/>
      <c r="Z173" s="98"/>
      <c r="AA173" s="98"/>
    </row>
    <row r="174" spans="2:27" s="99" customFormat="1" x14ac:dyDescent="0.2">
      <c r="B174" s="42" t="s">
        <v>237</v>
      </c>
      <c r="C174" s="85" t="s">
        <v>1</v>
      </c>
      <c r="D174" s="85" t="s">
        <v>142</v>
      </c>
      <c r="E174" s="86">
        <v>36586</v>
      </c>
      <c r="F174" s="86">
        <v>36616</v>
      </c>
      <c r="G174" s="42" t="s">
        <v>241</v>
      </c>
      <c r="H174" s="42" t="s">
        <v>171</v>
      </c>
      <c r="I174" s="85" t="s">
        <v>174</v>
      </c>
      <c r="J174" s="88">
        <f>15.0624/J$1</f>
        <v>0.48588387096774194</v>
      </c>
      <c r="K174" s="89"/>
      <c r="L174" s="89"/>
      <c r="M174" s="89"/>
      <c r="N174" s="89"/>
      <c r="O174" s="90"/>
      <c r="P174" s="89"/>
      <c r="Q174" s="91" t="s">
        <v>322</v>
      </c>
      <c r="R174" s="91" t="s">
        <v>242</v>
      </c>
      <c r="S174" s="85">
        <v>892</v>
      </c>
      <c r="T174" s="42" t="s">
        <v>323</v>
      </c>
      <c r="U174" s="97">
        <f t="shared" si="18"/>
        <v>13435.6608</v>
      </c>
      <c r="V174" s="93"/>
      <c r="W174" s="94">
        <v>207149</v>
      </c>
      <c r="X174" s="94">
        <v>158619</v>
      </c>
      <c r="Y174" s="42"/>
      <c r="Z174" s="98"/>
      <c r="AA174" s="98"/>
    </row>
    <row r="175" spans="2:27" s="99" customFormat="1" x14ac:dyDescent="0.2">
      <c r="B175" s="42" t="s">
        <v>237</v>
      </c>
      <c r="C175" s="85" t="s">
        <v>1</v>
      </c>
      <c r="D175" s="85" t="s">
        <v>142</v>
      </c>
      <c r="E175" s="86">
        <v>36557</v>
      </c>
      <c r="F175" s="86">
        <v>36585</v>
      </c>
      <c r="G175" s="42" t="s">
        <v>191</v>
      </c>
      <c r="H175" s="87"/>
      <c r="I175" s="85" t="s">
        <v>190</v>
      </c>
      <c r="J175" s="88">
        <v>7.9000000000000008E-3</v>
      </c>
      <c r="K175" s="89">
        <v>0</v>
      </c>
      <c r="L175" s="89">
        <v>2.2000000000000001E-3</v>
      </c>
      <c r="M175" s="89">
        <v>0</v>
      </c>
      <c r="N175" s="89">
        <v>0</v>
      </c>
      <c r="O175" s="90">
        <v>0</v>
      </c>
      <c r="P175" s="89">
        <f t="shared" ref="P175:P182" si="21">SUM(J175:N175)</f>
        <v>1.0100000000000001E-2</v>
      </c>
      <c r="Q175" s="91" t="s">
        <v>297</v>
      </c>
      <c r="R175" s="91" t="s">
        <v>255</v>
      </c>
      <c r="S175" s="85">
        <v>396361</v>
      </c>
      <c r="T175" s="42"/>
      <c r="U175" s="92">
        <f>+S175*J175</f>
        <v>3131.2519000000002</v>
      </c>
      <c r="V175" s="93"/>
      <c r="W175" s="94">
        <v>204191</v>
      </c>
      <c r="X175" s="95"/>
      <c r="Y175" s="42"/>
      <c r="Z175" s="98"/>
      <c r="AA175" s="98"/>
    </row>
    <row r="176" spans="2:27" s="99" customFormat="1" x14ac:dyDescent="0.2">
      <c r="B176" s="42" t="s">
        <v>237</v>
      </c>
      <c r="C176" s="85" t="s">
        <v>1</v>
      </c>
      <c r="D176" s="85" t="s">
        <v>142</v>
      </c>
      <c r="E176" s="86">
        <v>36557</v>
      </c>
      <c r="F176" s="86">
        <v>36585</v>
      </c>
      <c r="G176" s="42" t="s">
        <v>189</v>
      </c>
      <c r="H176" s="87"/>
      <c r="I176" s="85" t="s">
        <v>190</v>
      </c>
      <c r="J176" s="88">
        <v>0.6673</v>
      </c>
      <c r="K176" s="89">
        <v>0</v>
      </c>
      <c r="L176" s="89">
        <v>2.2000000000000001E-3</v>
      </c>
      <c r="M176" s="89">
        <v>0</v>
      </c>
      <c r="N176" s="89">
        <v>0</v>
      </c>
      <c r="O176" s="90">
        <v>0</v>
      </c>
      <c r="P176" s="89">
        <f t="shared" si="21"/>
        <v>0.66949999999999998</v>
      </c>
      <c r="Q176" s="91" t="s">
        <v>297</v>
      </c>
      <c r="R176" s="91" t="s">
        <v>297</v>
      </c>
      <c r="S176" s="85">
        <v>4663</v>
      </c>
      <c r="T176" s="42"/>
      <c r="U176" s="92">
        <f>+S176*J176</f>
        <v>3111.6199000000001</v>
      </c>
      <c r="V176" s="93"/>
      <c r="W176" s="94">
        <v>204191</v>
      </c>
      <c r="X176" s="95"/>
      <c r="Y176" s="42"/>
      <c r="Z176" s="98"/>
      <c r="AA176" s="98"/>
    </row>
    <row r="177" spans="2:27" s="65" customFormat="1" x14ac:dyDescent="0.2">
      <c r="B177" s="42" t="s">
        <v>237</v>
      </c>
      <c r="C177" s="85" t="s">
        <v>1</v>
      </c>
      <c r="D177" s="85" t="s">
        <v>142</v>
      </c>
      <c r="E177" s="86">
        <v>36586</v>
      </c>
      <c r="F177" s="86">
        <v>36616</v>
      </c>
      <c r="G177" s="42" t="s">
        <v>192</v>
      </c>
      <c r="H177" s="87"/>
      <c r="I177" s="85" t="s">
        <v>194</v>
      </c>
      <c r="J177" s="88">
        <v>4.8099999999999997E-2</v>
      </c>
      <c r="K177" s="89">
        <v>0</v>
      </c>
      <c r="L177" s="89">
        <v>2.2000000000000001E-3</v>
      </c>
      <c r="M177" s="89">
        <v>0</v>
      </c>
      <c r="N177" s="89">
        <v>0</v>
      </c>
      <c r="O177" s="90">
        <v>0</v>
      </c>
      <c r="P177" s="89">
        <f t="shared" si="21"/>
        <v>5.0299999999999997E-2</v>
      </c>
      <c r="Q177" s="91" t="s">
        <v>298</v>
      </c>
      <c r="R177" s="91" t="s">
        <v>286</v>
      </c>
      <c r="S177" s="85">
        <v>7485</v>
      </c>
      <c r="T177" s="42" t="s">
        <v>304</v>
      </c>
      <c r="U177" s="92">
        <f>J177*S177</f>
        <v>360.02849999999995</v>
      </c>
      <c r="V177" s="93"/>
      <c r="W177" s="94">
        <v>204191</v>
      </c>
      <c r="X177" s="95" t="s">
        <v>196</v>
      </c>
      <c r="Y177" s="1"/>
      <c r="Z177" s="36"/>
      <c r="AA177" s="36"/>
    </row>
    <row r="178" spans="2:27" s="65" customFormat="1" x14ac:dyDescent="0.2">
      <c r="B178" s="42" t="s">
        <v>237</v>
      </c>
      <c r="C178" s="85" t="s">
        <v>1</v>
      </c>
      <c r="D178" s="85" t="s">
        <v>142</v>
      </c>
      <c r="E178" s="86">
        <v>36586</v>
      </c>
      <c r="F178" s="86">
        <v>36616</v>
      </c>
      <c r="G178" s="42" t="s">
        <v>193</v>
      </c>
      <c r="H178" s="87"/>
      <c r="I178" s="85" t="s">
        <v>194</v>
      </c>
      <c r="J178" s="88">
        <v>0.48399999999999999</v>
      </c>
      <c r="K178" s="89">
        <v>0</v>
      </c>
      <c r="L178" s="89">
        <v>2.2000000000000001E-3</v>
      </c>
      <c r="M178" s="89">
        <v>0</v>
      </c>
      <c r="N178" s="89">
        <v>0</v>
      </c>
      <c r="O178" s="90">
        <v>0</v>
      </c>
      <c r="P178" s="89">
        <f t="shared" si="21"/>
        <v>0.48619999999999997</v>
      </c>
      <c r="Q178" s="91" t="s">
        <v>286</v>
      </c>
      <c r="R178" s="96" t="s">
        <v>195</v>
      </c>
      <c r="S178" s="85">
        <v>744</v>
      </c>
      <c r="T178" s="42" t="s">
        <v>303</v>
      </c>
      <c r="U178" s="92">
        <f>J178*S178</f>
        <v>360.096</v>
      </c>
      <c r="V178" s="93"/>
      <c r="W178" s="94">
        <v>204184</v>
      </c>
      <c r="X178" s="95" t="s">
        <v>196</v>
      </c>
      <c r="Y178" s="1"/>
      <c r="Z178" s="36"/>
      <c r="AA178" s="36"/>
    </row>
    <row r="179" spans="2:27" s="65" customFormat="1" x14ac:dyDescent="0.2">
      <c r="B179" s="1" t="s">
        <v>104</v>
      </c>
      <c r="C179" s="3" t="s">
        <v>1</v>
      </c>
      <c r="D179" s="3" t="s">
        <v>151</v>
      </c>
      <c r="E179" s="4">
        <v>35977</v>
      </c>
      <c r="F179" s="4">
        <v>39599</v>
      </c>
      <c r="G179" s="1" t="s">
        <v>180</v>
      </c>
      <c r="H179" s="1" t="s">
        <v>181</v>
      </c>
      <c r="I179" s="3" t="s">
        <v>183</v>
      </c>
      <c r="J179" s="8">
        <f>4.7713/J$1</f>
        <v>0.15391290322580645</v>
      </c>
      <c r="K179" s="5">
        <v>0</v>
      </c>
      <c r="L179" s="5">
        <v>2.2000000000000001E-3</v>
      </c>
      <c r="M179" s="5">
        <v>0</v>
      </c>
      <c r="N179" s="5">
        <v>0</v>
      </c>
      <c r="O179" s="46">
        <v>0</v>
      </c>
      <c r="P179" s="5">
        <f t="shared" si="21"/>
        <v>0.15611290322580645</v>
      </c>
      <c r="Q179" s="66" t="s">
        <v>182</v>
      </c>
      <c r="R179" s="66" t="s">
        <v>182</v>
      </c>
      <c r="S179" s="3">
        <v>15</v>
      </c>
      <c r="T179" s="1" t="s">
        <v>184</v>
      </c>
      <c r="U179" s="84">
        <f t="shared" si="18"/>
        <v>71.569500000000005</v>
      </c>
      <c r="V179" s="9"/>
      <c r="W179" s="59"/>
      <c r="X179" s="67" t="s">
        <v>197</v>
      </c>
      <c r="Y179" s="1"/>
      <c r="Z179" s="36"/>
      <c r="AA179" s="36"/>
    </row>
    <row r="180" spans="2:27" s="65" customFormat="1" x14ac:dyDescent="0.2">
      <c r="B180" s="1" t="s">
        <v>104</v>
      </c>
      <c r="C180" s="3" t="s">
        <v>1</v>
      </c>
      <c r="D180" s="3" t="s">
        <v>151</v>
      </c>
      <c r="E180" s="4">
        <v>36130</v>
      </c>
      <c r="F180" s="4">
        <v>39599</v>
      </c>
      <c r="G180" s="1" t="s">
        <v>180</v>
      </c>
      <c r="H180" s="1" t="s">
        <v>181</v>
      </c>
      <c r="I180" s="3" t="s">
        <v>183</v>
      </c>
      <c r="J180" s="8">
        <f>4.7713/J$1</f>
        <v>0.15391290322580645</v>
      </c>
      <c r="K180" s="5">
        <v>0</v>
      </c>
      <c r="L180" s="5">
        <v>2.2000000000000001E-3</v>
      </c>
      <c r="M180" s="5">
        <v>0</v>
      </c>
      <c r="N180" s="5">
        <v>0</v>
      </c>
      <c r="O180" s="46">
        <v>0</v>
      </c>
      <c r="P180" s="5">
        <f t="shared" si="21"/>
        <v>0.15611290322580645</v>
      </c>
      <c r="Q180" s="66" t="s">
        <v>185</v>
      </c>
      <c r="R180" s="66" t="s">
        <v>185</v>
      </c>
      <c r="S180" s="3">
        <v>2</v>
      </c>
      <c r="T180" s="1" t="s">
        <v>186</v>
      </c>
      <c r="U180" s="84">
        <f t="shared" si="18"/>
        <v>9.5426000000000002</v>
      </c>
      <c r="V180" s="9"/>
      <c r="W180" s="59"/>
      <c r="X180" s="67" t="s">
        <v>198</v>
      </c>
      <c r="Y180" s="1"/>
      <c r="Z180" s="36"/>
      <c r="AA180" s="36"/>
    </row>
    <row r="181" spans="2:27" s="65" customFormat="1" x14ac:dyDescent="0.2">
      <c r="B181" s="1" t="s">
        <v>104</v>
      </c>
      <c r="C181" s="3" t="s">
        <v>1</v>
      </c>
      <c r="D181" s="3" t="s">
        <v>151</v>
      </c>
      <c r="E181" s="4">
        <v>36220</v>
      </c>
      <c r="F181" s="4">
        <v>39599</v>
      </c>
      <c r="G181" s="1" t="s">
        <v>180</v>
      </c>
      <c r="H181" s="1" t="s">
        <v>181</v>
      </c>
      <c r="I181" s="3" t="s">
        <v>183</v>
      </c>
      <c r="J181" s="8">
        <f>4.7713/J$1</f>
        <v>0.15391290322580645</v>
      </c>
      <c r="K181" s="5">
        <v>0</v>
      </c>
      <c r="L181" s="5">
        <v>2.2000000000000001E-3</v>
      </c>
      <c r="M181" s="5">
        <v>0</v>
      </c>
      <c r="N181" s="5">
        <v>0</v>
      </c>
      <c r="O181" s="46">
        <v>0</v>
      </c>
      <c r="P181" s="5">
        <f t="shared" si="21"/>
        <v>0.15611290322580645</v>
      </c>
      <c r="Q181" s="66" t="s">
        <v>188</v>
      </c>
      <c r="R181" s="66" t="s">
        <v>188</v>
      </c>
      <c r="S181" s="3">
        <v>5</v>
      </c>
      <c r="T181" s="1" t="s">
        <v>187</v>
      </c>
      <c r="U181" s="84">
        <f t="shared" si="18"/>
        <v>23.8565</v>
      </c>
      <c r="V181" s="9"/>
      <c r="W181" s="59"/>
      <c r="X181" s="67" t="s">
        <v>199</v>
      </c>
      <c r="Y181" s="1"/>
      <c r="Z181" s="36"/>
      <c r="AA181" s="36"/>
    </row>
    <row r="182" spans="2:27" s="99" customFormat="1" x14ac:dyDescent="0.2">
      <c r="B182" s="42" t="s">
        <v>237</v>
      </c>
      <c r="C182" s="85" t="s">
        <v>1</v>
      </c>
      <c r="D182" s="85" t="s">
        <v>176</v>
      </c>
      <c r="E182" s="86">
        <v>36586</v>
      </c>
      <c r="F182" s="86">
        <v>36616</v>
      </c>
      <c r="G182" s="42" t="s">
        <v>172</v>
      </c>
      <c r="H182" s="87" t="s">
        <v>177</v>
      </c>
      <c r="I182" s="85" t="s">
        <v>178</v>
      </c>
      <c r="J182" s="88">
        <v>0.4955</v>
      </c>
      <c r="K182" s="89">
        <v>0</v>
      </c>
      <c r="L182" s="89">
        <v>2.2000000000000001E-3</v>
      </c>
      <c r="M182" s="89">
        <v>0</v>
      </c>
      <c r="N182" s="89">
        <v>0</v>
      </c>
      <c r="O182" s="90">
        <v>0</v>
      </c>
      <c r="P182" s="89">
        <f t="shared" si="21"/>
        <v>0.49769999999999998</v>
      </c>
      <c r="Q182" s="108">
        <v>3.3908999999999998</v>
      </c>
      <c r="R182" s="96" t="s">
        <v>200</v>
      </c>
      <c r="S182" s="85">
        <v>145</v>
      </c>
      <c r="T182" s="87" t="s">
        <v>319</v>
      </c>
      <c r="U182" s="132">
        <v>0</v>
      </c>
      <c r="V182" s="93" t="s">
        <v>394</v>
      </c>
      <c r="W182" s="94"/>
      <c r="X182" s="98">
        <v>144552</v>
      </c>
      <c r="Y182" s="42"/>
      <c r="Z182" s="98"/>
      <c r="AA182" s="98"/>
    </row>
    <row r="183" spans="2:27" x14ac:dyDescent="0.2">
      <c r="B183" s="27" t="s">
        <v>104</v>
      </c>
      <c r="C183" s="3" t="s">
        <v>1</v>
      </c>
      <c r="D183" s="3" t="s">
        <v>287</v>
      </c>
      <c r="E183" s="4">
        <v>36526</v>
      </c>
      <c r="F183" s="4">
        <v>38564</v>
      </c>
      <c r="G183" s="1" t="s">
        <v>288</v>
      </c>
      <c r="H183" s="1" t="s">
        <v>289</v>
      </c>
      <c r="I183" s="3" t="s">
        <v>161</v>
      </c>
      <c r="J183" s="8">
        <v>0.13736999999999999</v>
      </c>
      <c r="K183" s="5"/>
      <c r="L183" s="5"/>
      <c r="M183" s="5"/>
      <c r="N183" s="5"/>
      <c r="O183" s="46"/>
      <c r="P183" s="5"/>
      <c r="Q183" s="83">
        <v>2.6598000000000002</v>
      </c>
      <c r="R183" s="52">
        <v>14800</v>
      </c>
      <c r="S183" s="53">
        <v>14800</v>
      </c>
      <c r="T183" s="40"/>
      <c r="U183" s="93">
        <f t="shared" si="18"/>
        <v>63025.356</v>
      </c>
      <c r="V183" s="28"/>
      <c r="W183" s="55"/>
      <c r="X183" s="55">
        <v>165423</v>
      </c>
      <c r="Y183" s="61"/>
      <c r="Z183" s="35"/>
      <c r="AA183" s="35"/>
    </row>
    <row r="184" spans="2:27" x14ac:dyDescent="0.2">
      <c r="B184" s="27" t="s">
        <v>104</v>
      </c>
      <c r="C184" s="3" t="s">
        <v>1</v>
      </c>
      <c r="D184" s="3" t="s">
        <v>287</v>
      </c>
      <c r="E184" s="4">
        <v>36526</v>
      </c>
      <c r="F184" s="4">
        <v>38564</v>
      </c>
      <c r="G184" s="1" t="s">
        <v>288</v>
      </c>
      <c r="H184" s="1" t="s">
        <v>289</v>
      </c>
      <c r="I184" s="3" t="s">
        <v>161</v>
      </c>
      <c r="J184" s="8">
        <v>0.13736999999999999</v>
      </c>
      <c r="K184" s="5"/>
      <c r="L184" s="5"/>
      <c r="M184" s="5"/>
      <c r="N184" s="5"/>
      <c r="O184" s="46"/>
      <c r="P184" s="5"/>
      <c r="Q184" s="83">
        <v>2.6591999999999998</v>
      </c>
      <c r="R184" s="52">
        <v>755</v>
      </c>
      <c r="S184" s="53">
        <v>755</v>
      </c>
      <c r="T184" s="40"/>
      <c r="U184" s="93">
        <f t="shared" si="18"/>
        <v>3215.1448500000001</v>
      </c>
      <c r="V184" s="28"/>
      <c r="W184" s="55"/>
      <c r="X184" s="55">
        <v>165415</v>
      </c>
      <c r="Y184" s="61"/>
      <c r="Z184" s="35"/>
      <c r="AA184" s="35"/>
    </row>
    <row r="185" spans="2:27" x14ac:dyDescent="0.2">
      <c r="B185" s="27"/>
      <c r="C185" s="3"/>
      <c r="D185" s="3"/>
      <c r="E185" s="4"/>
      <c r="F185" s="4"/>
      <c r="G185" s="1"/>
      <c r="H185" s="1"/>
      <c r="I185" s="3"/>
      <c r="J185" s="8"/>
      <c r="K185" s="5"/>
      <c r="L185" s="5"/>
      <c r="M185" s="5"/>
      <c r="N185" s="5"/>
      <c r="O185" s="46"/>
      <c r="P185" s="5"/>
      <c r="Q185" s="52"/>
      <c r="R185" s="52"/>
      <c r="S185" s="53"/>
      <c r="T185" s="28"/>
      <c r="U185" s="28">
        <f>SUM(U164:U184)</f>
        <v>219200.33594999998</v>
      </c>
      <c r="V185" s="28"/>
      <c r="W185" s="55"/>
      <c r="X185" s="55"/>
      <c r="Y185" s="61"/>
      <c r="Z185" s="35"/>
      <c r="AA185" s="35"/>
    </row>
    <row r="186" spans="2:27" x14ac:dyDescent="0.2">
      <c r="B186" s="27"/>
      <c r="C186" s="3"/>
      <c r="D186" s="3"/>
      <c r="E186" s="4"/>
      <c r="F186" s="4"/>
      <c r="G186" s="1"/>
      <c r="H186" s="1"/>
      <c r="I186" s="3"/>
      <c r="J186" s="5"/>
      <c r="K186" s="5"/>
      <c r="L186" s="5"/>
      <c r="M186" s="5"/>
      <c r="N186" s="5"/>
      <c r="O186" s="46"/>
      <c r="P186" s="5"/>
      <c r="Q186" s="52"/>
      <c r="R186" s="52"/>
      <c r="S186" s="53"/>
      <c r="T186" s="28"/>
      <c r="U186" s="28"/>
      <c r="V186" s="28"/>
      <c r="W186" s="55"/>
      <c r="X186" s="55"/>
      <c r="Y186" s="61"/>
      <c r="Z186" s="35"/>
      <c r="AA186" s="35"/>
    </row>
    <row r="187" spans="2:27" x14ac:dyDescent="0.2">
      <c r="B187" s="27"/>
      <c r="C187" s="3"/>
      <c r="D187" s="3"/>
      <c r="E187" s="4"/>
      <c r="F187" s="4"/>
      <c r="G187" s="1"/>
      <c r="H187" s="1"/>
      <c r="I187" s="3"/>
      <c r="J187" s="8"/>
      <c r="K187" s="5"/>
      <c r="L187" s="5"/>
      <c r="M187" s="5"/>
      <c r="N187" s="5"/>
      <c r="O187" s="46"/>
      <c r="P187" s="5"/>
      <c r="Q187" s="52"/>
      <c r="R187" s="52"/>
      <c r="S187" s="53"/>
      <c r="T187" s="28"/>
      <c r="U187" s="28"/>
      <c r="V187" s="28"/>
      <c r="W187" s="55"/>
      <c r="X187" s="55"/>
      <c r="Y187" s="61"/>
      <c r="Z187" s="35"/>
      <c r="AA187" s="35"/>
    </row>
    <row r="188" spans="2:27" ht="13.5" thickBot="1" x14ac:dyDescent="0.25">
      <c r="B188" s="27"/>
      <c r="C188" s="3"/>
      <c r="D188" s="3"/>
      <c r="E188" s="4"/>
      <c r="F188" s="4"/>
      <c r="G188" s="1"/>
      <c r="H188" s="1"/>
      <c r="I188" s="3"/>
      <c r="J188" s="5"/>
      <c r="K188" s="5"/>
      <c r="L188" s="5"/>
      <c r="M188" s="5"/>
      <c r="N188" s="5"/>
      <c r="O188" s="46"/>
      <c r="P188" s="5"/>
      <c r="Q188" s="52"/>
      <c r="R188" s="52"/>
      <c r="S188" s="53"/>
      <c r="T188" s="28"/>
      <c r="U188" s="133">
        <f>SUM(U185,U162,U152,U135,U121,U113,U110,U85,U34,U21)</f>
        <v>2512724.7105448553</v>
      </c>
      <c r="V188" s="28" t="s">
        <v>320</v>
      </c>
      <c r="W188" s="55"/>
      <c r="X188" s="55"/>
      <c r="Y188" s="61"/>
      <c r="Z188" s="35"/>
      <c r="AA188" s="35"/>
    </row>
    <row r="189" spans="2:27" ht="13.5" thickTop="1" x14ac:dyDescent="0.2">
      <c r="B189" s="27"/>
      <c r="C189" s="3"/>
      <c r="D189" s="3"/>
      <c r="E189" s="4"/>
      <c r="F189" s="4"/>
      <c r="G189" s="1"/>
      <c r="H189" s="1"/>
      <c r="I189" s="3"/>
      <c r="J189" s="5"/>
      <c r="K189" s="5"/>
      <c r="L189" s="5"/>
      <c r="M189" s="5"/>
      <c r="N189" s="5"/>
      <c r="O189" s="46"/>
      <c r="P189" s="5"/>
      <c r="Q189" s="52"/>
      <c r="R189" s="52"/>
      <c r="S189" s="53"/>
      <c r="T189" s="28"/>
      <c r="U189" s="28"/>
      <c r="V189" s="61" t="s">
        <v>395</v>
      </c>
      <c r="W189" s="55"/>
      <c r="X189" s="55"/>
      <c r="Y189" s="61"/>
      <c r="Z189" s="40"/>
      <c r="AA189" s="35"/>
    </row>
    <row r="190" spans="2:27" x14ac:dyDescent="0.2">
      <c r="B190" s="27"/>
      <c r="C190" s="3"/>
      <c r="D190" s="3"/>
      <c r="E190" s="4"/>
      <c r="F190" s="4"/>
      <c r="G190" s="1"/>
      <c r="H190" s="1"/>
      <c r="I190" s="3"/>
      <c r="J190" s="5"/>
      <c r="K190" s="5"/>
      <c r="L190" s="5"/>
      <c r="M190" s="5"/>
      <c r="N190" s="5"/>
      <c r="O190" s="46"/>
      <c r="P190" s="5"/>
      <c r="Q190" s="52"/>
      <c r="R190" s="52"/>
      <c r="S190" s="53"/>
      <c r="T190" s="28"/>
      <c r="U190" s="28"/>
      <c r="V190" s="28"/>
      <c r="W190" s="55"/>
      <c r="X190" s="55"/>
      <c r="Y190" s="61"/>
      <c r="Z190" s="35"/>
      <c r="AA190" s="35"/>
    </row>
    <row r="191" spans="2:27" x14ac:dyDescent="0.2">
      <c r="B191" s="27"/>
      <c r="C191" s="3"/>
      <c r="D191" s="3"/>
      <c r="E191" s="4"/>
      <c r="F191" s="4"/>
      <c r="G191" s="1"/>
      <c r="H191" s="1"/>
      <c r="I191" s="3"/>
      <c r="J191" s="5"/>
      <c r="K191" s="5"/>
      <c r="L191" s="5"/>
      <c r="M191" s="5"/>
      <c r="N191" s="5"/>
      <c r="O191" s="46"/>
      <c r="P191" s="5"/>
      <c r="Q191" s="52"/>
      <c r="R191" s="52"/>
      <c r="S191" s="53"/>
      <c r="T191" s="28"/>
      <c r="U191" s="28"/>
      <c r="V191" s="28"/>
      <c r="W191" s="55"/>
      <c r="X191" s="55"/>
      <c r="Y191" s="61"/>
      <c r="Z191" s="35"/>
      <c r="AA191" s="35"/>
    </row>
    <row r="192" spans="2:27" x14ac:dyDescent="0.2">
      <c r="B192" s="27"/>
      <c r="C192" s="3"/>
      <c r="D192" s="3"/>
      <c r="E192" s="4"/>
      <c r="F192" s="4"/>
      <c r="G192" s="1"/>
      <c r="H192" s="1"/>
      <c r="I192" s="3"/>
      <c r="J192" s="8"/>
      <c r="K192" s="5"/>
      <c r="L192" s="5"/>
      <c r="M192" s="5"/>
      <c r="N192" s="5"/>
      <c r="O192" s="46"/>
      <c r="P192" s="5"/>
      <c r="Q192" s="52"/>
      <c r="R192" s="52"/>
      <c r="S192" s="53"/>
      <c r="T192" s="40"/>
      <c r="U192" s="28"/>
      <c r="V192" s="28"/>
      <c r="W192" s="55"/>
      <c r="X192" s="55"/>
      <c r="Y192" s="61"/>
      <c r="Z192" s="35"/>
      <c r="AA192" s="35"/>
    </row>
    <row r="193" spans="2:27" x14ac:dyDescent="0.2">
      <c r="B193" s="27"/>
      <c r="C193" s="3"/>
      <c r="D193" s="3"/>
      <c r="E193" s="4"/>
      <c r="F193" s="4"/>
      <c r="G193" s="1"/>
      <c r="H193" s="1"/>
      <c r="I193" s="3"/>
      <c r="J193" s="8"/>
      <c r="K193" s="5"/>
      <c r="L193" s="5"/>
      <c r="M193" s="5"/>
      <c r="N193" s="5"/>
      <c r="O193" s="46"/>
      <c r="P193" s="5"/>
      <c r="Q193" s="52"/>
      <c r="R193" s="52"/>
      <c r="S193" s="53"/>
      <c r="T193" s="40"/>
      <c r="U193" s="28"/>
      <c r="V193" s="28"/>
      <c r="W193" s="55"/>
      <c r="X193" s="55"/>
      <c r="Y193" s="61"/>
      <c r="Z193" s="35"/>
      <c r="AA193" s="35"/>
    </row>
    <row r="194" spans="2:27" x14ac:dyDescent="0.2">
      <c r="Q194" s="34"/>
      <c r="R194" s="34"/>
      <c r="S194" s="34"/>
      <c r="T194" s="34"/>
      <c r="U194" s="34"/>
      <c r="V194" s="34"/>
      <c r="W194" s="54"/>
      <c r="X194" s="54"/>
      <c r="Y194" s="64"/>
      <c r="Z194" s="54"/>
    </row>
    <row r="195" spans="2:27" x14ac:dyDescent="0.2">
      <c r="Q195" s="34"/>
      <c r="R195" s="34"/>
      <c r="S195" s="34"/>
      <c r="T195" s="34"/>
      <c r="U195" s="34"/>
      <c r="V195" s="34"/>
      <c r="W195" s="54"/>
      <c r="X195" s="54"/>
      <c r="Y195" s="64"/>
      <c r="Z195" s="54"/>
    </row>
  </sheetData>
  <pageMargins left="0.75" right="0.75" top="1" bottom="1" header="0.5" footer="0.5"/>
  <pageSetup paperSize="5" scale="61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tabSelected="1" workbookViewId="0">
      <selection activeCell="E15" sqref="E15"/>
    </sheetView>
  </sheetViews>
  <sheetFormatPr defaultRowHeight="12.75" x14ac:dyDescent="0.2"/>
  <cols>
    <col min="1" max="1" width="16.5703125" style="159" customWidth="1"/>
    <col min="2" max="2" width="22" style="159" customWidth="1"/>
    <col min="3" max="3" width="21.42578125" style="159" customWidth="1"/>
    <col min="4" max="4" width="20.28515625" style="159" customWidth="1"/>
    <col min="5" max="5" width="18.85546875" style="159" customWidth="1"/>
    <col min="6" max="6" width="17" style="159" customWidth="1"/>
    <col min="7" max="7" width="19.5703125" style="159" customWidth="1"/>
    <col min="8" max="8" width="13.42578125" style="159" customWidth="1"/>
    <col min="9" max="16384" width="9.140625" style="159"/>
  </cols>
  <sheetData>
    <row r="2" spans="1:9" s="157" customFormat="1" x14ac:dyDescent="0.2"/>
    <row r="3" spans="1:9" x14ac:dyDescent="0.2">
      <c r="A3" s="157"/>
    </row>
    <row r="4" spans="1:9" x14ac:dyDescent="0.2">
      <c r="A4" s="157"/>
      <c r="B4" s="160" t="s">
        <v>463</v>
      </c>
    </row>
    <row r="5" spans="1:9" x14ac:dyDescent="0.2">
      <c r="A5" s="157"/>
      <c r="B5" s="160"/>
    </row>
    <row r="6" spans="1:9" x14ac:dyDescent="0.2">
      <c r="A6" s="157"/>
      <c r="B6" s="161">
        <v>204779</v>
      </c>
      <c r="C6" s="161">
        <v>204782</v>
      </c>
      <c r="D6" s="161">
        <v>204783</v>
      </c>
      <c r="E6" s="161">
        <v>204786</v>
      </c>
      <c r="F6" s="161">
        <v>204788</v>
      </c>
      <c r="G6" s="161">
        <v>204791</v>
      </c>
      <c r="H6" s="161">
        <v>204773</v>
      </c>
      <c r="I6" s="161">
        <v>204773</v>
      </c>
    </row>
    <row r="7" spans="1:9" x14ac:dyDescent="0.2">
      <c r="A7" s="157"/>
      <c r="B7" s="159">
        <v>15004</v>
      </c>
      <c r="C7" s="159">
        <v>15500</v>
      </c>
      <c r="D7" s="159">
        <v>2325</v>
      </c>
      <c r="E7" s="159">
        <v>23963</v>
      </c>
      <c r="F7" s="159">
        <v>4991</v>
      </c>
      <c r="G7" s="159">
        <v>31000</v>
      </c>
      <c r="H7" s="159">
        <v>7500</v>
      </c>
      <c r="I7" s="159">
        <v>10013</v>
      </c>
    </row>
    <row r="8" spans="1:9" x14ac:dyDescent="0.2">
      <c r="A8" s="157"/>
      <c r="B8" s="160" t="s">
        <v>464</v>
      </c>
      <c r="C8" s="160" t="s">
        <v>464</v>
      </c>
      <c r="D8" s="160" t="s">
        <v>464</v>
      </c>
      <c r="E8" s="160" t="s">
        <v>464</v>
      </c>
      <c r="F8" s="160" t="s">
        <v>464</v>
      </c>
      <c r="G8" s="160" t="s">
        <v>464</v>
      </c>
      <c r="H8" s="160" t="s">
        <v>489</v>
      </c>
      <c r="I8" s="160" t="s">
        <v>489</v>
      </c>
    </row>
    <row r="9" spans="1:9" x14ac:dyDescent="0.2">
      <c r="A9" s="157"/>
      <c r="B9" s="160" t="s">
        <v>474</v>
      </c>
      <c r="C9" s="160" t="s">
        <v>471</v>
      </c>
      <c r="D9" s="160" t="s">
        <v>471</v>
      </c>
      <c r="E9" s="160" t="s">
        <v>470</v>
      </c>
      <c r="F9" s="160" t="s">
        <v>465</v>
      </c>
      <c r="G9" s="160" t="s">
        <v>465</v>
      </c>
      <c r="H9" s="160" t="s">
        <v>474</v>
      </c>
      <c r="I9" s="160" t="s">
        <v>474</v>
      </c>
    </row>
    <row r="10" spans="1:9" x14ac:dyDescent="0.2">
      <c r="A10" s="157"/>
      <c r="B10" s="160" t="s">
        <v>475</v>
      </c>
      <c r="C10" s="160" t="s">
        <v>473</v>
      </c>
      <c r="D10" s="160" t="s">
        <v>472</v>
      </c>
      <c r="E10" s="160" t="s">
        <v>469</v>
      </c>
      <c r="F10" s="160" t="s">
        <v>466</v>
      </c>
      <c r="G10" s="160" t="s">
        <v>468</v>
      </c>
      <c r="H10" s="160" t="s">
        <v>511</v>
      </c>
      <c r="I10" s="160" t="s">
        <v>510</v>
      </c>
    </row>
    <row r="11" spans="1:9" x14ac:dyDescent="0.2">
      <c r="A11" s="157"/>
      <c r="B11" s="160" t="s">
        <v>476</v>
      </c>
      <c r="C11" s="160" t="s">
        <v>477</v>
      </c>
      <c r="D11" s="160" t="s">
        <v>478</v>
      </c>
      <c r="E11" s="160" t="s">
        <v>479</v>
      </c>
      <c r="F11" s="160" t="s">
        <v>512</v>
      </c>
      <c r="G11" s="160" t="s">
        <v>512</v>
      </c>
      <c r="H11" s="160" t="s">
        <v>490</v>
      </c>
      <c r="I11" s="160" t="s">
        <v>492</v>
      </c>
    </row>
    <row r="12" spans="1:9" x14ac:dyDescent="0.2">
      <c r="A12" s="157"/>
      <c r="B12" s="160" t="s">
        <v>467</v>
      </c>
      <c r="C12" s="160" t="s">
        <v>467</v>
      </c>
      <c r="D12" s="160" t="s">
        <v>467</v>
      </c>
      <c r="E12" s="160" t="s">
        <v>467</v>
      </c>
      <c r="F12" s="160" t="s">
        <v>467</v>
      </c>
      <c r="G12" s="160" t="s">
        <v>467</v>
      </c>
      <c r="H12" s="160" t="s">
        <v>491</v>
      </c>
      <c r="I12" s="160" t="s">
        <v>491</v>
      </c>
    </row>
    <row r="13" spans="1:9" x14ac:dyDescent="0.2">
      <c r="A13" s="157"/>
    </row>
    <row r="14" spans="1:9" x14ac:dyDescent="0.2">
      <c r="A14" s="157"/>
    </row>
    <row r="15" spans="1:9" x14ac:dyDescent="0.2">
      <c r="A15" s="157"/>
      <c r="E15" s="160" t="s">
        <v>513</v>
      </c>
    </row>
    <row r="16" spans="1:9" x14ac:dyDescent="0.2">
      <c r="A16" s="157"/>
    </row>
    <row r="17" spans="1:1" x14ac:dyDescent="0.2">
      <c r="A17" s="157"/>
    </row>
    <row r="18" spans="1:1" x14ac:dyDescent="0.2">
      <c r="A18" s="157"/>
    </row>
    <row r="19" spans="1:1" x14ac:dyDescent="0.2">
      <c r="A19" s="157"/>
    </row>
    <row r="20" spans="1:1" x14ac:dyDescent="0.2">
      <c r="A20" s="157"/>
    </row>
    <row r="21" spans="1:1" x14ac:dyDescent="0.2">
      <c r="A21" s="157"/>
    </row>
    <row r="22" spans="1:1" x14ac:dyDescent="0.2">
      <c r="A22" s="157"/>
    </row>
    <row r="23" spans="1:1" x14ac:dyDescent="0.2">
      <c r="A23" s="157"/>
    </row>
    <row r="24" spans="1:1" x14ac:dyDescent="0.2">
      <c r="A24" s="157"/>
    </row>
    <row r="25" spans="1:1" x14ac:dyDescent="0.2">
      <c r="A25" s="157"/>
    </row>
    <row r="26" spans="1:1" x14ac:dyDescent="0.2">
      <c r="A26" s="157"/>
    </row>
    <row r="27" spans="1:1" x14ac:dyDescent="0.2">
      <c r="A27" s="157"/>
    </row>
    <row r="28" spans="1:1" x14ac:dyDescent="0.2">
      <c r="A28" s="157"/>
    </row>
    <row r="29" spans="1:1" x14ac:dyDescent="0.2">
      <c r="A29" s="157"/>
    </row>
    <row r="30" spans="1:1" x14ac:dyDescent="0.2">
      <c r="A30" s="157"/>
    </row>
    <row r="31" spans="1:1" x14ac:dyDescent="0.2">
      <c r="A31" s="157"/>
    </row>
    <row r="32" spans="1:1" x14ac:dyDescent="0.2">
      <c r="A32" s="157"/>
    </row>
    <row r="33" spans="1:7" x14ac:dyDescent="0.2">
      <c r="A33" s="157"/>
    </row>
    <row r="34" spans="1:7" x14ac:dyDescent="0.2">
      <c r="A34" s="157"/>
    </row>
    <row r="35" spans="1:7" x14ac:dyDescent="0.2">
      <c r="A35" s="157"/>
    </row>
    <row r="36" spans="1:7" x14ac:dyDescent="0.2">
      <c r="A36" s="157"/>
    </row>
    <row r="37" spans="1:7" x14ac:dyDescent="0.2">
      <c r="A37" s="157"/>
    </row>
    <row r="38" spans="1:7" x14ac:dyDescent="0.2">
      <c r="A38" s="157"/>
    </row>
    <row r="39" spans="1:7" ht="13.5" thickBot="1" x14ac:dyDescent="0.25">
      <c r="A39" s="157"/>
      <c r="B39" s="164"/>
      <c r="C39" s="164"/>
      <c r="D39" s="164"/>
      <c r="E39" s="164"/>
      <c r="F39" s="164"/>
      <c r="G39" s="164"/>
    </row>
    <row r="40" spans="1:7" ht="13.5" thickTop="1" x14ac:dyDescent="0.2"/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27" workbookViewId="0">
      <selection activeCell="E51" sqref="E51"/>
    </sheetView>
  </sheetViews>
  <sheetFormatPr defaultRowHeight="12.75" x14ac:dyDescent="0.2"/>
  <cols>
    <col min="1" max="1" width="9.140625" style="159"/>
    <col min="2" max="2" width="13.5703125" style="159" customWidth="1"/>
    <col min="3" max="3" width="12.28515625" style="159" customWidth="1"/>
    <col min="4" max="4" width="13.85546875" style="159" customWidth="1"/>
    <col min="5" max="6" width="9.140625" style="159"/>
    <col min="7" max="7" width="12.140625" style="159" customWidth="1"/>
    <col min="8" max="8" width="13.85546875" style="159" customWidth="1"/>
    <col min="9" max="9" width="13.140625" style="159" customWidth="1"/>
    <col min="10" max="16384" width="9.140625" style="159"/>
  </cols>
  <sheetData>
    <row r="1" spans="1:9" x14ac:dyDescent="0.2">
      <c r="A1" s="78" t="s">
        <v>158</v>
      </c>
      <c r="B1" s="68"/>
      <c r="C1" s="68"/>
      <c r="D1" s="68"/>
    </row>
    <row r="2" spans="1:9" x14ac:dyDescent="0.2">
      <c r="A2" s="68" t="s">
        <v>222</v>
      </c>
      <c r="B2" s="68" t="s">
        <v>462</v>
      </c>
      <c r="C2" s="72">
        <v>2.58</v>
      </c>
      <c r="D2" s="68"/>
    </row>
    <row r="3" spans="1:9" x14ac:dyDescent="0.2">
      <c r="A3" s="68" t="s">
        <v>481</v>
      </c>
      <c r="B3" s="68"/>
      <c r="C3" s="72">
        <v>-0.01</v>
      </c>
      <c r="D3" s="68"/>
    </row>
    <row r="4" spans="1:9" x14ac:dyDescent="0.2">
      <c r="A4" s="68" t="s">
        <v>223</v>
      </c>
      <c r="B4" s="68"/>
      <c r="C4" s="72">
        <v>3.2300000000000002E-2</v>
      </c>
      <c r="D4" s="68"/>
      <c r="F4" s="160" t="s">
        <v>482</v>
      </c>
    </row>
    <row r="5" spans="1:9" x14ac:dyDescent="0.2">
      <c r="A5" s="68" t="s">
        <v>224</v>
      </c>
      <c r="B5" s="68"/>
      <c r="C5" s="72">
        <v>9.4000000000000004E-3</v>
      </c>
      <c r="D5" s="68"/>
    </row>
    <row r="6" spans="1:9" x14ac:dyDescent="0.2">
      <c r="A6" s="68" t="s">
        <v>225</v>
      </c>
      <c r="B6" s="68"/>
      <c r="C6" s="73">
        <v>3.3700000000000001E-2</v>
      </c>
      <c r="D6" s="68"/>
    </row>
    <row r="7" spans="1:9" x14ac:dyDescent="0.2">
      <c r="A7" s="68" t="s">
        <v>226</v>
      </c>
      <c r="B7" s="68"/>
      <c r="C7" s="74">
        <f>ROUND((+C2+C3)/(1-C6)-(C2+C3)+C4+C5,4)</f>
        <v>0.1313</v>
      </c>
      <c r="D7" s="68"/>
    </row>
    <row r="8" spans="1:9" ht="13.5" thickBot="1" x14ac:dyDescent="0.25">
      <c r="A8" s="68" t="s">
        <v>3</v>
      </c>
      <c r="B8" s="68"/>
      <c r="C8" s="77">
        <f>SUM(C7,C2:C3)</f>
        <v>2.7013000000000003</v>
      </c>
      <c r="D8" s="68"/>
    </row>
    <row r="9" spans="1:9" s="157" customFormat="1" ht="12" customHeight="1" thickTop="1" x14ac:dyDescent="0.2">
      <c r="A9" s="158" t="s">
        <v>3</v>
      </c>
      <c r="B9" s="169" t="s">
        <v>3</v>
      </c>
      <c r="C9" s="158" t="s">
        <v>3</v>
      </c>
      <c r="D9" s="158" t="s">
        <v>3</v>
      </c>
    </row>
    <row r="10" spans="1:9" ht="16.5" customHeight="1" x14ac:dyDescent="0.2">
      <c r="A10" s="157"/>
      <c r="B10" s="157"/>
      <c r="C10" s="157"/>
      <c r="D10" s="157"/>
    </row>
    <row r="11" spans="1:9" x14ac:dyDescent="0.2">
      <c r="A11" s="157"/>
      <c r="B11" s="157"/>
      <c r="C11" s="157"/>
      <c r="D11" s="157"/>
    </row>
    <row r="12" spans="1:9" x14ac:dyDescent="0.2">
      <c r="A12" s="157"/>
      <c r="B12" s="158" t="s">
        <v>484</v>
      </c>
      <c r="C12" s="158" t="s">
        <v>483</v>
      </c>
      <c r="D12" s="158" t="s">
        <v>485</v>
      </c>
      <c r="E12" s="158" t="s">
        <v>376</v>
      </c>
      <c r="G12" s="160" t="s">
        <v>481</v>
      </c>
      <c r="H12" s="160" t="s">
        <v>226</v>
      </c>
      <c r="I12" s="160" t="s">
        <v>486</v>
      </c>
    </row>
    <row r="13" spans="1:9" x14ac:dyDescent="0.2">
      <c r="A13" s="157">
        <v>1</v>
      </c>
      <c r="B13" s="157">
        <v>2389</v>
      </c>
      <c r="C13" s="172">
        <v>2389</v>
      </c>
      <c r="D13" s="173">
        <f>+C13-B13</f>
        <v>0</v>
      </c>
      <c r="E13" s="165">
        <v>2.625</v>
      </c>
      <c r="G13" s="162">
        <v>-0.01</v>
      </c>
      <c r="H13" s="166">
        <v>0.1313</v>
      </c>
      <c r="I13" s="171">
        <v>0</v>
      </c>
    </row>
    <row r="14" spans="1:9" x14ac:dyDescent="0.2">
      <c r="A14" s="157">
        <f t="shared" ref="A14:A43" si="0">+A13+1</f>
        <v>2</v>
      </c>
      <c r="B14" s="157">
        <v>2389</v>
      </c>
      <c r="C14" s="172">
        <v>2389</v>
      </c>
      <c r="D14" s="173">
        <f t="shared" ref="D14:D43" si="1">+C14-B14</f>
        <v>0</v>
      </c>
      <c r="E14" s="165">
        <v>2.69</v>
      </c>
      <c r="G14" s="162">
        <v>-0.01</v>
      </c>
      <c r="H14" s="166">
        <v>0.1313</v>
      </c>
      <c r="I14" s="171">
        <v>0</v>
      </c>
    </row>
    <row r="15" spans="1:9" x14ac:dyDescent="0.2">
      <c r="A15" s="157">
        <f t="shared" si="0"/>
        <v>3</v>
      </c>
      <c r="B15" s="157">
        <v>2389</v>
      </c>
      <c r="C15" s="172">
        <v>2389</v>
      </c>
      <c r="D15" s="173">
        <f t="shared" si="1"/>
        <v>0</v>
      </c>
      <c r="E15" s="165">
        <v>2.7850000000000001</v>
      </c>
      <c r="G15" s="162">
        <v>-0.01</v>
      </c>
      <c r="H15" s="166">
        <v>0.1313</v>
      </c>
      <c r="I15" s="171">
        <v>0</v>
      </c>
    </row>
    <row r="16" spans="1:9" x14ac:dyDescent="0.2">
      <c r="A16" s="157">
        <f t="shared" si="0"/>
        <v>4</v>
      </c>
      <c r="B16" s="157">
        <v>2389</v>
      </c>
      <c r="C16" s="172">
        <v>2389</v>
      </c>
      <c r="D16" s="173">
        <f t="shared" si="1"/>
        <v>0</v>
      </c>
      <c r="E16" s="165">
        <f>+E17</f>
        <v>2.7050000000000001</v>
      </c>
      <c r="G16" s="162">
        <v>-0.01</v>
      </c>
      <c r="H16" s="166">
        <v>0.1313</v>
      </c>
      <c r="I16" s="171">
        <v>0</v>
      </c>
    </row>
    <row r="17" spans="1:9" x14ac:dyDescent="0.2">
      <c r="A17" s="157">
        <f t="shared" si="0"/>
        <v>5</v>
      </c>
      <c r="B17" s="157">
        <v>2389</v>
      </c>
      <c r="C17" s="172">
        <v>2389</v>
      </c>
      <c r="D17" s="173">
        <f t="shared" si="1"/>
        <v>0</v>
      </c>
      <c r="E17" s="165">
        <f>+E18</f>
        <v>2.7050000000000001</v>
      </c>
      <c r="G17" s="162">
        <v>-0.01</v>
      </c>
      <c r="H17" s="166">
        <v>0.1313</v>
      </c>
      <c r="I17" s="171">
        <v>0</v>
      </c>
    </row>
    <row r="18" spans="1:9" x14ac:dyDescent="0.2">
      <c r="A18" s="157">
        <f t="shared" si="0"/>
        <v>6</v>
      </c>
      <c r="B18" s="157">
        <v>1289</v>
      </c>
      <c r="C18" s="172">
        <v>2389</v>
      </c>
      <c r="D18" s="173">
        <f t="shared" si="1"/>
        <v>1100</v>
      </c>
      <c r="E18" s="165">
        <v>2.7050000000000001</v>
      </c>
      <c r="G18" s="162">
        <v>-0.01</v>
      </c>
      <c r="H18" s="166">
        <v>0.1313</v>
      </c>
      <c r="I18" s="171">
        <f>+D18*(E18+G18+H18)</f>
        <v>3108.9300000000003</v>
      </c>
    </row>
    <row r="19" spans="1:9" x14ac:dyDescent="0.2">
      <c r="A19" s="157">
        <f t="shared" si="0"/>
        <v>7</v>
      </c>
      <c r="B19" s="157">
        <v>1149</v>
      </c>
      <c r="C19" s="172">
        <v>2389</v>
      </c>
      <c r="D19" s="173">
        <f t="shared" si="1"/>
        <v>1240</v>
      </c>
      <c r="E19" s="165">
        <v>2.72</v>
      </c>
      <c r="G19" s="162">
        <v>-0.01</v>
      </c>
      <c r="H19" s="166">
        <v>0.1313</v>
      </c>
      <c r="I19" s="171">
        <f>+D19*(E19+G19+H19)</f>
        <v>3523.2120000000004</v>
      </c>
    </row>
    <row r="20" spans="1:9" x14ac:dyDescent="0.2">
      <c r="A20" s="157">
        <f t="shared" si="0"/>
        <v>8</v>
      </c>
      <c r="B20" s="157">
        <v>1129</v>
      </c>
      <c r="C20" s="172">
        <v>2389</v>
      </c>
      <c r="D20" s="173">
        <f t="shared" si="1"/>
        <v>1260</v>
      </c>
      <c r="E20" s="165">
        <v>2.76</v>
      </c>
      <c r="G20" s="162">
        <v>-0.01</v>
      </c>
      <c r="H20" s="166">
        <v>0.1313</v>
      </c>
      <c r="I20" s="171">
        <f>+D20*(E20+G20+H20)</f>
        <v>3630.4380000000001</v>
      </c>
    </row>
    <row r="21" spans="1:9" x14ac:dyDescent="0.2">
      <c r="A21" s="157">
        <f t="shared" si="0"/>
        <v>9</v>
      </c>
      <c r="B21" s="157">
        <v>1309</v>
      </c>
      <c r="C21" s="172">
        <v>2389</v>
      </c>
      <c r="D21" s="173">
        <f t="shared" si="1"/>
        <v>1080</v>
      </c>
      <c r="E21" s="165">
        <v>2.72</v>
      </c>
      <c r="G21" s="162">
        <v>-0.01</v>
      </c>
      <c r="H21" s="166">
        <v>0.1313</v>
      </c>
      <c r="I21" s="171">
        <f>+D21*(E21+G21+H21)</f>
        <v>3068.6040000000003</v>
      </c>
    </row>
    <row r="22" spans="1:9" x14ac:dyDescent="0.2">
      <c r="A22" s="157">
        <f t="shared" si="0"/>
        <v>10</v>
      </c>
      <c r="B22" s="157">
        <v>2389</v>
      </c>
      <c r="C22" s="172">
        <v>2389</v>
      </c>
      <c r="D22" s="173">
        <f t="shared" si="1"/>
        <v>0</v>
      </c>
      <c r="E22" s="165">
        <v>2.6549999999999998</v>
      </c>
      <c r="G22" s="162">
        <v>-0.01</v>
      </c>
      <c r="H22" s="166">
        <v>0.1313</v>
      </c>
      <c r="I22" s="171">
        <v>0</v>
      </c>
    </row>
    <row r="23" spans="1:9" x14ac:dyDescent="0.2">
      <c r="A23" s="157">
        <f t="shared" si="0"/>
        <v>11</v>
      </c>
      <c r="B23" s="157">
        <v>2389</v>
      </c>
      <c r="C23" s="172">
        <v>2389</v>
      </c>
      <c r="D23" s="173">
        <f t="shared" si="1"/>
        <v>0</v>
      </c>
      <c r="E23" s="165">
        <v>2.7450000000000001</v>
      </c>
      <c r="G23" s="162">
        <v>-0.01</v>
      </c>
      <c r="H23" s="166">
        <v>0.1313</v>
      </c>
      <c r="I23" s="171">
        <v>0</v>
      </c>
    </row>
    <row r="24" spans="1:9" x14ac:dyDescent="0.2">
      <c r="A24" s="157">
        <f t="shared" si="0"/>
        <v>12</v>
      </c>
      <c r="B24" s="157">
        <v>2389</v>
      </c>
      <c r="C24" s="172">
        <v>2389</v>
      </c>
      <c r="D24" s="173">
        <f t="shared" si="1"/>
        <v>0</v>
      </c>
      <c r="E24" s="165">
        <f>+E23</f>
        <v>2.7450000000000001</v>
      </c>
      <c r="G24" s="162">
        <v>-0.01</v>
      </c>
      <c r="H24" s="166">
        <v>0.1313</v>
      </c>
      <c r="I24" s="171">
        <v>0</v>
      </c>
    </row>
    <row r="25" spans="1:9" x14ac:dyDescent="0.2">
      <c r="A25" s="157">
        <f t="shared" si="0"/>
        <v>13</v>
      </c>
      <c r="B25" s="157">
        <v>2389</v>
      </c>
      <c r="C25" s="172">
        <v>2389</v>
      </c>
      <c r="D25" s="173">
        <f t="shared" si="1"/>
        <v>0</v>
      </c>
      <c r="E25" s="165">
        <f>+E24</f>
        <v>2.7450000000000001</v>
      </c>
      <c r="G25" s="162">
        <v>-0.01</v>
      </c>
      <c r="H25" s="166">
        <v>0.1313</v>
      </c>
      <c r="I25" s="171">
        <v>0</v>
      </c>
    </row>
    <row r="26" spans="1:9" x14ac:dyDescent="0.2">
      <c r="A26" s="157">
        <f t="shared" si="0"/>
        <v>14</v>
      </c>
      <c r="B26" s="157">
        <v>2389</v>
      </c>
      <c r="C26" s="172">
        <v>2389</v>
      </c>
      <c r="D26" s="173">
        <f t="shared" si="1"/>
        <v>0</v>
      </c>
      <c r="E26" s="165">
        <v>2.7949999999999999</v>
      </c>
      <c r="G26" s="162">
        <v>-0.01</v>
      </c>
      <c r="H26" s="166">
        <v>0.1313</v>
      </c>
      <c r="I26" s="171">
        <v>0</v>
      </c>
    </row>
    <row r="27" spans="1:9" x14ac:dyDescent="0.2">
      <c r="A27" s="157">
        <f t="shared" si="0"/>
        <v>15</v>
      </c>
      <c r="B27" s="157">
        <v>1049</v>
      </c>
      <c r="C27" s="172">
        <v>2389</v>
      </c>
      <c r="D27" s="173">
        <f t="shared" si="1"/>
        <v>1340</v>
      </c>
      <c r="E27" s="165">
        <v>2.8050000000000002</v>
      </c>
      <c r="G27" s="162">
        <v>-0.01</v>
      </c>
      <c r="H27" s="166">
        <v>0.1313</v>
      </c>
      <c r="I27" s="171">
        <f>+D27*(E27+G27+H27)</f>
        <v>3921.2420000000006</v>
      </c>
    </row>
    <row r="28" spans="1:9" x14ac:dyDescent="0.2">
      <c r="A28" s="157">
        <f t="shared" si="0"/>
        <v>16</v>
      </c>
      <c r="B28" s="157">
        <v>2389</v>
      </c>
      <c r="C28" s="172">
        <v>2389</v>
      </c>
      <c r="D28" s="173">
        <f t="shared" si="1"/>
        <v>0</v>
      </c>
      <c r="E28" s="165">
        <v>2.7450000000000001</v>
      </c>
      <c r="G28" s="162">
        <v>-0.01</v>
      </c>
      <c r="H28" s="166">
        <v>0.1313</v>
      </c>
      <c r="I28" s="171">
        <v>0</v>
      </c>
    </row>
    <row r="29" spans="1:9" x14ac:dyDescent="0.2">
      <c r="A29" s="157">
        <f t="shared" si="0"/>
        <v>17</v>
      </c>
      <c r="B29" s="157">
        <v>2389</v>
      </c>
      <c r="C29" s="172">
        <v>2389</v>
      </c>
      <c r="D29" s="173">
        <f t="shared" si="1"/>
        <v>0</v>
      </c>
      <c r="E29" s="165">
        <v>2.81</v>
      </c>
      <c r="G29" s="162">
        <v>-0.01</v>
      </c>
      <c r="H29" s="166">
        <v>0.1313</v>
      </c>
      <c r="I29" s="171">
        <v>0</v>
      </c>
    </row>
    <row r="30" spans="1:9" x14ac:dyDescent="0.2">
      <c r="A30" s="157">
        <f t="shared" si="0"/>
        <v>18</v>
      </c>
      <c r="B30" s="157">
        <v>2389</v>
      </c>
      <c r="C30" s="172">
        <v>2389</v>
      </c>
      <c r="D30" s="173">
        <f t="shared" si="1"/>
        <v>0</v>
      </c>
      <c r="E30" s="165">
        <f>+E31</f>
        <v>2.8</v>
      </c>
      <c r="G30" s="162">
        <v>-0.01</v>
      </c>
      <c r="H30" s="166">
        <v>0.1313</v>
      </c>
      <c r="I30" s="171">
        <v>0</v>
      </c>
    </row>
    <row r="31" spans="1:9" x14ac:dyDescent="0.2">
      <c r="A31" s="157">
        <f t="shared" si="0"/>
        <v>19</v>
      </c>
      <c r="B31" s="157">
        <v>2389</v>
      </c>
      <c r="C31" s="172">
        <v>2389</v>
      </c>
      <c r="D31" s="173">
        <f t="shared" si="1"/>
        <v>0</v>
      </c>
      <c r="E31" s="165">
        <f>+E32</f>
        <v>2.8</v>
      </c>
      <c r="G31" s="162">
        <v>-0.01</v>
      </c>
      <c r="H31" s="166">
        <v>0.1313</v>
      </c>
      <c r="I31" s="171">
        <v>0</v>
      </c>
    </row>
    <row r="32" spans="1:9" x14ac:dyDescent="0.2">
      <c r="A32" s="157">
        <f t="shared" si="0"/>
        <v>20</v>
      </c>
      <c r="B32" s="157">
        <v>2389</v>
      </c>
      <c r="C32" s="172">
        <v>2389</v>
      </c>
      <c r="D32" s="173">
        <f t="shared" si="1"/>
        <v>0</v>
      </c>
      <c r="E32" s="165">
        <v>2.8</v>
      </c>
      <c r="G32" s="162">
        <v>-0.01</v>
      </c>
      <c r="H32" s="166">
        <v>0.1313</v>
      </c>
      <c r="I32" s="171">
        <v>0</v>
      </c>
    </row>
    <row r="33" spans="1:9" x14ac:dyDescent="0.2">
      <c r="A33" s="157">
        <f t="shared" si="0"/>
        <v>21</v>
      </c>
      <c r="B33" s="157">
        <v>2389</v>
      </c>
      <c r="C33" s="172">
        <v>2389</v>
      </c>
      <c r="D33" s="173">
        <f t="shared" si="1"/>
        <v>0</v>
      </c>
      <c r="E33" s="165">
        <v>2.72</v>
      </c>
      <c r="G33" s="162">
        <v>-0.01</v>
      </c>
      <c r="H33" s="166">
        <v>0.1313</v>
      </c>
      <c r="I33" s="171">
        <v>0</v>
      </c>
    </row>
    <row r="34" spans="1:9" x14ac:dyDescent="0.2">
      <c r="A34" s="157">
        <f t="shared" si="0"/>
        <v>22</v>
      </c>
      <c r="B34" s="157">
        <v>1389</v>
      </c>
      <c r="C34" s="172">
        <v>2389</v>
      </c>
      <c r="D34" s="173">
        <f t="shared" si="1"/>
        <v>1000</v>
      </c>
      <c r="E34" s="165">
        <v>2.73</v>
      </c>
      <c r="G34" s="162">
        <v>-0.01</v>
      </c>
      <c r="H34" s="166">
        <v>0.1313</v>
      </c>
      <c r="I34" s="171">
        <f t="shared" ref="I34:I43" si="2">+D34*(E34+G34+H34)</f>
        <v>2851.3</v>
      </c>
    </row>
    <row r="35" spans="1:9" x14ac:dyDescent="0.2">
      <c r="A35" s="157">
        <f t="shared" si="0"/>
        <v>23</v>
      </c>
      <c r="B35" s="157">
        <v>909</v>
      </c>
      <c r="C35" s="172">
        <v>2389</v>
      </c>
      <c r="D35" s="173">
        <f t="shared" si="1"/>
        <v>1480</v>
      </c>
      <c r="E35" s="165">
        <v>2.77</v>
      </c>
      <c r="G35" s="162">
        <v>-0.01</v>
      </c>
      <c r="H35" s="166">
        <v>0.1313</v>
      </c>
      <c r="I35" s="171">
        <f t="shared" si="2"/>
        <v>4279.1240000000007</v>
      </c>
    </row>
    <row r="36" spans="1:9" x14ac:dyDescent="0.2">
      <c r="A36" s="157">
        <f t="shared" si="0"/>
        <v>24</v>
      </c>
      <c r="B36" s="157">
        <v>788</v>
      </c>
      <c r="C36" s="172">
        <v>2389</v>
      </c>
      <c r="D36" s="173">
        <f t="shared" si="1"/>
        <v>1601</v>
      </c>
      <c r="E36" s="165">
        <v>2.73</v>
      </c>
      <c r="G36" s="162">
        <v>-0.01</v>
      </c>
      <c r="H36" s="166">
        <v>0.1313</v>
      </c>
      <c r="I36" s="171">
        <f t="shared" si="2"/>
        <v>4564.9313000000002</v>
      </c>
    </row>
    <row r="37" spans="1:9" x14ac:dyDescent="0.2">
      <c r="A37" s="157">
        <f t="shared" si="0"/>
        <v>25</v>
      </c>
      <c r="B37" s="157">
        <v>988</v>
      </c>
      <c r="C37" s="172">
        <v>2389</v>
      </c>
      <c r="D37" s="173">
        <f t="shared" si="1"/>
        <v>1401</v>
      </c>
      <c r="E37" s="165">
        <f>+E38</f>
        <v>2.7949999999999999</v>
      </c>
      <c r="G37" s="162">
        <v>-0.01</v>
      </c>
      <c r="H37" s="166">
        <v>0.1313</v>
      </c>
      <c r="I37" s="171">
        <f t="shared" si="2"/>
        <v>4085.7363</v>
      </c>
    </row>
    <row r="38" spans="1:9" x14ac:dyDescent="0.2">
      <c r="A38" s="157">
        <f t="shared" si="0"/>
        <v>26</v>
      </c>
      <c r="B38" s="157">
        <v>1068</v>
      </c>
      <c r="C38" s="172">
        <v>2389</v>
      </c>
      <c r="D38" s="173">
        <f t="shared" si="1"/>
        <v>1321</v>
      </c>
      <c r="E38" s="165">
        <f>+E39</f>
        <v>2.7949999999999999</v>
      </c>
      <c r="G38" s="162">
        <v>-0.01</v>
      </c>
      <c r="H38" s="166">
        <v>0.1313</v>
      </c>
      <c r="I38" s="171">
        <f t="shared" si="2"/>
        <v>3852.4322999999999</v>
      </c>
    </row>
    <row r="39" spans="1:9" x14ac:dyDescent="0.2">
      <c r="A39" s="157">
        <f t="shared" si="0"/>
        <v>27</v>
      </c>
      <c r="B39" s="157">
        <v>1589</v>
      </c>
      <c r="C39" s="172">
        <v>2389</v>
      </c>
      <c r="D39" s="173">
        <f t="shared" si="1"/>
        <v>800</v>
      </c>
      <c r="E39" s="165">
        <v>2.7949999999999999</v>
      </c>
      <c r="G39" s="162">
        <v>-0.01</v>
      </c>
      <c r="H39" s="166">
        <v>0.1313</v>
      </c>
      <c r="I39" s="171">
        <f t="shared" si="2"/>
        <v>2333.04</v>
      </c>
    </row>
    <row r="40" spans="1:9" x14ac:dyDescent="0.2">
      <c r="A40" s="157">
        <f t="shared" si="0"/>
        <v>28</v>
      </c>
      <c r="B40" s="157">
        <v>1789</v>
      </c>
      <c r="C40" s="172">
        <v>2389</v>
      </c>
      <c r="D40" s="173">
        <f t="shared" si="1"/>
        <v>600</v>
      </c>
      <c r="E40" s="165">
        <v>2.8</v>
      </c>
      <c r="G40" s="162">
        <v>-0.01</v>
      </c>
      <c r="H40" s="166">
        <v>0.1313</v>
      </c>
      <c r="I40" s="171">
        <f t="shared" si="2"/>
        <v>1752.78</v>
      </c>
    </row>
    <row r="41" spans="1:9" x14ac:dyDescent="0.2">
      <c r="A41" s="157">
        <f t="shared" si="0"/>
        <v>29</v>
      </c>
      <c r="B41" s="157">
        <v>1389</v>
      </c>
      <c r="C41" s="172">
        <v>2389</v>
      </c>
      <c r="D41" s="173">
        <f t="shared" si="1"/>
        <v>1000</v>
      </c>
      <c r="E41" s="165">
        <v>2.895</v>
      </c>
      <c r="G41" s="162">
        <v>-0.01</v>
      </c>
      <c r="H41" s="166">
        <v>0.1313</v>
      </c>
      <c r="I41" s="171">
        <f t="shared" si="2"/>
        <v>3016.3</v>
      </c>
    </row>
    <row r="42" spans="1:9" x14ac:dyDescent="0.2">
      <c r="A42" s="157">
        <f t="shared" si="0"/>
        <v>30</v>
      </c>
      <c r="B42" s="157">
        <v>1689</v>
      </c>
      <c r="C42" s="172">
        <v>2389</v>
      </c>
      <c r="D42" s="173">
        <f t="shared" si="1"/>
        <v>700</v>
      </c>
      <c r="E42" s="165">
        <v>2.895</v>
      </c>
      <c r="G42" s="162">
        <v>-0.01</v>
      </c>
      <c r="H42" s="166">
        <v>0.1313</v>
      </c>
      <c r="I42" s="171">
        <f t="shared" si="2"/>
        <v>2111.4100000000003</v>
      </c>
    </row>
    <row r="43" spans="1:9" x14ac:dyDescent="0.2">
      <c r="A43" s="157">
        <f t="shared" si="0"/>
        <v>31</v>
      </c>
      <c r="B43" s="157">
        <v>1489</v>
      </c>
      <c r="C43" s="172">
        <v>2389</v>
      </c>
      <c r="D43" s="173">
        <f t="shared" si="1"/>
        <v>900</v>
      </c>
      <c r="E43" s="165">
        <v>2.8</v>
      </c>
      <c r="G43" s="162">
        <v>-0.01</v>
      </c>
      <c r="H43" s="166">
        <v>0.1313</v>
      </c>
      <c r="I43" s="171">
        <f t="shared" si="2"/>
        <v>2629.17</v>
      </c>
    </row>
    <row r="44" spans="1:9" x14ac:dyDescent="0.2">
      <c r="A44" s="157"/>
      <c r="B44" s="157"/>
      <c r="C44" s="157"/>
      <c r="D44" s="163"/>
      <c r="E44" s="166"/>
    </row>
    <row r="45" spans="1:9" ht="13.5" thickBot="1" x14ac:dyDescent="0.25">
      <c r="A45" s="158" t="s">
        <v>480</v>
      </c>
      <c r="B45" s="170">
        <f>SUM(B13:B44)</f>
        <v>57236</v>
      </c>
      <c r="C45" s="170">
        <f>SUM(C13:C44)</f>
        <v>74059</v>
      </c>
      <c r="D45" s="170">
        <f>SUM(D13:D44)</f>
        <v>16823</v>
      </c>
      <c r="E45" s="166"/>
      <c r="I45" s="174">
        <f>SUM(I13:I44)</f>
        <v>48728.649900000004</v>
      </c>
    </row>
    <row r="46" spans="1:9" ht="13.5" thickTop="1" x14ac:dyDescent="0.2">
      <c r="D46" s="163"/>
      <c r="E46" s="166"/>
    </row>
    <row r="47" spans="1:9" x14ac:dyDescent="0.2">
      <c r="E47" s="166"/>
    </row>
    <row r="48" spans="1:9" x14ac:dyDescent="0.2">
      <c r="E48" s="167" t="s">
        <v>487</v>
      </c>
      <c r="G48" s="166">
        <v>2.8965000000000001</v>
      </c>
    </row>
    <row r="49" spans="5:7" x14ac:dyDescent="0.2">
      <c r="E49" s="167" t="s">
        <v>488</v>
      </c>
      <c r="G49" s="166">
        <v>2.79</v>
      </c>
    </row>
    <row r="50" spans="5:7" x14ac:dyDescent="0.2">
      <c r="E50" s="167" t="s">
        <v>493</v>
      </c>
    </row>
    <row r="51" spans="5:7" x14ac:dyDescent="0.2">
      <c r="E51" s="167" t="s">
        <v>494</v>
      </c>
    </row>
    <row r="52" spans="5:7" x14ac:dyDescent="0.2">
      <c r="E52" s="166"/>
    </row>
    <row r="53" spans="5:7" x14ac:dyDescent="0.2">
      <c r="E53" s="166"/>
    </row>
    <row r="54" spans="5:7" x14ac:dyDescent="0.2">
      <c r="E54" s="166"/>
    </row>
    <row r="55" spans="5:7" x14ac:dyDescent="0.2">
      <c r="E55" s="166"/>
    </row>
    <row r="56" spans="5:7" x14ac:dyDescent="0.2">
      <c r="E56" s="166"/>
    </row>
    <row r="57" spans="5:7" x14ac:dyDescent="0.2">
      <c r="E57" s="166"/>
    </row>
    <row r="58" spans="5:7" x14ac:dyDescent="0.2">
      <c r="E58" s="166"/>
    </row>
    <row r="59" spans="5:7" x14ac:dyDescent="0.2">
      <c r="E59" s="166"/>
    </row>
    <row r="60" spans="5:7" x14ac:dyDescent="0.2">
      <c r="E60" s="166"/>
    </row>
    <row r="61" spans="5:7" x14ac:dyDescent="0.2">
      <c r="E61" s="166"/>
    </row>
    <row r="62" spans="5:7" x14ac:dyDescent="0.2">
      <c r="E62" s="166"/>
    </row>
    <row r="63" spans="5:7" x14ac:dyDescent="0.2">
      <c r="E63" s="166"/>
    </row>
    <row r="64" spans="5:7" x14ac:dyDescent="0.2">
      <c r="E64" s="166"/>
    </row>
    <row r="65" spans="5:5" x14ac:dyDescent="0.2">
      <c r="E65" s="166"/>
    </row>
    <row r="66" spans="5:5" x14ac:dyDescent="0.2">
      <c r="E66" s="166"/>
    </row>
    <row r="67" spans="5:5" x14ac:dyDescent="0.2">
      <c r="E67" s="166"/>
    </row>
    <row r="68" spans="5:5" x14ac:dyDescent="0.2">
      <c r="E68" s="166"/>
    </row>
    <row r="69" spans="5:5" x14ac:dyDescent="0.2">
      <c r="E69" s="166"/>
    </row>
    <row r="70" spans="5:5" x14ac:dyDescent="0.2">
      <c r="E70" s="166"/>
    </row>
    <row r="71" spans="5:5" x14ac:dyDescent="0.2">
      <c r="E71" s="166"/>
    </row>
    <row r="72" spans="5:5" x14ac:dyDescent="0.2">
      <c r="E72" s="166"/>
    </row>
    <row r="73" spans="5:5" x14ac:dyDescent="0.2">
      <c r="E73" s="166"/>
    </row>
    <row r="74" spans="5:5" x14ac:dyDescent="0.2">
      <c r="E74" s="166"/>
    </row>
    <row r="75" spans="5:5" x14ac:dyDescent="0.2">
      <c r="E75" s="166"/>
    </row>
    <row r="76" spans="5:5" x14ac:dyDescent="0.2">
      <c r="E76" s="166"/>
    </row>
    <row r="77" spans="5:5" x14ac:dyDescent="0.2">
      <c r="E77" s="166"/>
    </row>
    <row r="78" spans="5:5" x14ac:dyDescent="0.2">
      <c r="E78" s="166"/>
    </row>
    <row r="79" spans="5:5" x14ac:dyDescent="0.2">
      <c r="E79" s="166"/>
    </row>
    <row r="80" spans="5:5" x14ac:dyDescent="0.2">
      <c r="E80" s="166"/>
    </row>
    <row r="81" spans="5:5" x14ac:dyDescent="0.2">
      <c r="E81" s="166"/>
    </row>
    <row r="82" spans="5:5" x14ac:dyDescent="0.2">
      <c r="E82" s="166"/>
    </row>
    <row r="83" spans="5:5" x14ac:dyDescent="0.2">
      <c r="E83" s="166"/>
    </row>
    <row r="84" spans="5:5" x14ac:dyDescent="0.2">
      <c r="E84" s="166"/>
    </row>
    <row r="85" spans="5:5" x14ac:dyDescent="0.2">
      <c r="E85" s="166"/>
    </row>
    <row r="86" spans="5:5" x14ac:dyDescent="0.2">
      <c r="E86" s="166"/>
    </row>
    <row r="87" spans="5:5" x14ac:dyDescent="0.2">
      <c r="E87" s="166"/>
    </row>
    <row r="88" spans="5:5" x14ac:dyDescent="0.2">
      <c r="E88" s="166"/>
    </row>
    <row r="89" spans="5:5" x14ac:dyDescent="0.2">
      <c r="E89" s="166"/>
    </row>
    <row r="90" spans="5:5" x14ac:dyDescent="0.2">
      <c r="E90" s="166"/>
    </row>
    <row r="91" spans="5:5" x14ac:dyDescent="0.2">
      <c r="E91" s="166"/>
    </row>
    <row r="92" spans="5:5" x14ac:dyDescent="0.2">
      <c r="E92" s="166"/>
    </row>
    <row r="93" spans="5:5" x14ac:dyDescent="0.2">
      <c r="E93" s="166"/>
    </row>
    <row r="94" spans="5:5" x14ac:dyDescent="0.2">
      <c r="E94" s="166"/>
    </row>
    <row r="95" spans="5:5" x14ac:dyDescent="0.2">
      <c r="E95" s="166"/>
    </row>
    <row r="96" spans="5:5" x14ac:dyDescent="0.2">
      <c r="E96" s="166"/>
    </row>
    <row r="97" spans="5:5" x14ac:dyDescent="0.2">
      <c r="E97" s="166"/>
    </row>
    <row r="98" spans="5:5" x14ac:dyDescent="0.2">
      <c r="E98" s="166"/>
    </row>
    <row r="99" spans="5:5" x14ac:dyDescent="0.2">
      <c r="E99" s="166"/>
    </row>
    <row r="100" spans="5:5" x14ac:dyDescent="0.2">
      <c r="E100" s="166"/>
    </row>
    <row r="101" spans="5:5" x14ac:dyDescent="0.2">
      <c r="E101" s="166"/>
    </row>
    <row r="102" spans="5:5" x14ac:dyDescent="0.2">
      <c r="E102" s="166"/>
    </row>
    <row r="103" spans="5:5" x14ac:dyDescent="0.2">
      <c r="E103" s="166"/>
    </row>
    <row r="104" spans="5:5" x14ac:dyDescent="0.2">
      <c r="E104" s="166"/>
    </row>
    <row r="105" spans="5:5" x14ac:dyDescent="0.2">
      <c r="E105" s="166"/>
    </row>
    <row r="106" spans="5:5" x14ac:dyDescent="0.2">
      <c r="E106" s="166"/>
    </row>
    <row r="107" spans="5:5" x14ac:dyDescent="0.2">
      <c r="E107" s="166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Pricing</vt:lpstr>
      <vt:lpstr>CGAS</vt:lpstr>
      <vt:lpstr>Ces Retail</vt:lpstr>
      <vt:lpstr>Local Prod</vt:lpstr>
      <vt:lpstr>TxGas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2000-03-31T13:54:31Z</cp:lastPrinted>
  <dcterms:created xsi:type="dcterms:W3CDTF">1998-07-21T12:15:25Z</dcterms:created>
  <dcterms:modified xsi:type="dcterms:W3CDTF">2014-09-03T12:34:46Z</dcterms:modified>
</cp:coreProperties>
</file>