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090" windowHeight="8550" tabRatio="602" firstSheet="1" activeTab="4"/>
  </bookViews>
  <sheets>
    <sheet name="Manual Invoice" sheetId="24" r:id="rId1"/>
    <sheet name="Pricing" sheetId="21" r:id="rId2"/>
    <sheet name="Local Production" sheetId="23" r:id="rId3"/>
    <sheet name="CGAS" sheetId="22" r:id="rId4"/>
    <sheet name="Ces Retail" sheetId="19" r:id="rId5"/>
  </sheets>
  <definedNames>
    <definedName name="_xlnm.Print_Area" localSheetId="3">CGAS!$A$2:$V$36</definedName>
  </definedNames>
  <calcPr calcId="152511"/>
</workbook>
</file>

<file path=xl/calcChain.xml><?xml version="1.0" encoding="utf-8"?>
<calcChain xmlns="http://schemas.openxmlformats.org/spreadsheetml/2006/main">
  <c r="J12" i="19" l="1"/>
  <c r="U12" i="19" s="1"/>
  <c r="P12" i="19"/>
  <c r="J13" i="19"/>
  <c r="J14" i="19"/>
  <c r="U14" i="19" s="1"/>
  <c r="J15" i="19"/>
  <c r="P15" i="19" s="1"/>
  <c r="U15" i="19"/>
  <c r="J16" i="19"/>
  <c r="P16" i="19" s="1"/>
  <c r="U16" i="19"/>
  <c r="J17" i="19"/>
  <c r="P17" i="19" s="1"/>
  <c r="J18" i="19"/>
  <c r="P18" i="19"/>
  <c r="U18" i="19"/>
  <c r="J19" i="19"/>
  <c r="P19" i="19"/>
  <c r="U19" i="19"/>
  <c r="J20" i="19"/>
  <c r="P20" i="19"/>
  <c r="U20" i="19"/>
  <c r="J21" i="19"/>
  <c r="J22" i="19"/>
  <c r="U22" i="19" s="1"/>
  <c r="P22" i="19"/>
  <c r="J23" i="19"/>
  <c r="J24" i="19"/>
  <c r="P24" i="19" s="1"/>
  <c r="U24" i="19"/>
  <c r="A25" i="19"/>
  <c r="J25" i="19"/>
  <c r="P25" i="19"/>
  <c r="U25" i="19"/>
  <c r="S26" i="19"/>
  <c r="V26" i="19"/>
  <c r="J28" i="19"/>
  <c r="U28" i="19" s="1"/>
  <c r="J29" i="19"/>
  <c r="P29" i="19" s="1"/>
  <c r="J30" i="19"/>
  <c r="P30" i="19" s="1"/>
  <c r="U30" i="19"/>
  <c r="J31" i="19"/>
  <c r="J32" i="19"/>
  <c r="U32" i="19" s="1"/>
  <c r="P32" i="19"/>
  <c r="J33" i="19"/>
  <c r="P33" i="19"/>
  <c r="U33" i="19"/>
  <c r="P34" i="19"/>
  <c r="U34" i="19"/>
  <c r="J35" i="19"/>
  <c r="P35" i="19"/>
  <c r="U35" i="19"/>
  <c r="J36" i="19"/>
  <c r="P36" i="19"/>
  <c r="U36" i="19"/>
  <c r="U37" i="19"/>
  <c r="U38" i="19"/>
  <c r="S39" i="19"/>
  <c r="V39" i="19"/>
  <c r="Y40" i="19"/>
  <c r="J41" i="19"/>
  <c r="U41" i="19" s="1"/>
  <c r="P41" i="19"/>
  <c r="P42" i="19"/>
  <c r="U42" i="19"/>
  <c r="P43" i="19"/>
  <c r="U43" i="19"/>
  <c r="J44" i="19"/>
  <c r="P44" i="19"/>
  <c r="U44" i="19"/>
  <c r="J45" i="19"/>
  <c r="P45" i="19"/>
  <c r="U45" i="19"/>
  <c r="J46" i="19"/>
  <c r="J47" i="19"/>
  <c r="U47" i="19" s="1"/>
  <c r="J48" i="19"/>
  <c r="P48" i="19" s="1"/>
  <c r="J49" i="19"/>
  <c r="P49" i="19"/>
  <c r="U49" i="19"/>
  <c r="J50" i="19"/>
  <c r="J51" i="19"/>
  <c r="P51" i="19"/>
  <c r="U51" i="19"/>
  <c r="J52" i="19"/>
  <c r="J53" i="19"/>
  <c r="U53" i="19" s="1"/>
  <c r="P53" i="19"/>
  <c r="J54" i="19"/>
  <c r="J55" i="19"/>
  <c r="P55" i="19"/>
  <c r="U55" i="19"/>
  <c r="J56" i="19"/>
  <c r="P56" i="19" s="1"/>
  <c r="U56" i="19"/>
  <c r="P57" i="19"/>
  <c r="U57" i="19"/>
  <c r="P58" i="19"/>
  <c r="U58" i="19"/>
  <c r="J59" i="19"/>
  <c r="U59" i="19" s="1"/>
  <c r="P59" i="19"/>
  <c r="P60" i="19"/>
  <c r="U60" i="19"/>
  <c r="J61" i="19"/>
  <c r="J62" i="19"/>
  <c r="J63" i="19"/>
  <c r="J64" i="19"/>
  <c r="P64" i="19"/>
  <c r="U64" i="19"/>
  <c r="J65" i="19"/>
  <c r="P65" i="19" s="1"/>
  <c r="U65" i="19"/>
  <c r="J66" i="19"/>
  <c r="P66" i="19"/>
  <c r="U66" i="19"/>
  <c r="J67" i="19"/>
  <c r="P67" i="19"/>
  <c r="U67" i="19"/>
  <c r="J68" i="19"/>
  <c r="P68" i="19"/>
  <c r="U68" i="19"/>
  <c r="J69" i="19"/>
  <c r="J70" i="19"/>
  <c r="U70" i="19" s="1"/>
  <c r="P70" i="19"/>
  <c r="J71" i="19"/>
  <c r="P71" i="19" s="1"/>
  <c r="U71" i="19"/>
  <c r="J72" i="19"/>
  <c r="P72" i="19"/>
  <c r="U72" i="19"/>
  <c r="J73" i="19"/>
  <c r="J74" i="19"/>
  <c r="U74" i="19" s="1"/>
  <c r="P74" i="19"/>
  <c r="J75" i="19"/>
  <c r="U75" i="19"/>
  <c r="J76" i="19"/>
  <c r="J77" i="19"/>
  <c r="U77" i="19" s="1"/>
  <c r="P77" i="19"/>
  <c r="J78" i="19"/>
  <c r="P78" i="19"/>
  <c r="U78" i="19"/>
  <c r="J79" i="19"/>
  <c r="U79" i="19"/>
  <c r="J80" i="19"/>
  <c r="U80" i="19" s="1"/>
  <c r="P80" i="19"/>
  <c r="J81" i="19"/>
  <c r="P81" i="19"/>
  <c r="U81" i="19"/>
  <c r="J82" i="19"/>
  <c r="P82" i="19"/>
  <c r="U82" i="19"/>
  <c r="J83" i="19"/>
  <c r="U83" i="19" s="1"/>
  <c r="J84" i="19"/>
  <c r="U84" i="19"/>
  <c r="J85" i="19"/>
  <c r="U85" i="19" s="1"/>
  <c r="J86" i="19"/>
  <c r="U86" i="19" s="1"/>
  <c r="S87" i="19"/>
  <c r="V87" i="19"/>
  <c r="Y88" i="19"/>
  <c r="J89" i="19"/>
  <c r="P89" i="19" s="1"/>
  <c r="U89" i="19"/>
  <c r="J90" i="19"/>
  <c r="U90" i="19" s="1"/>
  <c r="P90" i="19"/>
  <c r="J91" i="19"/>
  <c r="P91" i="19"/>
  <c r="U91" i="19"/>
  <c r="J92" i="19"/>
  <c r="P92" i="19"/>
  <c r="U92" i="19"/>
  <c r="J93" i="19"/>
  <c r="J94" i="19"/>
  <c r="U94" i="19" s="1"/>
  <c r="J95" i="19"/>
  <c r="P95" i="19" s="1"/>
  <c r="U95" i="19"/>
  <c r="J96" i="19"/>
  <c r="P96" i="19"/>
  <c r="U96" i="19"/>
  <c r="J97" i="19"/>
  <c r="P97" i="19" s="1"/>
  <c r="U97" i="19"/>
  <c r="J98" i="19"/>
  <c r="U98" i="19" s="1"/>
  <c r="P98" i="19"/>
  <c r="J99" i="19"/>
  <c r="P99" i="19"/>
  <c r="U99" i="19"/>
  <c r="J100" i="19"/>
  <c r="P100" i="19"/>
  <c r="U100" i="19"/>
  <c r="J101" i="19"/>
  <c r="J102" i="19"/>
  <c r="U102" i="19" s="1"/>
  <c r="P102" i="19"/>
  <c r="J103" i="19"/>
  <c r="J104" i="19"/>
  <c r="P104" i="19"/>
  <c r="U104" i="19"/>
  <c r="J105" i="19"/>
  <c r="P105" i="19" s="1"/>
  <c r="U105" i="19"/>
  <c r="J106" i="19"/>
  <c r="U106" i="19" s="1"/>
  <c r="P106" i="19"/>
  <c r="J107" i="19"/>
  <c r="P107" i="19"/>
  <c r="U107" i="19"/>
  <c r="J108" i="19"/>
  <c r="U108" i="19"/>
  <c r="S110" i="19"/>
  <c r="Y111" i="19"/>
  <c r="J112" i="19"/>
  <c r="P112" i="19"/>
  <c r="U112" i="19"/>
  <c r="U113" i="19" s="1"/>
  <c r="Y114" i="19"/>
  <c r="J115" i="19"/>
  <c r="U115" i="19" s="1"/>
  <c r="P115" i="19"/>
  <c r="J116" i="19"/>
  <c r="P116" i="19"/>
  <c r="U116" i="19"/>
  <c r="J117" i="19"/>
  <c r="P117" i="19"/>
  <c r="U117" i="19"/>
  <c r="P118" i="19"/>
  <c r="U118" i="19"/>
  <c r="P119" i="19"/>
  <c r="U119" i="19"/>
  <c r="S120" i="19"/>
  <c r="Y121" i="19"/>
  <c r="J122" i="19"/>
  <c r="U122" i="19" s="1"/>
  <c r="P122" i="19"/>
  <c r="J123" i="19"/>
  <c r="P123" i="19"/>
  <c r="U123" i="19"/>
  <c r="J124" i="19"/>
  <c r="P124" i="19"/>
  <c r="U124" i="19"/>
  <c r="P125" i="19"/>
  <c r="U125" i="19"/>
  <c r="J126" i="19"/>
  <c r="P126" i="19"/>
  <c r="U126" i="19"/>
  <c r="P127" i="19"/>
  <c r="U127" i="19"/>
  <c r="P128" i="19"/>
  <c r="U128" i="19"/>
  <c r="P129" i="19"/>
  <c r="U129" i="19"/>
  <c r="P130" i="19"/>
  <c r="U130" i="19"/>
  <c r="P131" i="19"/>
  <c r="U131" i="19"/>
  <c r="P132" i="19"/>
  <c r="U132" i="19"/>
  <c r="U133" i="19"/>
  <c r="S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U145" i="19"/>
  <c r="P146" i="19"/>
  <c r="U146" i="19"/>
  <c r="P147" i="19"/>
  <c r="U147" i="19"/>
  <c r="P148" i="19"/>
  <c r="U148" i="19"/>
  <c r="J149" i="19"/>
  <c r="P149" i="19" s="1"/>
  <c r="U149" i="19"/>
  <c r="J150" i="19"/>
  <c r="U150" i="19" s="1"/>
  <c r="P150" i="19"/>
  <c r="S151" i="19"/>
  <c r="V151" i="19"/>
  <c r="Y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S160" i="19"/>
  <c r="Y161" i="19"/>
  <c r="P162" i="19"/>
  <c r="U162" i="19"/>
  <c r="P163" i="19"/>
  <c r="U163" i="19"/>
  <c r="P164" i="19"/>
  <c r="S164" i="19"/>
  <c r="U164" i="19" s="1"/>
  <c r="J165" i="19"/>
  <c r="P165" i="19"/>
  <c r="U165" i="19"/>
  <c r="J166" i="19"/>
  <c r="P166" i="19"/>
  <c r="U166" i="19"/>
  <c r="J167" i="19"/>
  <c r="P167" i="19" s="1"/>
  <c r="S167" i="19"/>
  <c r="U167" i="19" s="1"/>
  <c r="V167" i="19"/>
  <c r="J168" i="19"/>
  <c r="P168" i="19"/>
  <c r="U168" i="19"/>
  <c r="J169" i="19"/>
  <c r="J170" i="19"/>
  <c r="U170" i="19" s="1"/>
  <c r="S170" i="19"/>
  <c r="V170" i="19"/>
  <c r="J171" i="19"/>
  <c r="J172" i="19"/>
  <c r="U172" i="19" s="1"/>
  <c r="U173" i="19"/>
  <c r="U174" i="19"/>
  <c r="U175" i="19"/>
  <c r="S176" i="19"/>
  <c r="U176" i="19" s="1"/>
  <c r="V176" i="19"/>
  <c r="P177" i="19"/>
  <c r="U177" i="19"/>
  <c r="P178" i="19"/>
  <c r="U178" i="19"/>
  <c r="P179" i="19"/>
  <c r="U179" i="19"/>
  <c r="P180" i="19"/>
  <c r="U180" i="19"/>
  <c r="J181" i="19"/>
  <c r="U181" i="19" s="1"/>
  <c r="P181" i="19"/>
  <c r="J182" i="19"/>
  <c r="P182" i="19"/>
  <c r="U182" i="19"/>
  <c r="J183" i="19"/>
  <c r="P183" i="19"/>
  <c r="U183" i="19"/>
  <c r="P184" i="19"/>
  <c r="U184" i="19"/>
  <c r="U185" i="19"/>
  <c r="U186" i="19"/>
  <c r="F6" i="22"/>
  <c r="I6" i="22"/>
  <c r="I36" i="22" s="1"/>
  <c r="W6" i="22"/>
  <c r="X6" i="22"/>
  <c r="AI6" i="22"/>
  <c r="AS6" i="22"/>
  <c r="P6" i="22" s="1"/>
  <c r="Q6" i="22" s="1"/>
  <c r="A7" i="22"/>
  <c r="F7" i="22"/>
  <c r="K7" i="22" s="1"/>
  <c r="I7" i="22"/>
  <c r="W7" i="22"/>
  <c r="X7" i="22"/>
  <c r="AB7" i="22"/>
  <c r="AC7" i="22"/>
  <c r="AD7" i="22"/>
  <c r="AE7" i="22"/>
  <c r="AF7" i="22"/>
  <c r="AG7" i="22"/>
  <c r="AL7" i="22"/>
  <c r="AM7" i="22"/>
  <c r="AN7" i="22"/>
  <c r="AO7" i="22"/>
  <c r="AO8" i="22" s="1"/>
  <c r="AO9" i="22" s="1"/>
  <c r="AP7" i="22"/>
  <c r="AQ7" i="22"/>
  <c r="AV7" i="22"/>
  <c r="AW7" i="22"/>
  <c r="AW8" i="22" s="1"/>
  <c r="AW9" i="22" s="1"/>
  <c r="AW10" i="22" s="1"/>
  <c r="AW11" i="22" s="1"/>
  <c r="AW12" i="22" s="1"/>
  <c r="AW13" i="22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B8" i="22"/>
  <c r="F8" i="22"/>
  <c r="K8" i="22" s="1"/>
  <c r="I8" i="22"/>
  <c r="W8" i="22"/>
  <c r="X8" i="22" s="1"/>
  <c r="AC8" i="22"/>
  <c r="AD8" i="22"/>
  <c r="AD9" i="22" s="1"/>
  <c r="AD10" i="22" s="1"/>
  <c r="AD11" i="22" s="1"/>
  <c r="AD12" i="22" s="1"/>
  <c r="AD13" i="22" s="1"/>
  <c r="AD14" i="22" s="1"/>
  <c r="AD15" i="22" s="1"/>
  <c r="AD16" i="22" s="1"/>
  <c r="AD17" i="22" s="1"/>
  <c r="AD18" i="22" s="1"/>
  <c r="AD19" i="22" s="1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AE8" i="22"/>
  <c r="AF8" i="22"/>
  <c r="AF9" i="22" s="1"/>
  <c r="AG8" i="22"/>
  <c r="AG9" i="22" s="1"/>
  <c r="AG10" i="22" s="1"/>
  <c r="AG11" i="22" s="1"/>
  <c r="AG12" i="22" s="1"/>
  <c r="AG13" i="22" s="1"/>
  <c r="AK8" i="22"/>
  <c r="AN8" i="22"/>
  <c r="AP8" i="22"/>
  <c r="AQ8" i="22"/>
  <c r="F9" i="22"/>
  <c r="I9" i="22"/>
  <c r="W9" i="22"/>
  <c r="X9" i="22"/>
  <c r="AC9" i="22"/>
  <c r="AC10" i="22" s="1"/>
  <c r="AC11" i="22" s="1"/>
  <c r="AE9" i="22"/>
  <c r="AE10" i="22" s="1"/>
  <c r="AE11" i="22" s="1"/>
  <c r="AE12" i="22" s="1"/>
  <c r="AE13" i="22" s="1"/>
  <c r="AE14" i="22" s="1"/>
  <c r="AE15" i="22" s="1"/>
  <c r="AE16" i="22" s="1"/>
  <c r="AE17" i="22" s="1"/>
  <c r="AE18" i="22" s="1"/>
  <c r="AE19" i="22" s="1"/>
  <c r="AE20" i="22" s="1"/>
  <c r="AE21" i="22" s="1"/>
  <c r="AE22" i="22" s="1"/>
  <c r="AE23" i="22" s="1"/>
  <c r="AE24" i="22" s="1"/>
  <c r="AE25" i="22" s="1"/>
  <c r="AE26" i="22" s="1"/>
  <c r="AE27" i="22" s="1"/>
  <c r="AE28" i="22" s="1"/>
  <c r="AE29" i="22" s="1"/>
  <c r="AE30" i="22" s="1"/>
  <c r="AE31" i="22" s="1"/>
  <c r="AE32" i="22" s="1"/>
  <c r="AE33" i="22" s="1"/>
  <c r="AE34" i="22" s="1"/>
  <c r="AK9" i="22"/>
  <c r="AP9" i="22"/>
  <c r="AP10" i="22" s="1"/>
  <c r="AP11" i="22" s="1"/>
  <c r="AP12" i="22" s="1"/>
  <c r="AQ9" i="22"/>
  <c r="AQ10" i="22" s="1"/>
  <c r="AU9" i="22"/>
  <c r="F10" i="22"/>
  <c r="I10" i="22"/>
  <c r="K10" i="22" s="1"/>
  <c r="W10" i="22"/>
  <c r="X10" i="22" s="1"/>
  <c r="AF10" i="22"/>
  <c r="AF11" i="22" s="1"/>
  <c r="AF12" i="22" s="1"/>
  <c r="AF13" i="22" s="1"/>
  <c r="AF14" i="22" s="1"/>
  <c r="AN10" i="22"/>
  <c r="AO10" i="22"/>
  <c r="AO11" i="22" s="1"/>
  <c r="AO12" i="22" s="1"/>
  <c r="AO13" i="22" s="1"/>
  <c r="AU10" i="22"/>
  <c r="AU11" i="22" s="1"/>
  <c r="AU12" i="22" s="1"/>
  <c r="AU13" i="22" s="1"/>
  <c r="AU14" i="22" s="1"/>
  <c r="AU15" i="22" s="1"/>
  <c r="AU16" i="22" s="1"/>
  <c r="AU17" i="22" s="1"/>
  <c r="AU18" i="22" s="1"/>
  <c r="AU19" i="22" s="1"/>
  <c r="AU20" i="22" s="1"/>
  <c r="AU21" i="22" s="1"/>
  <c r="AU22" i="22" s="1"/>
  <c r="AU23" i="22" s="1"/>
  <c r="AU24" i="22" s="1"/>
  <c r="AU25" i="22" s="1"/>
  <c r="AU26" i="22" s="1"/>
  <c r="AU27" i="22" s="1"/>
  <c r="AU28" i="22" s="1"/>
  <c r="AU29" i="22" s="1"/>
  <c r="AU30" i="22" s="1"/>
  <c r="AU31" i="22" s="1"/>
  <c r="AU32" i="22" s="1"/>
  <c r="AU33" i="22" s="1"/>
  <c r="AU34" i="22" s="1"/>
  <c r="F11" i="22"/>
  <c r="K11" i="22" s="1"/>
  <c r="I11" i="22"/>
  <c r="W11" i="22"/>
  <c r="X11" i="22" s="1"/>
  <c r="AL11" i="22"/>
  <c r="AM11" i="22"/>
  <c r="AN11" i="22"/>
  <c r="AN12" i="22" s="1"/>
  <c r="AQ11" i="22"/>
  <c r="AV11" i="22"/>
  <c r="F12" i="22"/>
  <c r="K12" i="22" s="1"/>
  <c r="I12" i="22"/>
  <c r="W12" i="22"/>
  <c r="X12" i="22" s="1"/>
  <c r="AC12" i="22"/>
  <c r="AC13" i="22" s="1"/>
  <c r="AC14" i="22" s="1"/>
  <c r="AC15" i="22" s="1"/>
  <c r="AL12" i="22"/>
  <c r="AM12" i="22"/>
  <c r="AQ12" i="22"/>
  <c r="AV12" i="22"/>
  <c r="F13" i="22"/>
  <c r="I13" i="22"/>
  <c r="K13" i="22"/>
  <c r="W13" i="22"/>
  <c r="X13" i="22" s="1"/>
  <c r="AL13" i="22"/>
  <c r="AM13" i="22"/>
  <c r="AM14" i="22" s="1"/>
  <c r="AM15" i="22" s="1"/>
  <c r="AM16" i="22" s="1"/>
  <c r="AM17" i="22" s="1"/>
  <c r="AM18" i="22" s="1"/>
  <c r="AM19" i="22" s="1"/>
  <c r="AM20" i="22" s="1"/>
  <c r="AM21" i="22" s="1"/>
  <c r="AM22" i="22" s="1"/>
  <c r="AM23" i="22" s="1"/>
  <c r="AM24" i="22" s="1"/>
  <c r="AM25" i="22" s="1"/>
  <c r="AM26" i="22" s="1"/>
  <c r="AM27" i="22" s="1"/>
  <c r="AM28" i="22" s="1"/>
  <c r="AM29" i="22" s="1"/>
  <c r="AM30" i="22" s="1"/>
  <c r="AM31" i="22" s="1"/>
  <c r="AM32" i="22" s="1"/>
  <c r="AM33" i="22" s="1"/>
  <c r="AM34" i="22" s="1"/>
  <c r="AP13" i="22"/>
  <c r="AP14" i="22" s="1"/>
  <c r="AQ13" i="22"/>
  <c r="AQ14" i="22" s="1"/>
  <c r="AQ15" i="22" s="1"/>
  <c r="AQ16" i="22" s="1"/>
  <c r="AQ17" i="22" s="1"/>
  <c r="AQ18" i="22" s="1"/>
  <c r="AQ19" i="22" s="1"/>
  <c r="AQ20" i="22" s="1"/>
  <c r="AQ21" i="22" s="1"/>
  <c r="AQ22" i="22" s="1"/>
  <c r="F14" i="22"/>
  <c r="I14" i="22"/>
  <c r="K14" i="22"/>
  <c r="W14" i="22"/>
  <c r="X14" i="22" s="1"/>
  <c r="AN14" i="22"/>
  <c r="AN15" i="22" s="1"/>
  <c r="F15" i="22"/>
  <c r="I15" i="22"/>
  <c r="K15" i="22"/>
  <c r="W15" i="22"/>
  <c r="X15" i="22"/>
  <c r="AF15" i="22"/>
  <c r="AO15" i="22"/>
  <c r="AV15" i="22"/>
  <c r="AV16" i="22" s="1"/>
  <c r="AV17" i="22" s="1"/>
  <c r="AV18" i="22" s="1"/>
  <c r="AV19" i="22" s="1"/>
  <c r="AV20" i="22" s="1"/>
  <c r="AV21" i="22" s="1"/>
  <c r="AV22" i="22" s="1"/>
  <c r="AV23" i="22" s="1"/>
  <c r="AV24" i="22" s="1"/>
  <c r="AV25" i="22" s="1"/>
  <c r="AV26" i="22" s="1"/>
  <c r="AV27" i="22" s="1"/>
  <c r="AV28" i="22" s="1"/>
  <c r="AV29" i="22" s="1"/>
  <c r="AV30" i="22" s="1"/>
  <c r="AV31" i="22" s="1"/>
  <c r="AV32" i="22" s="1"/>
  <c r="AV33" i="22" s="1"/>
  <c r="AV34" i="22" s="1"/>
  <c r="F16" i="22"/>
  <c r="K16" i="22" s="1"/>
  <c r="I16" i="22"/>
  <c r="W16" i="22"/>
  <c r="X16" i="22"/>
  <c r="AC16" i="22"/>
  <c r="AC17" i="22" s="1"/>
  <c r="AC18" i="22" s="1"/>
  <c r="AC19" i="22" s="1"/>
  <c r="AC20" i="22" s="1"/>
  <c r="AC21" i="22" s="1"/>
  <c r="AC22" i="22" s="1"/>
  <c r="AC23" i="22" s="1"/>
  <c r="AC24" i="22" s="1"/>
  <c r="AC25" i="22" s="1"/>
  <c r="AC26" i="22" s="1"/>
  <c r="AC27" i="22" s="1"/>
  <c r="AC28" i="22" s="1"/>
  <c r="AC29" i="22" s="1"/>
  <c r="AC30" i="22" s="1"/>
  <c r="AC31" i="22" s="1"/>
  <c r="AC32" i="22" s="1"/>
  <c r="AC33" i="22" s="1"/>
  <c r="AC34" i="22" s="1"/>
  <c r="AF16" i="22"/>
  <c r="AF17" i="22" s="1"/>
  <c r="AF18" i="22" s="1"/>
  <c r="AF19" i="22" s="1"/>
  <c r="AF20" i="22" s="1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N16" i="22"/>
  <c r="AO16" i="22"/>
  <c r="AW16" i="22"/>
  <c r="F17" i="22"/>
  <c r="I17" i="22"/>
  <c r="W17" i="22"/>
  <c r="X17" i="22"/>
  <c r="AK17" i="22"/>
  <c r="AN17" i="22"/>
  <c r="AN18" i="22" s="1"/>
  <c r="AN19" i="22" s="1"/>
  <c r="AN20" i="22" s="1"/>
  <c r="AO17" i="22"/>
  <c r="AO18" i="22" s="1"/>
  <c r="AW17" i="22"/>
  <c r="F18" i="22"/>
  <c r="K18" i="22" s="1"/>
  <c r="I18" i="22"/>
  <c r="W18" i="22"/>
  <c r="X18" i="22"/>
  <c r="AK18" i="22"/>
  <c r="AK19" i="22" s="1"/>
  <c r="AK20" i="22" s="1"/>
  <c r="AK21" i="22" s="1"/>
  <c r="AK22" i="22" s="1"/>
  <c r="AP18" i="22"/>
  <c r="AW18" i="22"/>
  <c r="F19" i="22"/>
  <c r="K19" i="22" s="1"/>
  <c r="I19" i="22"/>
  <c r="W19" i="22"/>
  <c r="X19" i="22" s="1"/>
  <c r="AP19" i="22"/>
  <c r="AW19" i="22"/>
  <c r="F20" i="22"/>
  <c r="I20" i="22"/>
  <c r="K20" i="22"/>
  <c r="W20" i="22"/>
  <c r="X20" i="22" s="1"/>
  <c r="F21" i="22"/>
  <c r="I21" i="22"/>
  <c r="K21" i="22"/>
  <c r="W21" i="22"/>
  <c r="X21" i="22"/>
  <c r="AN21" i="22"/>
  <c r="F22" i="22"/>
  <c r="K22" i="22" s="1"/>
  <c r="I22" i="22"/>
  <c r="W22" i="22"/>
  <c r="X22" i="22" s="1"/>
  <c r="AN22" i="22"/>
  <c r="AN23" i="22" s="1"/>
  <c r="AN24" i="22" s="1"/>
  <c r="AN25" i="22" s="1"/>
  <c r="AN26" i="22" s="1"/>
  <c r="AN27" i="22" s="1"/>
  <c r="AN28" i="22" s="1"/>
  <c r="AN29" i="22" s="1"/>
  <c r="AN30" i="22" s="1"/>
  <c r="AN31" i="22" s="1"/>
  <c r="AN32" i="22" s="1"/>
  <c r="AN33" i="22" s="1"/>
  <c r="AN34" i="22" s="1"/>
  <c r="AP22" i="22"/>
  <c r="AW22" i="22"/>
  <c r="F23" i="22"/>
  <c r="I23" i="22"/>
  <c r="K23" i="22"/>
  <c r="W23" i="22"/>
  <c r="X23" i="22"/>
  <c r="AP23" i="22"/>
  <c r="AW23" i="22"/>
  <c r="F24" i="22"/>
  <c r="I24" i="22"/>
  <c r="K24" i="22"/>
  <c r="W24" i="22"/>
  <c r="X24" i="22"/>
  <c r="AP24" i="22"/>
  <c r="AQ24" i="22"/>
  <c r="AW24" i="22"/>
  <c r="F25" i="22"/>
  <c r="I25" i="22"/>
  <c r="K25" i="22"/>
  <c r="W25" i="22"/>
  <c r="X25" i="22" s="1"/>
  <c r="AQ25" i="22"/>
  <c r="AQ26" i="22" s="1"/>
  <c r="AQ27" i="22" s="1"/>
  <c r="AQ28" i="22" s="1"/>
  <c r="AW25" i="22"/>
  <c r="AW26" i="22" s="1"/>
  <c r="AW27" i="22" s="1"/>
  <c r="AW28" i="22" s="1"/>
  <c r="AW29" i="22" s="1"/>
  <c r="AW30" i="22" s="1"/>
  <c r="AW31" i="22" s="1"/>
  <c r="AW32" i="22" s="1"/>
  <c r="AW33" i="22" s="1"/>
  <c r="AW34" i="22" s="1"/>
  <c r="F26" i="22"/>
  <c r="I26" i="22"/>
  <c r="W26" i="22"/>
  <c r="X26" i="22"/>
  <c r="F27" i="22"/>
  <c r="K27" i="22" s="1"/>
  <c r="I27" i="22"/>
  <c r="W27" i="22"/>
  <c r="X27" i="22" s="1"/>
  <c r="F28" i="22"/>
  <c r="I28" i="22"/>
  <c r="K28" i="22" s="1"/>
  <c r="W28" i="22"/>
  <c r="X28" i="22"/>
  <c r="F29" i="22"/>
  <c r="K29" i="22" s="1"/>
  <c r="I29" i="22"/>
  <c r="W29" i="22"/>
  <c r="X29" i="22"/>
  <c r="F30" i="22"/>
  <c r="I30" i="22"/>
  <c r="K30" i="22"/>
  <c r="W30" i="22"/>
  <c r="X30" i="22"/>
  <c r="AQ30" i="22"/>
  <c r="F31" i="22"/>
  <c r="K31" i="22" s="1"/>
  <c r="I31" i="22"/>
  <c r="W31" i="22"/>
  <c r="X31" i="22"/>
  <c r="AQ31" i="22"/>
  <c r="AQ32" i="22" s="1"/>
  <c r="F32" i="22"/>
  <c r="I32" i="22"/>
  <c r="K32" i="22"/>
  <c r="W32" i="22"/>
  <c r="X32" i="22"/>
  <c r="F33" i="22"/>
  <c r="K33" i="22" s="1"/>
  <c r="I33" i="22"/>
  <c r="W33" i="22"/>
  <c r="X33" i="22" s="1"/>
  <c r="AQ33" i="22"/>
  <c r="AQ34" i="22" s="1"/>
  <c r="F34" i="22"/>
  <c r="I34" i="22"/>
  <c r="K34" i="22"/>
  <c r="W34" i="22"/>
  <c r="X34" i="22"/>
  <c r="AS35" i="22"/>
  <c r="B36" i="22"/>
  <c r="C36" i="22"/>
  <c r="D36" i="22"/>
  <c r="H36" i="22"/>
  <c r="M36" i="22"/>
  <c r="O36" i="22"/>
  <c r="C4" i="21"/>
  <c r="C6" i="21" s="1"/>
  <c r="C7" i="21"/>
  <c r="C13" i="21"/>
  <c r="C15" i="21" s="1"/>
  <c r="C16" i="21" s="1"/>
  <c r="E13" i="21"/>
  <c r="E15" i="21" s="1"/>
  <c r="E16" i="21" s="1"/>
  <c r="C28" i="21"/>
  <c r="E28" i="21"/>
  <c r="C30" i="21"/>
  <c r="C31" i="21" s="1"/>
  <c r="E30" i="21"/>
  <c r="E31" i="21"/>
  <c r="C46" i="21"/>
  <c r="E46" i="21"/>
  <c r="G46" i="21"/>
  <c r="C48" i="21"/>
  <c r="C50" i="21" s="1"/>
  <c r="E48" i="21"/>
  <c r="G48" i="21"/>
  <c r="G50" i="21" s="1"/>
  <c r="E50" i="21"/>
  <c r="C51" i="21"/>
  <c r="E51" i="21" s="1"/>
  <c r="E60" i="21"/>
  <c r="E65" i="21" s="1"/>
  <c r="E66" i="21" s="1"/>
  <c r="C63" i="21"/>
  <c r="C65" i="21" s="1"/>
  <c r="C66" i="21" s="1"/>
  <c r="E63" i="21"/>
  <c r="E74" i="21"/>
  <c r="C75" i="21"/>
  <c r="E75" i="21"/>
  <c r="E77" i="21" s="1"/>
  <c r="E78" i="21" s="1"/>
  <c r="C77" i="21"/>
  <c r="C78" i="21" s="1"/>
  <c r="C87" i="21"/>
  <c r="C89" i="21" s="1"/>
  <c r="C90" i="21" s="1"/>
  <c r="C97" i="21"/>
  <c r="C99" i="21" s="1"/>
  <c r="C100" i="21" s="1"/>
  <c r="C116" i="21"/>
  <c r="C118" i="21" s="1"/>
  <c r="C119" i="21"/>
  <c r="C127" i="21"/>
  <c r="C129" i="21"/>
  <c r="C130" i="21"/>
  <c r="C138" i="21"/>
  <c r="K138" i="21"/>
  <c r="K140" i="21" s="1"/>
  <c r="K141" i="21" s="1"/>
  <c r="C140" i="21"/>
  <c r="C141" i="21"/>
  <c r="C147" i="21"/>
  <c r="C149" i="21"/>
  <c r="C151" i="21" s="1"/>
  <c r="AK23" i="22" l="1"/>
  <c r="AG14" i="22"/>
  <c r="AG15" i="22" s="1"/>
  <c r="AG16" i="22" s="1"/>
  <c r="AG17" i="22" s="1"/>
  <c r="AG18" i="22" s="1"/>
  <c r="AG19" i="22" s="1"/>
  <c r="AG20" i="22" s="1"/>
  <c r="AG21" i="22" s="1"/>
  <c r="AG22" i="22" s="1"/>
  <c r="AG23" i="22" s="1"/>
  <c r="AG24" i="22" s="1"/>
  <c r="AG25" i="22" s="1"/>
  <c r="AG26" i="22" s="1"/>
  <c r="AG27" i="22" s="1"/>
  <c r="AG28" i="22" s="1"/>
  <c r="AG29" i="22" s="1"/>
  <c r="AG30" i="22" s="1"/>
  <c r="AG31" i="22" s="1"/>
  <c r="AG32" i="22" s="1"/>
  <c r="AG33" i="22" s="1"/>
  <c r="AG34" i="22" s="1"/>
  <c r="AQ36" i="22"/>
  <c r="AO19" i="22"/>
  <c r="AO20" i="22" s="1"/>
  <c r="AO21" i="22" s="1"/>
  <c r="AO22" i="22" s="1"/>
  <c r="AO23" i="22" s="1"/>
  <c r="AO24" i="22" s="1"/>
  <c r="AO25" i="22" s="1"/>
  <c r="AO26" i="22" s="1"/>
  <c r="AO27" i="22" s="1"/>
  <c r="AO28" i="22" s="1"/>
  <c r="AO29" i="22" s="1"/>
  <c r="AO30" i="22" s="1"/>
  <c r="AO31" i="22" s="1"/>
  <c r="AO32" i="22" s="1"/>
  <c r="AO33" i="22" s="1"/>
  <c r="AO34" i="22" s="1"/>
  <c r="AO36" i="22"/>
  <c r="P169" i="19"/>
  <c r="U169" i="19"/>
  <c r="U135" i="19"/>
  <c r="P63" i="19"/>
  <c r="U63" i="19"/>
  <c r="P54" i="19"/>
  <c r="U54" i="19"/>
  <c r="AV36" i="22"/>
  <c r="K6" i="22"/>
  <c r="U160" i="19"/>
  <c r="U151" i="19"/>
  <c r="P73" i="19"/>
  <c r="U73" i="19"/>
  <c r="P69" i="19"/>
  <c r="U69" i="19"/>
  <c r="U62" i="19"/>
  <c r="P62" i="19"/>
  <c r="P23" i="19"/>
  <c r="U23" i="19"/>
  <c r="K26" i="22"/>
  <c r="P61" i="19"/>
  <c r="U61" i="19"/>
  <c r="AK10" i="22"/>
  <c r="AS9" i="22"/>
  <c r="P9" i="22" s="1"/>
  <c r="Q9" i="22" s="1"/>
  <c r="AW36" i="22"/>
  <c r="AL14" i="22"/>
  <c r="AL15" i="22" s="1"/>
  <c r="AN36" i="22"/>
  <c r="AD36" i="22"/>
  <c r="AU36" i="22"/>
  <c r="AE36" i="22"/>
  <c r="P171" i="19"/>
  <c r="U171" i="19"/>
  <c r="U187" i="19" s="1"/>
  <c r="P76" i="19"/>
  <c r="U76" i="19"/>
  <c r="P31" i="19"/>
  <c r="U31" i="19"/>
  <c r="AC36" i="22"/>
  <c r="AB8" i="22"/>
  <c r="AI7" i="22"/>
  <c r="F36" i="22"/>
  <c r="AP25" i="22"/>
  <c r="AP26" i="22" s="1"/>
  <c r="AP27" i="22" s="1"/>
  <c r="AP28" i="22" s="1"/>
  <c r="AP29" i="22" s="1"/>
  <c r="AP30" i="22" s="1"/>
  <c r="AP31" i="22" s="1"/>
  <c r="AP32" i="22" s="1"/>
  <c r="AP33" i="22" s="1"/>
  <c r="AP34" i="22" s="1"/>
  <c r="AM8" i="22"/>
  <c r="AS7" i="22"/>
  <c r="P103" i="19"/>
  <c r="U103" i="19"/>
  <c r="K9" i="22"/>
  <c r="AF36" i="22"/>
  <c r="AV8" i="22"/>
  <c r="AV9" i="22" s="1"/>
  <c r="P170" i="19"/>
  <c r="U120" i="19"/>
  <c r="P101" i="19"/>
  <c r="U101" i="19"/>
  <c r="P94" i="19"/>
  <c r="P52" i="19"/>
  <c r="U52" i="19"/>
  <c r="U87" i="19" s="1"/>
  <c r="U48" i="19"/>
  <c r="U29" i="19"/>
  <c r="U39" i="19" s="1"/>
  <c r="P21" i="19"/>
  <c r="U21" i="19"/>
  <c r="P14" i="19"/>
  <c r="K17" i="22"/>
  <c r="P93" i="19"/>
  <c r="U93" i="19"/>
  <c r="U110" i="19" s="1"/>
  <c r="P47" i="19"/>
  <c r="P28" i="19"/>
  <c r="U17" i="19"/>
  <c r="P13" i="19"/>
  <c r="U13" i="19"/>
  <c r="P46" i="19"/>
  <c r="U46" i="19"/>
  <c r="U26" i="19"/>
  <c r="U190" i="19" l="1"/>
  <c r="U192" i="19" s="1"/>
  <c r="AL16" i="22"/>
  <c r="AS15" i="22"/>
  <c r="P15" i="22" s="1"/>
  <c r="Q15" i="22" s="1"/>
  <c r="S15" i="22" s="1"/>
  <c r="AG36" i="22"/>
  <c r="AP36" i="22"/>
  <c r="AB9" i="22"/>
  <c r="AI8" i="22"/>
  <c r="S9" i="22"/>
  <c r="AS8" i="22"/>
  <c r="P8" i="22" s="1"/>
  <c r="Q8" i="22" s="1"/>
  <c r="S8" i="22" s="1"/>
  <c r="AM36" i="22"/>
  <c r="P7" i="22"/>
  <c r="AK11" i="22"/>
  <c r="AS10" i="22"/>
  <c r="P10" i="22" s="1"/>
  <c r="Q10" i="22" s="1"/>
  <c r="S10" i="22" s="1"/>
  <c r="AK24" i="22"/>
  <c r="K36" i="22"/>
  <c r="S6" i="22"/>
  <c r="V6" i="22" l="1"/>
  <c r="Y6" i="22"/>
  <c r="Q7" i="22"/>
  <c r="V8" i="22"/>
  <c r="Y8" i="22"/>
  <c r="AL17" i="22"/>
  <c r="AS16" i="22"/>
  <c r="P16" i="22" s="1"/>
  <c r="Q16" i="22" s="1"/>
  <c r="S16" i="22" s="1"/>
  <c r="V9" i="22"/>
  <c r="Y9" i="22"/>
  <c r="AK25" i="22"/>
  <c r="V10" i="22"/>
  <c r="Y10" i="22"/>
  <c r="AK12" i="22"/>
  <c r="AS11" i="22"/>
  <c r="P11" i="22" s="1"/>
  <c r="Q11" i="22" s="1"/>
  <c r="S11" i="22" s="1"/>
  <c r="AI9" i="22"/>
  <c r="AB10" i="22"/>
  <c r="V15" i="22"/>
  <c r="Y15" i="22"/>
  <c r="V11" i="22" l="1"/>
  <c r="Y11" i="22"/>
  <c r="AK13" i="22"/>
  <c r="AS12" i="22"/>
  <c r="P12" i="22" s="1"/>
  <c r="Q12" i="22" s="1"/>
  <c r="S12" i="22" s="1"/>
  <c r="V16" i="22"/>
  <c r="Y16" i="22"/>
  <c r="AL18" i="22"/>
  <c r="AS17" i="22"/>
  <c r="P17" i="22" s="1"/>
  <c r="Q17" i="22" s="1"/>
  <c r="S17" i="22" s="1"/>
  <c r="AI10" i="22"/>
  <c r="AB11" i="22"/>
  <c r="AK26" i="22"/>
  <c r="S7" i="22"/>
  <c r="AK27" i="22" l="1"/>
  <c r="AI11" i="22"/>
  <c r="AB12" i="22"/>
  <c r="V12" i="22"/>
  <c r="Y12" i="22"/>
  <c r="AK14" i="22"/>
  <c r="AS14" i="22" s="1"/>
  <c r="P14" i="22" s="1"/>
  <c r="Q14" i="22" s="1"/>
  <c r="S14" i="22" s="1"/>
  <c r="AS13" i="22"/>
  <c r="V17" i="22"/>
  <c r="Y17" i="22"/>
  <c r="AL19" i="22"/>
  <c r="AS18" i="22"/>
  <c r="P18" i="22" s="1"/>
  <c r="Q18" i="22" s="1"/>
  <c r="S18" i="22" s="1"/>
  <c r="V7" i="22"/>
  <c r="Y7" i="22"/>
  <c r="V18" i="22" l="1"/>
  <c r="Y18" i="22"/>
  <c r="AL20" i="22"/>
  <c r="AS19" i="22"/>
  <c r="P19" i="22" s="1"/>
  <c r="Q19" i="22" s="1"/>
  <c r="S19" i="22" s="1"/>
  <c r="AB13" i="22"/>
  <c r="AI12" i="22"/>
  <c r="P13" i="22"/>
  <c r="V14" i="22"/>
  <c r="Y14" i="22"/>
  <c r="AK28" i="22"/>
  <c r="AK29" i="22" l="1"/>
  <c r="AI13" i="22"/>
  <c r="AB14" i="22"/>
  <c r="Q13" i="22"/>
  <c r="V19" i="22"/>
  <c r="Y19" i="22"/>
  <c r="AL21" i="22"/>
  <c r="AS20" i="22"/>
  <c r="P20" i="22" l="1"/>
  <c r="AL22" i="22"/>
  <c r="AS21" i="22"/>
  <c r="P21" i="22" s="1"/>
  <c r="Q21" i="22" s="1"/>
  <c r="S21" i="22" s="1"/>
  <c r="AK30" i="22"/>
  <c r="S13" i="22"/>
  <c r="AI14" i="22"/>
  <c r="AB15" i="22"/>
  <c r="AB16" i="22" l="1"/>
  <c r="AI15" i="22"/>
  <c r="Q20" i="22"/>
  <c r="S20" i="22" s="1"/>
  <c r="V13" i="22"/>
  <c r="Y13" i="22"/>
  <c r="AK31" i="22"/>
  <c r="V21" i="22"/>
  <c r="Y21" i="22"/>
  <c r="AL23" i="22"/>
  <c r="AS22" i="22"/>
  <c r="P22" i="22" s="1"/>
  <c r="Q22" i="22" s="1"/>
  <c r="S22" i="22" s="1"/>
  <c r="AK32" i="22" l="1"/>
  <c r="V22" i="22"/>
  <c r="Y22" i="22"/>
  <c r="AL24" i="22"/>
  <c r="AS23" i="22"/>
  <c r="P23" i="22" s="1"/>
  <c r="Q23" i="22" s="1"/>
  <c r="S23" i="22" s="1"/>
  <c r="V20" i="22"/>
  <c r="Y20" i="22"/>
  <c r="AB17" i="22"/>
  <c r="AI16" i="22"/>
  <c r="V23" i="22" l="1"/>
  <c r="Y23" i="22"/>
  <c r="AL25" i="22"/>
  <c r="AS24" i="22"/>
  <c r="P24" i="22" s="1"/>
  <c r="Q24" i="22" s="1"/>
  <c r="S24" i="22" s="1"/>
  <c r="AB18" i="22"/>
  <c r="AI17" i="22"/>
  <c r="AK33" i="22"/>
  <c r="V24" i="22" l="1"/>
  <c r="Y24" i="22"/>
  <c r="AL26" i="22"/>
  <c r="AS25" i="22"/>
  <c r="P25" i="22" s="1"/>
  <c r="Q25" i="22" s="1"/>
  <c r="S25" i="22" s="1"/>
  <c r="AK34" i="22"/>
  <c r="AI18" i="22"/>
  <c r="AB19" i="22"/>
  <c r="AK36" i="22" l="1"/>
  <c r="AB20" i="22"/>
  <c r="AI19" i="22"/>
  <c r="V25" i="22"/>
  <c r="Y25" i="22"/>
  <c r="AL27" i="22"/>
  <c r="AS26" i="22"/>
  <c r="P26" i="22" s="1"/>
  <c r="Q26" i="22" s="1"/>
  <c r="S26" i="22" s="1"/>
  <c r="AL28" i="22" l="1"/>
  <c r="AS27" i="22"/>
  <c r="P27" i="22" s="1"/>
  <c r="Q27" i="22" s="1"/>
  <c r="S27" i="22" s="1"/>
  <c r="V26" i="22"/>
  <c r="Y26" i="22"/>
  <c r="AI20" i="22"/>
  <c r="AB21" i="22"/>
  <c r="AB22" i="22" l="1"/>
  <c r="AI21" i="22"/>
  <c r="V27" i="22"/>
  <c r="Y27" i="22"/>
  <c r="AL29" i="22"/>
  <c r="AS28" i="22"/>
  <c r="P28" i="22" s="1"/>
  <c r="Q28" i="22" s="1"/>
  <c r="S28" i="22" s="1"/>
  <c r="V28" i="22" l="1"/>
  <c r="Y28" i="22"/>
  <c r="AL30" i="22"/>
  <c r="AS29" i="22"/>
  <c r="P29" i="22" s="1"/>
  <c r="Q29" i="22" s="1"/>
  <c r="S29" i="22" s="1"/>
  <c r="AB23" i="22"/>
  <c r="AI22" i="22"/>
  <c r="V29" i="22" l="1"/>
  <c r="Y29" i="22"/>
  <c r="AL31" i="22"/>
  <c r="AS30" i="22"/>
  <c r="P30" i="22" s="1"/>
  <c r="Q30" i="22" s="1"/>
  <c r="S30" i="22" s="1"/>
  <c r="AI23" i="22"/>
  <c r="AB24" i="22"/>
  <c r="AI24" i="22" l="1"/>
  <c r="AB25" i="22"/>
  <c r="AL32" i="22"/>
  <c r="AS31" i="22"/>
  <c r="P31" i="22" s="1"/>
  <c r="Q31" i="22" s="1"/>
  <c r="S31" i="22" s="1"/>
  <c r="V30" i="22"/>
  <c r="Y30" i="22"/>
  <c r="V31" i="22" l="1"/>
  <c r="Y31" i="22"/>
  <c r="AL33" i="22"/>
  <c r="AS32" i="22"/>
  <c r="P32" i="22" s="1"/>
  <c r="Q32" i="22" s="1"/>
  <c r="S32" i="22" s="1"/>
  <c r="AB26" i="22"/>
  <c r="AI25" i="22"/>
  <c r="AB27" i="22" l="1"/>
  <c r="AI26" i="22"/>
  <c r="AL34" i="22"/>
  <c r="AS33" i="22"/>
  <c r="P33" i="22" s="1"/>
  <c r="Q33" i="22" s="1"/>
  <c r="S33" i="22" s="1"/>
  <c r="V32" i="22"/>
  <c r="Y32" i="22"/>
  <c r="AB28" i="22" l="1"/>
  <c r="AI27" i="22"/>
  <c r="V33" i="22"/>
  <c r="Y33" i="22"/>
  <c r="AL36" i="22"/>
  <c r="AS34" i="22"/>
  <c r="AI28" i="22" l="1"/>
  <c r="AB29" i="22"/>
  <c r="P34" i="22"/>
  <c r="AS36" i="22"/>
  <c r="Q34" i="22" l="1"/>
  <c r="P36" i="22"/>
  <c r="AI29" i="22"/>
  <c r="AB30" i="22"/>
  <c r="S34" i="22" l="1"/>
  <c r="Q36" i="22"/>
  <c r="AB31" i="22"/>
  <c r="AI30" i="22"/>
  <c r="V34" i="22" l="1"/>
  <c r="V36" i="22" s="1"/>
  <c r="S38" i="22" s="1"/>
  <c r="Y34" i="22"/>
  <c r="Y36" i="22" s="1"/>
  <c r="S36" i="22"/>
  <c r="AI31" i="22"/>
  <c r="AB32" i="22"/>
  <c r="AB33" i="22" l="1"/>
  <c r="AI32" i="22"/>
  <c r="AI33" i="22" l="1"/>
  <c r="AB34" i="22"/>
  <c r="AI34" i="22" l="1"/>
  <c r="AI36" i="22" s="1"/>
  <c r="AB36" i="22"/>
</calcChain>
</file>

<file path=xl/sharedStrings.xml><?xml version="1.0" encoding="utf-8"?>
<sst xmlns="http://schemas.openxmlformats.org/spreadsheetml/2006/main" count="1583" uniqueCount="438">
  <si>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</si>
  <si>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</si>
  <si>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</si>
  <si>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</si>
  <si>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</si>
  <si>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</si>
  <si>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</si>
  <si>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</si>
  <si>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</si>
  <si>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</si>
  <si>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</si>
  <si>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</si>
  <si>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</si>
  <si>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</si>
  <si>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</si>
  <si>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</si>
  <si>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</si>
  <si>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</si>
  <si>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</si>
  <si>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</si>
  <si>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</si>
  <si>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</si>
  <si>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</si>
  <si>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</si>
  <si>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</si>
  <si>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</si>
  <si>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</si>
  <si>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</si>
  <si>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</si>
  <si>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</si>
  <si>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</si>
  <si>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</si>
  <si>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</si>
  <si>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</si>
  <si>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Agency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</si>
  <si>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</si>
  <si>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</si>
  <si>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</si>
  <si>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</si>
  <si>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</si>
  <si>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</si>
  <si>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</si>
  <si>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</si>
  <si>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</si>
  <si>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</si>
  <si>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</si>
  <si>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</si>
  <si>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</si>
  <si>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</si>
  <si>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</si>
  <si>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</si>
  <si>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</si>
  <si>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</si>
  <si>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</si>
  <si>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</si>
  <si>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</si>
  <si>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</si>
  <si>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</si>
  <si>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</si>
  <si>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</si>
  <si>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</si>
  <si>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</si>
  <si>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</si>
  <si>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</si>
  <si>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</si>
  <si>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</si>
  <si>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</si>
  <si>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</si>
  <si>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</si>
  <si>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</si>
  <si>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</si>
  <si>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</si>
  <si>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</si>
  <si>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</si>
  <si>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</si>
  <si>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</si>
  <si>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</si>
  <si>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</si>
  <si>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</si>
  <si>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</si>
  <si>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</si>
  <si>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</si>
  <si>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</si>
  <si>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</si>
  <si>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</si>
  <si>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</si>
  <si>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</si>
  <si>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</si>
  <si>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</si>
  <si>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</si>
  <si>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</si>
  <si>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</si>
  <si>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</si>
  <si>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</si>
  <si>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</si>
  <si>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</si>
  <si>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</si>
  <si>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</si>
  <si>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</si>
  <si>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</si>
  <si>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</si>
  <si>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</si>
  <si>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</si>
  <si>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</si>
  <si>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</si>
  <si>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</si>
  <si>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</si>
  <si>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</si>
  <si>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</si>
  <si>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</si>
  <si>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</si>
  <si>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</si>
  <si>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</si>
  <si>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</si>
  <si>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</si>
  <si>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</si>
  <si>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</si>
  <si>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</si>
  <si>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</si>
  <si>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</si>
  <si>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</si>
  <si>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</si>
  <si>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</si>
  <si>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</si>
  <si>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</si>
  <si>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</si>
  <si>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</si>
  <si>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</si>
  <si>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</si>
  <si>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</si>
  <si>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</si>
  <si>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</si>
  <si>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</si>
  <si>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</si>
  <si>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</si>
  <si>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</si>
  <si>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</si>
  <si>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</si>
  <si>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</si>
  <si>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</si>
  <si>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</si>
  <si>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</si>
  <si>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</si>
  <si>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</si>
  <si>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</si>
  <si>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</si>
  <si>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</si>
  <si>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</si>
  <si>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</si>
  <si>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</si>
  <si>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</si>
  <si>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</si>
  <si>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</si>
  <si>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</si>
  <si>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</si>
  <si>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</si>
  <si>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</si>
  <si>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</si>
  <si>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</si>
  <si>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</si>
  <si>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</si>
  <si>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</si>
  <si>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</si>
  <si>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</si>
  <si>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</si>
  <si>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</si>
  <si>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</si>
  <si>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</si>
  <si>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</si>
  <si>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</si>
  <si>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</si>
  <si>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</si>
  <si>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</si>
  <si>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</si>
  <si>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</si>
  <si>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</si>
  <si>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</si>
  <si>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St 45</t>
  </si>
  <si>
    <t>Z3</t>
  </si>
  <si>
    <t>6484 Atlanta</t>
  </si>
  <si>
    <t>6971 St 85</t>
  </si>
  <si>
    <t>FTCHR</t>
  </si>
  <si>
    <t>FTSR</t>
  </si>
  <si>
    <t>3.3085 / 2.7423</t>
  </si>
  <si>
    <t>3.3053 / 1.1703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</si>
  <si>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</si>
  <si>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</si>
  <si>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</si>
  <si>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</si>
  <si>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</si>
  <si>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</si>
  <si>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</si>
  <si>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</si>
  <si>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</si>
  <si>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</si>
  <si>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</si>
  <si>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</si>
  <si>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</si>
  <si>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</si>
  <si>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</si>
  <si>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</si>
  <si>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</si>
  <si>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</si>
  <si>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</si>
  <si>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</si>
  <si>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</si>
  <si>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</si>
  <si>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</si>
  <si>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</si>
  <si>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143914 / 143913</t>
  </si>
  <si>
    <t>143915 / 143913</t>
  </si>
  <si>
    <t>143916 / 143913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</si>
  <si>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</si>
  <si>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</si>
  <si>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</si>
  <si>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</si>
  <si>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</si>
  <si>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</si>
  <si>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</si>
  <si>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</si>
  <si>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</si>
  <si>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</si>
  <si>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</si>
  <si>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</si>
  <si>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</si>
  <si>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</si>
  <si>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</si>
  <si>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</si>
  <si>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</si>
  <si>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</si>
  <si>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</si>
  <si>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</si>
  <si>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</si>
  <si>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</si>
  <si>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</si>
  <si>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</si>
  <si>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</si>
  <si>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</si>
  <si>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</si>
  <si>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</si>
  <si>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</si>
  <si>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</si>
  <si>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</si>
  <si>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</si>
  <si>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</si>
  <si>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</si>
  <si>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</si>
  <si>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</si>
  <si>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</si>
  <si>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</si>
  <si>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</si>
  <si>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</si>
  <si>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</si>
  <si>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</si>
  <si>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</si>
  <si>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</si>
  <si>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</si>
  <si>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</si>
  <si>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</si>
  <si>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</si>
  <si>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#18204</t>
  </si>
  <si>
    <t>3.3435/.7537</t>
  </si>
  <si>
    <t>#18207</t>
  </si>
  <si>
    <t>3.3436/.7537</t>
  </si>
  <si>
    <t>#18206</t>
  </si>
  <si>
    <t>6128 Holmesville</t>
  </si>
  <si>
    <t>3.3432/3.3433</t>
  </si>
  <si>
    <t>#18209</t>
  </si>
  <si>
    <t>Pending Release</t>
  </si>
  <si>
    <t>5A2276</t>
  </si>
  <si>
    <t>5A2275</t>
  </si>
  <si>
    <t>#12954</t>
  </si>
  <si>
    <t>#012962</t>
  </si>
  <si>
    <t>2/29/200</t>
  </si>
  <si>
    <t>20500 NIMO-E</t>
  </si>
  <si>
    <t>20500 NIMO-W</t>
  </si>
  <si>
    <t>#12915, Nimo East</t>
  </si>
  <si>
    <t xml:space="preserve">#012891,Meter 40105 - Cornwell is a primary eeceipt and delivery point. </t>
  </si>
  <si>
    <t>5A2292</t>
  </si>
  <si>
    <t>5A2291</t>
  </si>
  <si>
    <t>#12914, Nimo West</t>
  </si>
  <si>
    <t>CEM Base 5A2289</t>
  </si>
  <si>
    <t>CEM Base 5A2288</t>
  </si>
  <si>
    <t>3.3322/1.1703</t>
  </si>
  <si>
    <t>3.3509/3.3508</t>
  </si>
  <si>
    <t>801-Leach</t>
  </si>
  <si>
    <t>19-26</t>
  </si>
  <si>
    <t>19-27</t>
  </si>
  <si>
    <t>#27772</t>
  </si>
  <si>
    <t>CES East Desk Transportation Capacity for Feb, 2000</t>
  </si>
  <si>
    <t>Expired?</t>
  </si>
  <si>
    <t>5A2308</t>
  </si>
  <si>
    <t>#13014</t>
  </si>
  <si>
    <t>RECALLED</t>
  </si>
  <si>
    <t>ACTIVE #200001000039</t>
  </si>
  <si>
    <t>NA</t>
  </si>
  <si>
    <t>Dayton</t>
  </si>
  <si>
    <t>6685 Sta65</t>
  </si>
  <si>
    <t>3.3524/.7537</t>
  </si>
  <si>
    <t>3.3525/.7537</t>
  </si>
  <si>
    <t>#18289</t>
  </si>
  <si>
    <t>#18288</t>
  </si>
  <si>
    <t>T015955</t>
  </si>
  <si>
    <t>#015836</t>
  </si>
  <si>
    <t>#015839</t>
  </si>
  <si>
    <t>#15841</t>
  </si>
  <si>
    <t>#15843</t>
  </si>
  <si>
    <t>#15844</t>
  </si>
  <si>
    <t>9/d</t>
  </si>
  <si>
    <t>16/d</t>
  </si>
  <si>
    <t>143310 14331roll into this deal  was 49</t>
  </si>
  <si>
    <t>na</t>
  </si>
  <si>
    <t>157607/143913</t>
  </si>
  <si>
    <t>157610/143913</t>
  </si>
  <si>
    <t>157611/143913</t>
  </si>
  <si>
    <t>2/1/220</t>
  </si>
  <si>
    <t>#20000100064</t>
  </si>
  <si>
    <t>T015982</t>
  </si>
  <si>
    <t>SSNG10</t>
  </si>
  <si>
    <t>#27846</t>
  </si>
  <si>
    <t>Offshore</t>
  </si>
  <si>
    <t>Onshore</t>
  </si>
  <si>
    <t>3.3542/3.3541</t>
  </si>
  <si>
    <t>Union Camp</t>
  </si>
  <si>
    <t>8696 Sta 165</t>
  </si>
  <si>
    <t>Emporia</t>
  </si>
  <si>
    <t>CES fuel management customer. Union Camp capacity</t>
  </si>
  <si>
    <t>Con Ed</t>
  </si>
  <si>
    <t>WLA</t>
  </si>
  <si>
    <t>#14726</t>
  </si>
  <si>
    <t>CES Retail</t>
  </si>
  <si>
    <t>Calp</t>
  </si>
  <si>
    <t>Exhibit 1</t>
  </si>
  <si>
    <t>Total</t>
  </si>
  <si>
    <t>1st of Month</t>
  </si>
  <si>
    <t>Total Req</t>
  </si>
  <si>
    <t>Storage</t>
  </si>
  <si>
    <t xml:space="preserve"> &lt;== Total Undertakes</t>
  </si>
  <si>
    <t>Gas Daily</t>
  </si>
  <si>
    <t>ITS</t>
  </si>
  <si>
    <t>CES S-N Transport</t>
  </si>
  <si>
    <t>North Citygate</t>
  </si>
  <si>
    <t>South Citygate</t>
  </si>
  <si>
    <t>Total Volume Deal 145638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</si>
  <si>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</si>
  <si>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</si>
  <si>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</si>
  <si>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</si>
  <si>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</si>
  <si>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</si>
  <si>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</si>
  <si>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</si>
  <si>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</si>
  <si>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</si>
  <si>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</si>
  <si>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</si>
  <si>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</si>
  <si>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Deal 157893 Mendon Supply</t>
  </si>
  <si>
    <t>Deal 158358</t>
  </si>
  <si>
    <t>Deal 158580</t>
  </si>
  <si>
    <t>CES has 844 dth of Algonquin capacity.  69 dth is priced under deals 158358 and 157893.</t>
  </si>
  <si>
    <t>775 dth on deal 158580 will be priced at $3.3374,  all volume greater than 775 dth/day</t>
  </si>
  <si>
    <t>will be priced at $3.5462.</t>
  </si>
  <si>
    <t>Comment:  CES has 1,169 dt/day of South to North Space.</t>
  </si>
  <si>
    <t>Deal 204778 - Supplied with local production behind East Ohio Citygate - bill as South Citygate</t>
  </si>
  <si>
    <t>Deal 204773 - Supplied with local production behind Peoples - bill as South Citygate</t>
  </si>
  <si>
    <t>#15802</t>
  </si>
  <si>
    <t>LLFT</t>
  </si>
  <si>
    <t>M2-Lebanon</t>
  </si>
  <si>
    <t>#15851</t>
  </si>
  <si>
    <t>#27849, Released to CES k#66394 then re-released to ENA</t>
  </si>
  <si>
    <t>#27848, Released to CES k#66385 then re-released to ENA</t>
  </si>
  <si>
    <t>#13011, released from CES k#5A1015</t>
  </si>
  <si>
    <t>#27837</t>
  </si>
  <si>
    <t>R 1000  Appalachian</t>
  </si>
  <si>
    <t>D 23  Col Gas OH OP</t>
  </si>
  <si>
    <t>#23652</t>
  </si>
  <si>
    <t>#24563, Delivery to CPA Op. Area 8</t>
  </si>
  <si>
    <t>#65402, Primary receipt Toledo agg., ROFR, total MDQ is 20,000 day, .  Old contract was 62039.</t>
  </si>
  <si>
    <t>Total Demand</t>
  </si>
  <si>
    <t>M1</t>
  </si>
  <si>
    <t>#15849</t>
  </si>
  <si>
    <t>.</t>
  </si>
  <si>
    <t>CES has 838 dt of Access to M3 space.</t>
  </si>
  <si>
    <t>Deal 157273 ENA will bill CES 838 dth/day at Ela + $.01 + transport</t>
  </si>
  <si>
    <t>Deal 155892</t>
  </si>
  <si>
    <t>Deal 157585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</si>
  <si>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</si>
  <si>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</si>
  <si>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</si>
  <si>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158693.  PSNC sends ENA an invoice for this gas.  ENA will forward this to PSNC each month.</t>
  </si>
  <si>
    <t>Deal 156326</t>
  </si>
  <si>
    <t>Deal 156329</t>
  </si>
  <si>
    <t>Deal 156327</t>
  </si>
  <si>
    <t>East Tennessee</t>
  </si>
  <si>
    <t>LA</t>
  </si>
  <si>
    <t>Tenn 1-1</t>
  </si>
  <si>
    <t xml:space="preserve">E Tenn </t>
  </si>
  <si>
    <t>Note:  Tenn 1-1 surcharge of $.0225 does not apply</t>
  </si>
  <si>
    <t>Deal 158930</t>
  </si>
  <si>
    <t>FS-MA</t>
  </si>
  <si>
    <t>Portland Storage</t>
  </si>
  <si>
    <t>Bear Creek Storage</t>
  </si>
  <si>
    <t>Gross</t>
  </si>
  <si>
    <t>Net</t>
  </si>
  <si>
    <t>Equit</t>
  </si>
  <si>
    <t>???</t>
  </si>
  <si>
    <t>11089</t>
  </si>
  <si>
    <t>TEPE 0144</t>
  </si>
  <si>
    <t>Deal 157258  CES has 1,000 dth of FTS, price 1,000 day at the FTS rate, balance at the IT rate.</t>
  </si>
  <si>
    <t>Sonat</t>
  </si>
  <si>
    <t>FSNG11</t>
  </si>
  <si>
    <t>#1999002149,  cr ID 9745</t>
  </si>
  <si>
    <t>#1999002198,  cr ID 9735</t>
  </si>
  <si>
    <t>#1999002230,  cr ID 9755</t>
  </si>
  <si>
    <t>Scheduling Fee</t>
  </si>
  <si>
    <t>Demand amount entered on deal 211642</t>
  </si>
  <si>
    <t>Deal</t>
  </si>
  <si>
    <t>Citygate</t>
  </si>
  <si>
    <t>Transport Fixed Price Deals</t>
  </si>
  <si>
    <t>Supplied with delivered gas</t>
  </si>
  <si>
    <t>Total 1st of</t>
  </si>
  <si>
    <t>Month Fixed Price</t>
  </si>
  <si>
    <t>Comment:  Baseload fixed price deals will be included in the</t>
  </si>
  <si>
    <t>first of the month volume for pricing purposes.</t>
  </si>
  <si>
    <t xml:space="preserve">Transport </t>
  </si>
  <si>
    <t>Transport Less</t>
  </si>
  <si>
    <t>Net Storage</t>
  </si>
  <si>
    <t>Net Transport</t>
  </si>
  <si>
    <t>Less 1st of Month</t>
  </si>
  <si>
    <t>Incremental</t>
  </si>
  <si>
    <t>Incremental Transported Spot Deals</t>
  </si>
  <si>
    <t>IF Price</t>
  </si>
  <si>
    <t>Average Gas Daily - $.01 price</t>
  </si>
  <si>
    <t>Deal 204462 - sale to CES at 1st of the month pricing</t>
  </si>
  <si>
    <t>Deal 204471 - buy from CES at Gas Daily</t>
  </si>
  <si>
    <t>Delmont</t>
  </si>
  <si>
    <t>Nyseg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</si>
</sst>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6" formatCode="_(* #,##0.0_);_(* \(#,##0.0\);_(* &quot;-&quot;??_);_(@_)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6" fillId="0" borderId="0" xfId="0" applyFont="1" applyFill="1"/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0" fillId="2" borderId="0" xfId="0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40" fontId="5" fillId="0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167" fontId="0" fillId="0" borderId="0" xfId="2" applyNumberFormat="1" applyFont="1" applyAlignment="1">
      <alignment horizontal="center"/>
    </xf>
    <xf numFmtId="165" fontId="8" fillId="0" borderId="8" xfId="0" applyNumberFormat="1" applyFont="1" applyFill="1" applyBorder="1"/>
    <xf numFmtId="165" fontId="8" fillId="0" borderId="9" xfId="0" applyNumberFormat="1" applyFont="1" applyFill="1" applyBorder="1"/>
    <xf numFmtId="177" fontId="8" fillId="0" borderId="0" xfId="0" applyNumberFormat="1" applyFont="1" applyFill="1"/>
    <xf numFmtId="191" fontId="8" fillId="0" borderId="0" xfId="3" applyNumberFormat="1" applyFont="1" applyFill="1"/>
    <xf numFmtId="9" fontId="8" fillId="0" borderId="0" xfId="3" applyFont="1" applyFill="1"/>
    <xf numFmtId="7" fontId="8" fillId="0" borderId="0" xfId="0" applyNumberFormat="1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8" xfId="0" applyNumberFormat="1" applyFont="1" applyFill="1" applyBorder="1"/>
    <xf numFmtId="165" fontId="8" fillId="2" borderId="9" xfId="0" applyNumberFormat="1" applyFont="1" applyFill="1" applyBorder="1"/>
    <xf numFmtId="0" fontId="10" fillId="2" borderId="0" xfId="0" applyFont="1" applyFill="1"/>
    <xf numFmtId="0" fontId="8" fillId="2" borderId="0" xfId="0" applyFont="1" applyFill="1" applyBorder="1"/>
    <xf numFmtId="165" fontId="8" fillId="2" borderId="10" xfId="0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 applyBorder="1"/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0" fillId="0" borderId="0" xfId="0" applyNumberFormat="1" applyFill="1"/>
    <xf numFmtId="1" fontId="2" fillId="3" borderId="0" xfId="0" quotePrefix="1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quotePrefix="1" applyNumberFormat="1" applyFont="1" applyFill="1" applyAlignment="1">
      <alignment horizontal="right"/>
    </xf>
    <xf numFmtId="170" fontId="8" fillId="0" borderId="0" xfId="3" applyNumberFormat="1" applyFont="1" applyFill="1" applyBorder="1"/>
    <xf numFmtId="170" fontId="8" fillId="2" borderId="0" xfId="3" applyNumberFormat="1" applyFont="1" applyFill="1"/>
    <xf numFmtId="165" fontId="8" fillId="2" borderId="11" xfId="0" applyNumberFormat="1" applyFont="1" applyFill="1" applyBorder="1"/>
    <xf numFmtId="177" fontId="8" fillId="2" borderId="0" xfId="1" applyNumberFormat="1" applyFont="1" applyFill="1"/>
    <xf numFmtId="0" fontId="8" fillId="2" borderId="0" xfId="0" applyFont="1" applyFill="1" applyAlignment="1">
      <alignment horizontal="center"/>
    </xf>
    <xf numFmtId="177" fontId="0" fillId="0" borderId="0" xfId="1" applyNumberFormat="1" applyFont="1" applyAlignment="1">
      <alignment horizontal="left"/>
    </xf>
    <xf numFmtId="38" fontId="2" fillId="0" borderId="8" xfId="0" applyNumberFormat="1" applyFont="1" applyFill="1" applyBorder="1" applyAlignment="1">
      <alignment horizontal="right"/>
    </xf>
    <xf numFmtId="38" fontId="2" fillId="0" borderId="9" xfId="0" applyNumberFormat="1" applyFont="1" applyFill="1" applyBorder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77" fontId="0" fillId="0" borderId="9" xfId="1" applyNumberFormat="1" applyFont="1" applyBorder="1"/>
    <xf numFmtId="177" fontId="0" fillId="0" borderId="11" xfId="1" applyNumberFormat="1" applyFont="1" applyBorder="1" applyAlignment="1">
      <alignment horizontal="center"/>
    </xf>
    <xf numFmtId="167" fontId="0" fillId="0" borderId="0" xfId="2" applyNumberFormat="1" applyFont="1"/>
    <xf numFmtId="171" fontId="0" fillId="0" borderId="0" xfId="2" applyNumberFormat="1" applyFont="1"/>
    <xf numFmtId="176" fontId="0" fillId="0" borderId="0" xfId="1" applyNumberFormat="1" applyFont="1" applyAlignment="1"/>
    <xf numFmtId="167" fontId="0" fillId="0" borderId="0" xfId="2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C31" sqref="C31"/>
    </sheetView>
  </sheetViews>
  <sheetFormatPr defaultRowHeight="12" x14ac:dyDescent="0.2"/>
  <cols>
    <col min="1" max="1" width="15.5703125" style="80" customWidth="1"/>
    <col min="2" max="2" width="9.140625" style="80"/>
    <col min="3" max="3" width="12.42578125" style="80" customWidth="1"/>
    <col min="4" max="4" width="9.140625" style="80"/>
    <col min="5" max="5" width="11" style="80" customWidth="1"/>
    <col min="6" max="6" width="9.140625" style="80"/>
    <col min="7" max="7" width="13.42578125" style="80" customWidth="1"/>
    <col min="8" max="16384" width="9.140625" style="80"/>
  </cols>
  <sheetData>
    <row r="1" spans="1:12" x14ac:dyDescent="0.2">
      <c r="A1" s="85" t="s">
        <v>32</v>
      </c>
    </row>
    <row r="2" spans="1:12" x14ac:dyDescent="0.2">
      <c r="A2" s="124" t="s">
        <v>243</v>
      </c>
      <c r="B2" s="124" t="s">
        <v>24</v>
      </c>
      <c r="C2" s="125">
        <v>3.27</v>
      </c>
      <c r="D2" s="124" t="s">
        <v>357</v>
      </c>
      <c r="E2" s="124"/>
      <c r="F2" s="124"/>
      <c r="G2" s="86"/>
      <c r="H2" s="86"/>
      <c r="I2" s="87"/>
      <c r="J2" s="86"/>
      <c r="K2" s="86"/>
      <c r="L2" s="86"/>
    </row>
    <row r="3" spans="1:12" ht="12.75" x14ac:dyDescent="0.2">
      <c r="A3" s="124" t="s">
        <v>244</v>
      </c>
      <c r="B3" s="81"/>
      <c r="C3" s="125">
        <v>0</v>
      </c>
      <c r="D3" s="124"/>
      <c r="E3" s="124"/>
      <c r="F3" s="124"/>
      <c r="G3" s="86"/>
      <c r="H3" s="86"/>
      <c r="I3" s="87"/>
      <c r="J3" s="86"/>
      <c r="K3" s="86"/>
      <c r="L3" s="86"/>
    </row>
    <row r="4" spans="1:12" ht="12.75" x14ac:dyDescent="0.2">
      <c r="A4" s="124" t="s">
        <v>245</v>
      </c>
      <c r="B4" s="81"/>
      <c r="C4" s="125">
        <f>0.0022+0.0072</f>
        <v>9.4000000000000004E-3</v>
      </c>
      <c r="D4" s="124"/>
      <c r="E4" s="124"/>
      <c r="F4" s="124"/>
      <c r="G4" s="86"/>
      <c r="H4" s="34"/>
      <c r="I4" s="87"/>
      <c r="J4" s="86"/>
      <c r="K4" s="86"/>
      <c r="L4" s="86"/>
    </row>
    <row r="5" spans="1:12" ht="12.75" x14ac:dyDescent="0.2">
      <c r="A5" s="124" t="s">
        <v>246</v>
      </c>
      <c r="B5" s="81"/>
      <c r="C5" s="126">
        <v>1.11E-2</v>
      </c>
      <c r="D5" s="124"/>
      <c r="E5" s="124"/>
      <c r="F5" s="124"/>
      <c r="G5" s="86"/>
      <c r="H5" s="34"/>
      <c r="I5" s="87"/>
      <c r="J5" s="86"/>
      <c r="K5" s="86"/>
      <c r="L5" s="86"/>
    </row>
    <row r="6" spans="1:12" ht="12.75" x14ac:dyDescent="0.2">
      <c r="A6" s="124" t="s">
        <v>248</v>
      </c>
      <c r="B6" s="124"/>
      <c r="C6" s="127">
        <f>ROUND(+C2/(1-C5)+(C3+C4),4)-C2</f>
        <v>4.610000000000003E-2</v>
      </c>
      <c r="D6" s="124"/>
      <c r="E6" s="124"/>
      <c r="F6" s="124"/>
      <c r="G6" s="86"/>
      <c r="H6" s="34"/>
      <c r="I6" s="88"/>
      <c r="J6" s="86"/>
      <c r="K6" s="86"/>
      <c r="L6" s="86"/>
    </row>
    <row r="7" spans="1:12" ht="12.75" thickBot="1" x14ac:dyDescent="0.25">
      <c r="A7" s="124" t="s">
        <v>249</v>
      </c>
      <c r="B7" s="124"/>
      <c r="C7" s="128">
        <f>SUM(C2,C6)</f>
        <v>3.3161</v>
      </c>
      <c r="D7" s="124" t="s">
        <v>358</v>
      </c>
      <c r="E7" s="124"/>
      <c r="F7" s="124"/>
      <c r="G7" s="86"/>
      <c r="H7" s="86"/>
      <c r="I7" s="87"/>
      <c r="J7" s="86"/>
      <c r="K7" s="86"/>
      <c r="L7" s="86"/>
    </row>
    <row r="8" spans="1:12" ht="12.75" thickTop="1" x14ac:dyDescent="0.2">
      <c r="G8" s="86"/>
      <c r="H8" s="86"/>
      <c r="I8" s="87"/>
      <c r="J8" s="86"/>
      <c r="K8" s="86"/>
      <c r="L8" s="86"/>
    </row>
    <row r="10" spans="1:12" x14ac:dyDescent="0.2">
      <c r="A10" s="124" t="s">
        <v>243</v>
      </c>
      <c r="B10" s="124" t="s">
        <v>24</v>
      </c>
      <c r="C10" s="125">
        <v>3.27</v>
      </c>
      <c r="D10" s="124"/>
      <c r="E10" s="125">
        <v>3.27</v>
      </c>
      <c r="F10" s="124"/>
      <c r="G10" s="124"/>
      <c r="H10" s="124"/>
    </row>
    <row r="11" spans="1:12" x14ac:dyDescent="0.2">
      <c r="A11" s="124" t="s">
        <v>252</v>
      </c>
      <c r="B11" s="124"/>
      <c r="C11" s="125">
        <v>0.01</v>
      </c>
      <c r="D11" s="124"/>
      <c r="E11" s="125">
        <v>0.2165</v>
      </c>
      <c r="F11" s="124"/>
      <c r="G11" s="124"/>
      <c r="H11" s="124"/>
    </row>
    <row r="12" spans="1:12" x14ac:dyDescent="0.2">
      <c r="A12" s="124" t="s">
        <v>250</v>
      </c>
      <c r="B12" s="124"/>
      <c r="C12" s="125">
        <v>1.12E-2</v>
      </c>
      <c r="D12" s="124"/>
      <c r="E12" s="125">
        <v>1.12E-2</v>
      </c>
      <c r="F12" s="124"/>
      <c r="G12" s="124"/>
      <c r="H12" s="124"/>
    </row>
    <row r="13" spans="1:12" x14ac:dyDescent="0.2">
      <c r="A13" s="124" t="s">
        <v>245</v>
      </c>
      <c r="B13" s="124"/>
      <c r="C13" s="125">
        <f>0.0022+0.0072</f>
        <v>9.4000000000000004E-3</v>
      </c>
      <c r="D13" s="124"/>
      <c r="E13" s="125">
        <f>0.0022+0.0072</f>
        <v>9.4000000000000004E-3</v>
      </c>
      <c r="F13" s="124"/>
      <c r="G13" s="124"/>
      <c r="H13" s="124"/>
    </row>
    <row r="14" spans="1:12" x14ac:dyDescent="0.2">
      <c r="A14" s="124" t="s">
        <v>246</v>
      </c>
      <c r="B14" s="124"/>
      <c r="C14" s="126">
        <v>1.11E-2</v>
      </c>
      <c r="D14" s="124"/>
      <c r="E14" s="126">
        <v>1.11E-2</v>
      </c>
      <c r="F14" s="124"/>
      <c r="G14" s="124"/>
      <c r="H14" s="124"/>
    </row>
    <row r="15" spans="1:12" x14ac:dyDescent="0.2">
      <c r="A15" s="124" t="s">
        <v>251</v>
      </c>
      <c r="B15" s="124"/>
      <c r="C15" s="127">
        <f>ROUND((+C10+C11)/(1-C14)-(C10+C11)+C12+C13,4)</f>
        <v>5.74E-2</v>
      </c>
      <c r="D15" s="124"/>
      <c r="E15" s="127">
        <f>ROUND((+E10+E11)/(1-E14)-(E10+E11)+E12+E13,4)</f>
        <v>5.9700000000000003E-2</v>
      </c>
      <c r="F15" s="124"/>
      <c r="G15" s="124"/>
      <c r="H15" s="124"/>
    </row>
    <row r="16" spans="1:12" ht="12.75" thickBot="1" x14ac:dyDescent="0.25">
      <c r="A16" s="124"/>
      <c r="B16" s="124"/>
      <c r="C16" s="128">
        <f>SUM(C15,C10:C11)</f>
        <v>3.3373999999999997</v>
      </c>
      <c r="D16" s="124" t="s">
        <v>359</v>
      </c>
      <c r="E16" s="128">
        <f>SUM(E15,E10:E11)</f>
        <v>3.5461999999999998</v>
      </c>
      <c r="F16" s="124"/>
      <c r="G16" s="124"/>
      <c r="H16" s="124"/>
    </row>
    <row r="17" spans="1:8" ht="12.75" thickTop="1" x14ac:dyDescent="0.2">
      <c r="A17" s="124"/>
      <c r="B17" s="124"/>
      <c r="C17" s="124"/>
      <c r="D17" s="124"/>
      <c r="E17" s="124"/>
      <c r="F17" s="124"/>
      <c r="G17" s="124"/>
      <c r="H17" s="124"/>
    </row>
    <row r="18" spans="1:8" x14ac:dyDescent="0.2">
      <c r="A18" s="124" t="s">
        <v>359</v>
      </c>
      <c r="B18" s="124" t="s">
        <v>360</v>
      </c>
      <c r="C18" s="124"/>
      <c r="D18" s="124"/>
      <c r="E18" s="124"/>
      <c r="F18" s="124"/>
      <c r="G18" s="124"/>
      <c r="H18" s="124"/>
    </row>
    <row r="19" spans="1:8" x14ac:dyDescent="0.2">
      <c r="A19" s="124"/>
      <c r="B19" s="124" t="s">
        <v>361</v>
      </c>
      <c r="C19" s="124"/>
      <c r="D19" s="124"/>
      <c r="E19" s="124"/>
      <c r="F19" s="124"/>
      <c r="G19" s="124"/>
      <c r="H19" s="124"/>
    </row>
    <row r="20" spans="1:8" x14ac:dyDescent="0.2">
      <c r="A20" s="124"/>
      <c r="B20" s="124" t="s">
        <v>362</v>
      </c>
      <c r="C20" s="124"/>
      <c r="D20" s="124"/>
      <c r="E20" s="124"/>
      <c r="F20" s="124"/>
      <c r="G20" s="124"/>
      <c r="H20" s="124"/>
    </row>
    <row r="24" spans="1:8" x14ac:dyDescent="0.2">
      <c r="A24" s="85" t="s">
        <v>253</v>
      </c>
      <c r="C24" s="80" t="s">
        <v>60</v>
      </c>
      <c r="E24" s="80" t="s">
        <v>339</v>
      </c>
    </row>
    <row r="25" spans="1:8" x14ac:dyDescent="0.2">
      <c r="A25" s="80" t="s">
        <v>243</v>
      </c>
      <c r="B25" s="80" t="s">
        <v>253</v>
      </c>
      <c r="C25" s="83">
        <v>2.76</v>
      </c>
      <c r="E25" s="83">
        <v>2.76</v>
      </c>
    </row>
    <row r="26" spans="1:8" x14ac:dyDescent="0.2">
      <c r="A26" s="80" t="s">
        <v>252</v>
      </c>
      <c r="C26" s="83">
        <v>7.4999999999999997E-3</v>
      </c>
      <c r="E26" s="83">
        <v>7.4999999999999997E-3</v>
      </c>
    </row>
    <row r="27" spans="1:8" x14ac:dyDescent="0.2">
      <c r="A27" s="80" t="s">
        <v>244</v>
      </c>
      <c r="C27" s="83">
        <v>1.32E-2</v>
      </c>
      <c r="E27" s="83">
        <v>0.2228</v>
      </c>
    </row>
    <row r="28" spans="1:8" x14ac:dyDescent="0.2">
      <c r="A28" s="80" t="s">
        <v>245</v>
      </c>
      <c r="C28" s="83">
        <f>0.0022+0.0072</f>
        <v>9.4000000000000004E-3</v>
      </c>
      <c r="E28" s="83">
        <f>0.0022+0.0072</f>
        <v>9.4000000000000004E-3</v>
      </c>
    </row>
    <row r="29" spans="1:8" x14ac:dyDescent="0.2">
      <c r="A29" s="80" t="s">
        <v>246</v>
      </c>
      <c r="C29" s="119">
        <v>2.1160000000000002E-2</v>
      </c>
      <c r="E29" s="119">
        <v>2.1160000000000002E-2</v>
      </c>
    </row>
    <row r="30" spans="1:8" x14ac:dyDescent="0.2">
      <c r="A30" s="80" t="s">
        <v>247</v>
      </c>
      <c r="C30" s="116">
        <f>ROUND((+C25+C26)/(1-C29)-(C25+C26)+C27+C28,4)</f>
        <v>8.2400000000000001E-2</v>
      </c>
      <c r="E30" s="116">
        <f>ROUND((+E25+E26)/(1-E29)-(E25+E26)+E27+E28,4)</f>
        <v>0.29199999999999998</v>
      </c>
    </row>
    <row r="31" spans="1:8" ht="12.75" thickBot="1" x14ac:dyDescent="0.25">
      <c r="C31" s="117">
        <f>SUM(C30,C25:C26)</f>
        <v>2.8498999999999994</v>
      </c>
      <c r="E31" s="117">
        <f>SUM(E30,E25:E26)</f>
        <v>3.0594999999999994</v>
      </c>
    </row>
    <row r="32" spans="1:8" ht="12.75" thickTop="1" x14ac:dyDescent="0.2"/>
    <row r="33" spans="1:8" x14ac:dyDescent="0.2">
      <c r="C33" s="120"/>
      <c r="E33" s="120"/>
    </row>
    <row r="34" spans="1:8" x14ac:dyDescent="0.2">
      <c r="C34" s="121"/>
      <c r="E34" s="121"/>
    </row>
    <row r="35" spans="1:8" x14ac:dyDescent="0.2">
      <c r="C35" s="83"/>
    </row>
    <row r="42" spans="1:8" x14ac:dyDescent="0.2">
      <c r="A42" s="129" t="s">
        <v>26</v>
      </c>
      <c r="B42" s="124"/>
      <c r="C42" s="124" t="s">
        <v>340</v>
      </c>
      <c r="D42" s="124"/>
      <c r="E42" s="124" t="s">
        <v>341</v>
      </c>
      <c r="F42" s="124"/>
      <c r="G42" s="124" t="s">
        <v>342</v>
      </c>
      <c r="H42" s="124"/>
    </row>
    <row r="43" spans="1:8" x14ac:dyDescent="0.2">
      <c r="A43" s="124" t="s">
        <v>243</v>
      </c>
      <c r="B43" s="124" t="s">
        <v>26</v>
      </c>
      <c r="C43" s="125">
        <v>2.91</v>
      </c>
      <c r="D43" s="124"/>
      <c r="E43" s="125">
        <v>2.91</v>
      </c>
      <c r="F43" s="124"/>
      <c r="G43" s="125">
        <v>2.91</v>
      </c>
      <c r="H43" s="124"/>
    </row>
    <row r="44" spans="1:8" x14ac:dyDescent="0.2">
      <c r="A44" s="124" t="s">
        <v>252</v>
      </c>
      <c r="B44" s="124"/>
      <c r="C44" s="125">
        <v>1.4999999999999999E-2</v>
      </c>
      <c r="D44" s="124"/>
      <c r="E44" s="125">
        <v>9.5000000000000001E-2</v>
      </c>
      <c r="F44" s="124"/>
      <c r="G44" s="125">
        <v>1.4999999999999999E-2</v>
      </c>
      <c r="H44" s="124"/>
    </row>
    <row r="45" spans="1:8" x14ac:dyDescent="0.2">
      <c r="A45" s="124" t="s">
        <v>244</v>
      </c>
      <c r="B45" s="124"/>
      <c r="C45" s="125">
        <v>3.95E-2</v>
      </c>
      <c r="D45" s="124"/>
      <c r="E45" s="125">
        <v>3.95E-2</v>
      </c>
      <c r="F45" s="124"/>
      <c r="G45" s="125">
        <v>3.95E-2</v>
      </c>
      <c r="H45" s="124"/>
    </row>
    <row r="46" spans="1:8" x14ac:dyDescent="0.2">
      <c r="A46" s="124" t="s">
        <v>245</v>
      </c>
      <c r="B46" s="124"/>
      <c r="C46" s="125">
        <f>0.0022</f>
        <v>2.2000000000000001E-3</v>
      </c>
      <c r="D46" s="124"/>
      <c r="E46" s="125">
        <f>0.0022</f>
        <v>2.2000000000000001E-3</v>
      </c>
      <c r="F46" s="124"/>
      <c r="G46" s="125">
        <f>0.0022</f>
        <v>2.2000000000000001E-3</v>
      </c>
      <c r="H46" s="124"/>
    </row>
    <row r="47" spans="1:8" x14ac:dyDescent="0.2">
      <c r="A47" s="124" t="s">
        <v>246</v>
      </c>
      <c r="B47" s="124"/>
      <c r="C47" s="126">
        <v>2.2800000000000001E-2</v>
      </c>
      <c r="D47" s="124"/>
      <c r="E47" s="126">
        <v>2.2800000000000001E-2</v>
      </c>
      <c r="F47" s="124"/>
      <c r="G47" s="126">
        <v>2.2800000000000001E-2</v>
      </c>
      <c r="H47" s="124"/>
    </row>
    <row r="48" spans="1:8" x14ac:dyDescent="0.2">
      <c r="A48" s="124" t="s">
        <v>247</v>
      </c>
      <c r="B48" s="124"/>
      <c r="C48" s="127">
        <f>ROUND((+C43+C44)/(1-C47)-(C43+C44)+C45+C46,4)</f>
        <v>0.1099</v>
      </c>
      <c r="D48" s="124"/>
      <c r="E48" s="127">
        <f>ROUND((+E43+E44)/(1-E47)-(E43+E44)+E45+E46,4)</f>
        <v>0.1118</v>
      </c>
      <c r="F48" s="130"/>
      <c r="G48" s="127">
        <f>ROUND((+G43+G44)/(1-G47)-(G43+G44)+G45+G46,4)</f>
        <v>0.1099</v>
      </c>
      <c r="H48" s="124"/>
    </row>
    <row r="49" spans="1:9" x14ac:dyDescent="0.2">
      <c r="A49" s="124" t="s">
        <v>0</v>
      </c>
      <c r="B49" s="124"/>
      <c r="C49" s="127">
        <v>0</v>
      </c>
      <c r="D49" s="124"/>
      <c r="E49" s="127">
        <v>0.13</v>
      </c>
      <c r="F49" s="130"/>
      <c r="G49" s="127">
        <v>0.13</v>
      </c>
      <c r="H49" s="124"/>
    </row>
    <row r="50" spans="1:9" ht="12.75" thickBot="1" x14ac:dyDescent="0.25">
      <c r="A50" s="124" t="s">
        <v>249</v>
      </c>
      <c r="B50" s="124"/>
      <c r="C50" s="131">
        <f>SUM(C48,C43:C44,C49)</f>
        <v>3.0349000000000004</v>
      </c>
      <c r="D50" s="124"/>
      <c r="E50" s="131">
        <f>SUM(E48,E43:E44,E49)</f>
        <v>3.2468000000000004</v>
      </c>
      <c r="F50" s="130"/>
      <c r="G50" s="131">
        <f>SUM(G48,G43:G44,G49)</f>
        <v>3.1649000000000003</v>
      </c>
      <c r="H50" s="124"/>
    </row>
    <row r="51" spans="1:9" ht="12.75" thickTop="1" x14ac:dyDescent="0.2">
      <c r="A51" s="124" t="s">
        <v>343</v>
      </c>
      <c r="B51" s="124"/>
      <c r="C51" s="132">
        <f>1169*29</f>
        <v>33901</v>
      </c>
      <c r="D51" s="124"/>
      <c r="E51" s="132">
        <f>160583-C51:C51</f>
        <v>126682</v>
      </c>
      <c r="F51" s="130"/>
      <c r="G51" s="132">
        <v>335355</v>
      </c>
      <c r="H51" s="124"/>
    </row>
    <row r="52" spans="1:9" x14ac:dyDescent="0.2">
      <c r="A52" s="124" t="s">
        <v>363</v>
      </c>
      <c r="B52" s="124"/>
      <c r="C52" s="133"/>
      <c r="D52" s="124"/>
      <c r="E52" s="130"/>
      <c r="F52" s="130"/>
      <c r="G52" s="130"/>
      <c r="H52" s="124"/>
    </row>
    <row r="53" spans="1:9" x14ac:dyDescent="0.2">
      <c r="A53" s="124"/>
      <c r="B53" s="124"/>
      <c r="C53" s="133"/>
      <c r="D53" s="124"/>
      <c r="E53" s="124"/>
      <c r="F53" s="124"/>
      <c r="G53" s="124"/>
      <c r="H53" s="124"/>
    </row>
    <row r="54" spans="1:9" x14ac:dyDescent="0.2">
      <c r="A54" s="124" t="s">
        <v>364</v>
      </c>
      <c r="B54" s="124"/>
      <c r="C54" s="133"/>
      <c r="D54" s="124"/>
      <c r="E54" s="124"/>
      <c r="F54" s="124"/>
      <c r="G54" s="124"/>
      <c r="H54" s="124"/>
    </row>
    <row r="55" spans="1:9" x14ac:dyDescent="0.2">
      <c r="A55" s="124" t="s">
        <v>365</v>
      </c>
      <c r="B55" s="124"/>
      <c r="C55" s="133"/>
      <c r="D55" s="124"/>
      <c r="E55" s="124"/>
      <c r="F55" s="124"/>
      <c r="G55" s="124"/>
      <c r="H55" s="124"/>
    </row>
    <row r="56" spans="1:9" x14ac:dyDescent="0.2">
      <c r="A56" s="124"/>
      <c r="B56" s="124"/>
      <c r="C56" s="133"/>
      <c r="D56" s="124"/>
      <c r="E56" s="124"/>
      <c r="F56" s="124"/>
      <c r="G56" s="124"/>
      <c r="H56" s="124"/>
    </row>
    <row r="57" spans="1:9" x14ac:dyDescent="0.2">
      <c r="C57" s="87"/>
    </row>
    <row r="58" spans="1:9" x14ac:dyDescent="0.2">
      <c r="C58" s="87"/>
    </row>
    <row r="59" spans="1:9" x14ac:dyDescent="0.2">
      <c r="A59" s="129" t="s">
        <v>394</v>
      </c>
      <c r="B59" s="124"/>
      <c r="C59" s="153" t="s">
        <v>396</v>
      </c>
      <c r="D59" s="124"/>
      <c r="E59" s="153" t="s">
        <v>397</v>
      </c>
      <c r="F59" s="124"/>
      <c r="G59" s="124"/>
      <c r="H59" s="124"/>
      <c r="I59" s="124"/>
    </row>
    <row r="60" spans="1:9" x14ac:dyDescent="0.2">
      <c r="A60" s="124" t="s">
        <v>243</v>
      </c>
      <c r="B60" s="124" t="s">
        <v>395</v>
      </c>
      <c r="C60" s="125">
        <v>2.58</v>
      </c>
      <c r="D60" s="124"/>
      <c r="E60" s="125">
        <f>+C66</f>
        <v>2.6997999999999998</v>
      </c>
      <c r="F60" s="124"/>
      <c r="G60" s="124"/>
      <c r="H60" s="124"/>
      <c r="I60" s="124"/>
    </row>
    <row r="61" spans="1:9" x14ac:dyDescent="0.2">
      <c r="A61" s="124" t="s">
        <v>252</v>
      </c>
      <c r="B61" s="124"/>
      <c r="C61" s="125">
        <v>0.01</v>
      </c>
      <c r="D61" s="124"/>
      <c r="E61" s="125">
        <v>0</v>
      </c>
      <c r="F61" s="124"/>
      <c r="G61" s="124"/>
      <c r="H61" s="124"/>
      <c r="I61" s="124"/>
    </row>
    <row r="62" spans="1:9" x14ac:dyDescent="0.2">
      <c r="A62" s="124" t="s">
        <v>244</v>
      </c>
      <c r="B62" s="124"/>
      <c r="C62" s="125">
        <v>5.7200000000000001E-2</v>
      </c>
      <c r="D62" s="124"/>
      <c r="E62" s="125">
        <v>1.1000000000000001E-3</v>
      </c>
      <c r="F62" s="124"/>
      <c r="G62" s="124"/>
      <c r="H62" s="124"/>
      <c r="I62" s="124"/>
    </row>
    <row r="63" spans="1:9" x14ac:dyDescent="0.2">
      <c r="A63" s="124" t="s">
        <v>245</v>
      </c>
      <c r="B63" s="124"/>
      <c r="C63" s="125">
        <f>0.0022</f>
        <v>2.2000000000000001E-3</v>
      </c>
      <c r="D63" s="124"/>
      <c r="E63" s="125">
        <f>0.0022+0.0072</f>
        <v>9.4000000000000004E-3</v>
      </c>
      <c r="F63" s="124" t="s">
        <v>398</v>
      </c>
      <c r="G63" s="124"/>
      <c r="H63" s="124"/>
      <c r="I63" s="124"/>
    </row>
    <row r="64" spans="1:9" x14ac:dyDescent="0.2">
      <c r="A64" s="124" t="s">
        <v>246</v>
      </c>
      <c r="B64" s="124"/>
      <c r="C64" s="126">
        <v>1.9099999999999999E-2</v>
      </c>
      <c r="D64" s="124"/>
      <c r="E64" s="126">
        <v>2.1999999999999999E-2</v>
      </c>
      <c r="F64" s="124"/>
      <c r="G64" s="124"/>
      <c r="H64" s="124"/>
      <c r="I64" s="124"/>
    </row>
    <row r="65" spans="1:9" x14ac:dyDescent="0.2">
      <c r="A65" s="124" t="s">
        <v>247</v>
      </c>
      <c r="B65" s="124"/>
      <c r="C65" s="127">
        <f>ROUND((+C60+C61)/(1-C64)-(C60+C61)+C62+C63,4)</f>
        <v>0.10979999999999999</v>
      </c>
      <c r="D65" s="124"/>
      <c r="E65" s="127">
        <f>ROUND((+E60+E61)/(1-E64)-(E60+E61)+E62+E63,4)</f>
        <v>7.1199999999999999E-2</v>
      </c>
      <c r="F65" s="124"/>
      <c r="G65" s="124"/>
      <c r="H65" s="124"/>
      <c r="I65" s="124"/>
    </row>
    <row r="66" spans="1:9" ht="12.75" thickBot="1" x14ac:dyDescent="0.25">
      <c r="A66" s="124" t="s">
        <v>249</v>
      </c>
      <c r="B66" s="124"/>
      <c r="C66" s="128">
        <f>SUM(C65,C60:C61)</f>
        <v>2.6997999999999998</v>
      </c>
      <c r="D66" s="124"/>
      <c r="E66" s="128">
        <f>SUM(E65,E60:E61)</f>
        <v>2.7709999999999999</v>
      </c>
      <c r="F66" s="124" t="s">
        <v>399</v>
      </c>
      <c r="G66" s="124"/>
      <c r="H66" s="124"/>
      <c r="I66" s="124"/>
    </row>
    <row r="67" spans="1:9" ht="12.75" thickTop="1" x14ac:dyDescent="0.2"/>
    <row r="71" spans="1:9" x14ac:dyDescent="0.2">
      <c r="A71" s="129" t="s">
        <v>344</v>
      </c>
      <c r="B71" s="124"/>
      <c r="C71" s="153" t="s">
        <v>60</v>
      </c>
      <c r="D71" s="124"/>
      <c r="E71" s="153" t="s">
        <v>345</v>
      </c>
      <c r="F71" s="124"/>
      <c r="G71" s="124"/>
    </row>
    <row r="72" spans="1:9" x14ac:dyDescent="0.2">
      <c r="A72" s="124" t="s">
        <v>243</v>
      </c>
      <c r="B72" s="124" t="s">
        <v>26</v>
      </c>
      <c r="C72" s="125">
        <v>2.91</v>
      </c>
      <c r="D72" s="124"/>
      <c r="E72" s="125">
        <v>2.91</v>
      </c>
      <c r="F72" s="124"/>
      <c r="G72" s="124"/>
    </row>
    <row r="73" spans="1:9" x14ac:dyDescent="0.2">
      <c r="A73" s="124" t="s">
        <v>252</v>
      </c>
      <c r="B73" s="124"/>
      <c r="C73" s="125">
        <v>6.5000000000000002E-2</v>
      </c>
      <c r="D73" s="124"/>
      <c r="E73" s="125">
        <v>6.5000000000000002E-2</v>
      </c>
      <c r="F73" s="124"/>
      <c r="G73" s="124"/>
    </row>
    <row r="74" spans="1:9" x14ac:dyDescent="0.2">
      <c r="A74" s="124" t="s">
        <v>244</v>
      </c>
      <c r="B74" s="124"/>
      <c r="C74" s="125">
        <v>9.1999999999999998E-3</v>
      </c>
      <c r="D74" s="124"/>
      <c r="E74" s="125">
        <f>0.1953+0.0174</f>
        <v>0.2127</v>
      </c>
      <c r="F74" s="124"/>
      <c r="G74" s="124"/>
    </row>
    <row r="75" spans="1:9" x14ac:dyDescent="0.2">
      <c r="A75" s="124" t="s">
        <v>245</v>
      </c>
      <c r="B75" s="124"/>
      <c r="C75" s="125">
        <f>0.0022+0.0072</f>
        <v>9.4000000000000004E-3</v>
      </c>
      <c r="D75" s="124"/>
      <c r="E75" s="125">
        <f>0.0022+0.0072</f>
        <v>9.4000000000000004E-3</v>
      </c>
      <c r="F75" s="124"/>
      <c r="G75" s="124"/>
    </row>
    <row r="76" spans="1:9" x14ac:dyDescent="0.2">
      <c r="A76" s="124" t="s">
        <v>246</v>
      </c>
      <c r="B76" s="124"/>
      <c r="C76" s="126">
        <v>0.03</v>
      </c>
      <c r="D76" s="124"/>
      <c r="E76" s="126">
        <v>0.03</v>
      </c>
      <c r="F76" s="124"/>
      <c r="G76" s="124"/>
    </row>
    <row r="77" spans="1:9" x14ac:dyDescent="0.2">
      <c r="A77" s="124" t="s">
        <v>247</v>
      </c>
      <c r="B77" s="124"/>
      <c r="C77" s="127">
        <f>ROUND((+C72+C73)/(1-C76)-(C72+C73)+C74+C75,4)</f>
        <v>0.1106</v>
      </c>
      <c r="D77" s="124"/>
      <c r="E77" s="127">
        <f>ROUND((+E72+E73)/(1-E76)-(E72+E73)+E74+E75,4)</f>
        <v>0.31409999999999999</v>
      </c>
      <c r="F77" s="124"/>
      <c r="G77" s="124"/>
    </row>
    <row r="78" spans="1:9" ht="12.75" thickBot="1" x14ac:dyDescent="0.25">
      <c r="A78" s="124" t="s">
        <v>249</v>
      </c>
      <c r="B78" s="124"/>
      <c r="C78" s="128">
        <f>SUM(C77,C72:C73)</f>
        <v>3.0855999999999999</v>
      </c>
      <c r="D78" s="124"/>
      <c r="E78" s="128">
        <f>SUM(E77,E72:E73)</f>
        <v>3.2890999999999999</v>
      </c>
      <c r="F78" s="124"/>
      <c r="G78" s="124"/>
    </row>
    <row r="79" spans="1:9" ht="12.75" thickTop="1" x14ac:dyDescent="0.2">
      <c r="A79" s="124"/>
      <c r="B79" s="124"/>
      <c r="C79" s="124"/>
      <c r="D79" s="124"/>
      <c r="E79" s="124"/>
      <c r="F79" s="124"/>
      <c r="G79" s="124"/>
    </row>
    <row r="80" spans="1:9" x14ac:dyDescent="0.2">
      <c r="A80" s="124" t="s">
        <v>409</v>
      </c>
      <c r="B80" s="124"/>
      <c r="C80" s="124"/>
      <c r="D80" s="124"/>
      <c r="E80" s="124"/>
      <c r="F80" s="124"/>
      <c r="G80" s="124"/>
    </row>
    <row r="83" spans="1:9" x14ac:dyDescent="0.2">
      <c r="A83" s="129" t="s">
        <v>346</v>
      </c>
      <c r="B83" s="124"/>
      <c r="C83" s="124"/>
      <c r="D83" s="124"/>
      <c r="E83" s="124"/>
    </row>
    <row r="84" spans="1:9" x14ac:dyDescent="0.2">
      <c r="A84" s="124" t="s">
        <v>243</v>
      </c>
      <c r="B84" s="124" t="s">
        <v>235</v>
      </c>
      <c r="C84" s="125">
        <v>2.58</v>
      </c>
      <c r="D84" s="124"/>
      <c r="E84" s="124"/>
    </row>
    <row r="85" spans="1:9" x14ac:dyDescent="0.2">
      <c r="A85" s="124" t="s">
        <v>252</v>
      </c>
      <c r="B85" s="124"/>
      <c r="C85" s="125">
        <v>0.01</v>
      </c>
      <c r="D85" s="124"/>
      <c r="E85" s="124"/>
    </row>
    <row r="86" spans="1:9" x14ac:dyDescent="0.2">
      <c r="A86" s="124" t="s">
        <v>244</v>
      </c>
      <c r="B86" s="124"/>
      <c r="C86" s="125">
        <v>0.11260000000000001</v>
      </c>
      <c r="D86" s="124"/>
      <c r="E86" s="124"/>
    </row>
    <row r="87" spans="1:9" x14ac:dyDescent="0.2">
      <c r="A87" s="124" t="s">
        <v>245</v>
      </c>
      <c r="B87" s="124"/>
      <c r="C87" s="125">
        <f>0.0022+0.0072</f>
        <v>9.4000000000000004E-3</v>
      </c>
      <c r="D87" s="124"/>
      <c r="E87" s="124"/>
    </row>
    <row r="88" spans="1:9" x14ac:dyDescent="0.2">
      <c r="A88" s="124" t="s">
        <v>246</v>
      </c>
      <c r="B88" s="124"/>
      <c r="C88" s="126">
        <v>6.9900000000000004E-2</v>
      </c>
      <c r="D88" s="124"/>
      <c r="E88" s="124"/>
    </row>
    <row r="89" spans="1:9" x14ac:dyDescent="0.2">
      <c r="A89" s="124" t="s">
        <v>247</v>
      </c>
      <c r="B89" s="124"/>
      <c r="C89" s="127">
        <f>ROUND((+C84+C85)/(1-C88)-(C84+C85)+C86+C87,4)</f>
        <v>0.31659999999999999</v>
      </c>
      <c r="D89" s="124"/>
      <c r="E89" s="124"/>
    </row>
    <row r="90" spans="1:9" ht="12.75" thickBot="1" x14ac:dyDescent="0.25">
      <c r="A90" s="124"/>
      <c r="B90" s="124"/>
      <c r="C90" s="128">
        <f>SUM(C89,C84:C85)</f>
        <v>2.9066000000000001</v>
      </c>
      <c r="D90" s="124" t="s">
        <v>385</v>
      </c>
      <c r="E90" s="124"/>
    </row>
    <row r="91" spans="1:9" ht="12.75" thickTop="1" x14ac:dyDescent="0.2"/>
    <row r="93" spans="1:9" x14ac:dyDescent="0.2">
      <c r="A93" s="129" t="s">
        <v>347</v>
      </c>
      <c r="B93" s="124"/>
      <c r="C93" s="124"/>
      <c r="D93" s="124"/>
      <c r="E93" s="124"/>
      <c r="F93" s="124"/>
      <c r="G93" s="124"/>
      <c r="H93" s="124"/>
      <c r="I93" s="124"/>
    </row>
    <row r="94" spans="1:9" x14ac:dyDescent="0.2">
      <c r="A94" s="124" t="s">
        <v>243</v>
      </c>
      <c r="B94" s="124" t="s">
        <v>348</v>
      </c>
      <c r="C94" s="125">
        <v>2.58</v>
      </c>
      <c r="D94" s="124"/>
      <c r="E94" s="124"/>
      <c r="F94" s="124"/>
      <c r="G94" s="124"/>
      <c r="H94" s="124"/>
      <c r="I94" s="124"/>
    </row>
    <row r="95" spans="1:9" x14ac:dyDescent="0.2">
      <c r="A95" s="124" t="s">
        <v>252</v>
      </c>
      <c r="B95" s="124"/>
      <c r="C95" s="125">
        <v>0.01</v>
      </c>
      <c r="D95" s="124"/>
      <c r="E95" s="124"/>
      <c r="F95" s="124"/>
      <c r="G95" s="124"/>
      <c r="H95" s="124"/>
      <c r="I95" s="124"/>
    </row>
    <row r="96" spans="1:9" x14ac:dyDescent="0.2">
      <c r="A96" s="124" t="s">
        <v>244</v>
      </c>
      <c r="B96" s="124"/>
      <c r="C96" s="125">
        <v>9.9400000000000002E-2</v>
      </c>
      <c r="D96" s="124"/>
      <c r="E96" s="124"/>
      <c r="F96" s="124"/>
      <c r="G96" s="124"/>
      <c r="H96" s="124"/>
      <c r="I96" s="124"/>
    </row>
    <row r="97" spans="1:12" x14ac:dyDescent="0.2">
      <c r="A97" s="124" t="s">
        <v>245</v>
      </c>
      <c r="B97" s="124"/>
      <c r="C97" s="125">
        <f>0.0022+0.0072</f>
        <v>9.4000000000000004E-3</v>
      </c>
      <c r="D97" s="124"/>
      <c r="E97" s="124"/>
      <c r="F97" s="124"/>
      <c r="G97" s="124"/>
      <c r="H97" s="124"/>
      <c r="I97" s="124"/>
    </row>
    <row r="98" spans="1:12" x14ac:dyDescent="0.2">
      <c r="A98" s="124" t="s">
        <v>246</v>
      </c>
      <c r="B98" s="124"/>
      <c r="C98" s="126">
        <v>9.2399999999999996E-2</v>
      </c>
      <c r="D98" s="124"/>
      <c r="E98" s="124"/>
      <c r="F98" s="124"/>
      <c r="G98" s="124"/>
      <c r="H98" s="124"/>
      <c r="I98" s="124"/>
    </row>
    <row r="99" spans="1:12" x14ac:dyDescent="0.2">
      <c r="A99" s="124" t="s">
        <v>247</v>
      </c>
      <c r="B99" s="124"/>
      <c r="C99" s="127">
        <f>ROUND((+C94+C95)/(1-C98)-(C94+C95)+C96+C97,4)</f>
        <v>0.3725</v>
      </c>
      <c r="D99" s="124" t="s">
        <v>384</v>
      </c>
      <c r="E99" s="124"/>
      <c r="F99" s="124"/>
      <c r="G99" s="124"/>
      <c r="H99" s="124"/>
      <c r="I99" s="124"/>
    </row>
    <row r="100" spans="1:12" ht="12.75" thickBot="1" x14ac:dyDescent="0.25">
      <c r="A100" s="124"/>
      <c r="B100" s="124"/>
      <c r="C100" s="128">
        <f>SUM(C99,C94:C95)</f>
        <v>2.9624999999999999</v>
      </c>
      <c r="D100" s="124" t="s">
        <v>349</v>
      </c>
      <c r="E100" s="124"/>
      <c r="F100" s="124"/>
      <c r="G100" s="124"/>
      <c r="H100" s="124"/>
      <c r="I100" s="124"/>
    </row>
    <row r="101" spans="1:12" ht="12.75" thickTop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</row>
    <row r="102" spans="1:12" x14ac:dyDescent="0.2">
      <c r="A102" s="124" t="s">
        <v>383</v>
      </c>
      <c r="B102" s="124"/>
      <c r="C102" s="124"/>
      <c r="D102" s="124"/>
      <c r="E102" s="124"/>
      <c r="F102" s="124"/>
      <c r="G102" s="124"/>
      <c r="H102" s="124"/>
      <c r="I102" s="124"/>
    </row>
    <row r="110" spans="1:12" ht="12.75" x14ac:dyDescent="0.2">
      <c r="A110" s="84" t="s">
        <v>1</v>
      </c>
      <c r="G110" s="25"/>
      <c r="H110" s="25"/>
    </row>
    <row r="111" spans="1:12" ht="12.75" x14ac:dyDescent="0.2">
      <c r="D111" s="123"/>
      <c r="F111" s="122"/>
      <c r="G111" s="25"/>
    </row>
    <row r="112" spans="1:12" x14ac:dyDescent="0.2">
      <c r="A112" s="124" t="s">
        <v>242</v>
      </c>
      <c r="B112" s="124"/>
      <c r="C112" s="124"/>
      <c r="D112" s="124"/>
      <c r="E112" s="130"/>
      <c r="F112" s="86"/>
      <c r="G112" s="86"/>
      <c r="H112" s="86"/>
      <c r="I112" s="86"/>
      <c r="J112" s="86"/>
      <c r="K112" s="86"/>
      <c r="L112" s="86"/>
    </row>
    <row r="113" spans="1:14" ht="12.75" x14ac:dyDescent="0.2">
      <c r="A113" s="124" t="s">
        <v>243</v>
      </c>
      <c r="B113" s="124" t="s">
        <v>185</v>
      </c>
      <c r="C113" s="125">
        <v>2.62</v>
      </c>
      <c r="D113" s="124"/>
      <c r="E113" s="130"/>
      <c r="F113" s="86"/>
      <c r="G113" s="87"/>
      <c r="H113" s="86"/>
      <c r="I113" s="86"/>
      <c r="J113" s="86"/>
      <c r="K113" s="87"/>
      <c r="L113" s="34"/>
    </row>
    <row r="114" spans="1:14" ht="12.75" x14ac:dyDescent="0.2">
      <c r="A114" s="124"/>
      <c r="B114" s="124"/>
      <c r="C114" s="125">
        <v>0.01</v>
      </c>
      <c r="D114" s="124"/>
      <c r="E114" s="130"/>
      <c r="F114" s="86"/>
      <c r="G114" s="87"/>
      <c r="H114" s="86"/>
      <c r="I114" s="86"/>
      <c r="J114" s="86"/>
      <c r="K114" s="87"/>
      <c r="L114" s="34"/>
    </row>
    <row r="115" spans="1:14" ht="12.75" x14ac:dyDescent="0.2">
      <c r="A115" s="124" t="s">
        <v>244</v>
      </c>
      <c r="B115" s="81"/>
      <c r="C115" s="125">
        <v>2.24E-2</v>
      </c>
      <c r="D115" s="124"/>
      <c r="E115" s="130"/>
      <c r="F115" s="34"/>
      <c r="G115" s="87"/>
      <c r="H115" s="86"/>
      <c r="I115" s="86"/>
      <c r="J115" s="34"/>
      <c r="K115" s="87"/>
      <c r="L115" s="34"/>
    </row>
    <row r="116" spans="1:14" ht="12.75" x14ac:dyDescent="0.2">
      <c r="A116" s="124" t="s">
        <v>245</v>
      </c>
      <c r="B116" s="81"/>
      <c r="C116" s="125">
        <f>0.0022+0.0072+0.0131</f>
        <v>2.2499999999999999E-2</v>
      </c>
      <c r="D116" s="124"/>
      <c r="E116" s="130"/>
      <c r="F116" s="34"/>
      <c r="G116" s="87"/>
      <c r="H116" s="86"/>
      <c r="I116" s="86"/>
      <c r="J116" s="34"/>
      <c r="K116" s="87"/>
      <c r="L116" s="34"/>
    </row>
    <row r="117" spans="1:14" ht="12.75" x14ac:dyDescent="0.2">
      <c r="A117" s="124" t="s">
        <v>246</v>
      </c>
      <c r="B117" s="150"/>
      <c r="C117" s="126">
        <v>4.7399999999999998E-2</v>
      </c>
      <c r="D117" s="124"/>
      <c r="E117" s="130"/>
      <c r="F117" s="149"/>
      <c r="G117" s="88"/>
      <c r="H117" s="86"/>
      <c r="I117" s="86"/>
      <c r="J117" s="149"/>
      <c r="K117" s="88"/>
      <c r="L117" s="34"/>
    </row>
    <row r="118" spans="1:14" ht="12.75" x14ac:dyDescent="0.2">
      <c r="A118" s="124" t="s">
        <v>247</v>
      </c>
      <c r="B118" s="124"/>
      <c r="C118" s="127">
        <f>ROUND((+C113+C114)/(1-C117)+(C115+C116),4)-C113-C114</f>
        <v>0.17579999999999996</v>
      </c>
      <c r="D118" s="124"/>
      <c r="E118" s="130"/>
      <c r="F118" s="86"/>
      <c r="G118" s="87"/>
      <c r="H118" s="86"/>
      <c r="I118" s="86"/>
      <c r="J118" s="86"/>
      <c r="K118" s="87"/>
      <c r="L118" s="34"/>
    </row>
    <row r="119" spans="1:14" ht="13.5" thickBot="1" x14ac:dyDescent="0.25">
      <c r="A119" s="124"/>
      <c r="B119" s="124"/>
      <c r="C119" s="128">
        <f>SUM(C118,C113:C114)</f>
        <v>2.8057999999999996</v>
      </c>
      <c r="D119" s="124" t="s">
        <v>386</v>
      </c>
      <c r="E119" s="130"/>
      <c r="F119" s="86"/>
      <c r="G119" s="86"/>
      <c r="H119" s="86"/>
      <c r="I119" s="86"/>
      <c r="J119" s="86"/>
      <c r="K119" s="86"/>
      <c r="L119" s="34"/>
      <c r="M119" s="82"/>
      <c r="N119" s="83"/>
    </row>
    <row r="120" spans="1:14" ht="13.5" thickTop="1" x14ac:dyDescent="0.2">
      <c r="B120" s="25"/>
      <c r="C120" s="83"/>
      <c r="G120" s="82"/>
      <c r="H120" s="118"/>
    </row>
    <row r="121" spans="1:14" ht="12.75" x14ac:dyDescent="0.2">
      <c r="K121" s="25"/>
      <c r="L121" s="83"/>
    </row>
    <row r="123" spans="1:14" x14ac:dyDescent="0.2">
      <c r="A123" s="124" t="s">
        <v>350</v>
      </c>
      <c r="B123" s="124"/>
      <c r="C123" s="124"/>
      <c r="D123" s="124"/>
      <c r="E123" s="130"/>
      <c r="F123" s="86"/>
      <c r="G123" s="86"/>
      <c r="H123" s="86"/>
      <c r="I123" s="86"/>
      <c r="J123" s="86"/>
      <c r="K123" s="86"/>
      <c r="L123" s="86"/>
    </row>
    <row r="124" spans="1:14" ht="12.75" x14ac:dyDescent="0.2">
      <c r="A124" s="124" t="s">
        <v>243</v>
      </c>
      <c r="B124" s="124" t="s">
        <v>185</v>
      </c>
      <c r="C124" s="125">
        <v>2.62</v>
      </c>
      <c r="D124" s="124"/>
      <c r="E124" s="130"/>
      <c r="F124" s="86"/>
      <c r="G124" s="87"/>
      <c r="H124" s="86"/>
      <c r="I124" s="86"/>
      <c r="J124" s="86"/>
      <c r="K124" s="87"/>
      <c r="L124" s="34"/>
    </row>
    <row r="125" spans="1:14" ht="12.75" x14ac:dyDescent="0.2">
      <c r="A125" s="124"/>
      <c r="B125" s="124"/>
      <c r="C125" s="125">
        <v>7.4999999999999997E-3</v>
      </c>
      <c r="D125" s="124"/>
      <c r="E125" s="130"/>
      <c r="F125" s="86"/>
      <c r="G125" s="87"/>
      <c r="H125" s="86"/>
      <c r="I125" s="86"/>
      <c r="J125" s="86"/>
      <c r="K125" s="87"/>
      <c r="L125" s="34"/>
    </row>
    <row r="126" spans="1:14" ht="12.75" x14ac:dyDescent="0.2">
      <c r="A126" s="124" t="s">
        <v>244</v>
      </c>
      <c r="B126" s="81"/>
      <c r="C126" s="125">
        <v>1.15E-2</v>
      </c>
      <c r="D126" s="124"/>
      <c r="E126" s="130"/>
      <c r="F126" s="34"/>
      <c r="G126" s="87"/>
      <c r="H126" s="86"/>
      <c r="I126" s="86"/>
      <c r="J126" s="34"/>
      <c r="K126" s="87"/>
      <c r="L126" s="34"/>
    </row>
    <row r="127" spans="1:14" ht="12.75" x14ac:dyDescent="0.2">
      <c r="A127" s="124" t="s">
        <v>245</v>
      </c>
      <c r="B127" s="81"/>
      <c r="C127" s="125">
        <f>0.0022+0.0072+0.0131</f>
        <v>2.2499999999999999E-2</v>
      </c>
      <c r="D127" s="124"/>
      <c r="E127" s="130"/>
      <c r="F127" s="34"/>
      <c r="G127" s="87"/>
      <c r="H127" s="86"/>
      <c r="I127" s="86"/>
      <c r="J127" s="34"/>
      <c r="K127" s="87"/>
      <c r="L127" s="34"/>
    </row>
    <row r="128" spans="1:14" ht="12.75" x14ac:dyDescent="0.2">
      <c r="A128" s="124" t="s">
        <v>246</v>
      </c>
      <c r="B128" s="150"/>
      <c r="C128" s="126">
        <v>2.3800000000000002E-2</v>
      </c>
      <c r="D128" s="124"/>
      <c r="E128" s="130"/>
      <c r="F128" s="149"/>
      <c r="G128" s="88"/>
      <c r="H128" s="86"/>
      <c r="I128" s="86"/>
      <c r="J128" s="149"/>
      <c r="K128" s="88"/>
      <c r="L128" s="34"/>
    </row>
    <row r="129" spans="1:14" ht="12.75" x14ac:dyDescent="0.2">
      <c r="A129" s="124" t="s">
        <v>247</v>
      </c>
      <c r="B129" s="124"/>
      <c r="C129" s="127">
        <f>ROUND((+C124+C125)/(1-C128)+(C126+C127),4)-C124-C125</f>
        <v>9.8099999999999909E-2</v>
      </c>
      <c r="D129" s="124"/>
      <c r="E129" s="130"/>
      <c r="F129" s="86"/>
      <c r="G129" s="87"/>
      <c r="H129" s="86"/>
      <c r="I129" s="86"/>
      <c r="J129" s="86"/>
      <c r="K129" s="87"/>
      <c r="L129" s="34"/>
    </row>
    <row r="130" spans="1:14" ht="13.5" thickBot="1" x14ac:dyDescent="0.25">
      <c r="A130" s="124"/>
      <c r="B130" s="124"/>
      <c r="C130" s="128">
        <f>SUM(C129,C124:C125)</f>
        <v>2.7256</v>
      </c>
      <c r="D130" s="124" t="s">
        <v>393</v>
      </c>
      <c r="E130" s="130"/>
      <c r="F130" s="86"/>
      <c r="G130" s="86"/>
      <c r="H130" s="86"/>
      <c r="I130" s="86"/>
      <c r="J130" s="86"/>
      <c r="K130" s="86"/>
      <c r="L130" s="34"/>
      <c r="M130" s="82"/>
      <c r="N130" s="83"/>
    </row>
    <row r="131" spans="1:14" ht="13.5" thickTop="1" x14ac:dyDescent="0.2">
      <c r="B131" s="25"/>
      <c r="C131" s="83"/>
      <c r="G131" s="82"/>
      <c r="H131" s="118"/>
    </row>
    <row r="134" spans="1:14" x14ac:dyDescent="0.2">
      <c r="A134" s="124" t="s">
        <v>351</v>
      </c>
      <c r="B134" s="124"/>
      <c r="C134" s="124"/>
      <c r="D134" s="124"/>
      <c r="E134" s="124"/>
      <c r="I134" s="124" t="s">
        <v>352</v>
      </c>
      <c r="J134" s="124"/>
      <c r="K134" s="124"/>
      <c r="L134" s="124"/>
      <c r="M134" s="124"/>
    </row>
    <row r="135" spans="1:14" ht="12.75" x14ac:dyDescent="0.2">
      <c r="A135" s="124" t="s">
        <v>243</v>
      </c>
      <c r="B135" s="124" t="s">
        <v>353</v>
      </c>
      <c r="C135" s="125">
        <v>2.64</v>
      </c>
      <c r="D135" s="124"/>
      <c r="E135" s="124"/>
      <c r="I135" s="124" t="s">
        <v>243</v>
      </c>
      <c r="J135" s="124" t="s">
        <v>353</v>
      </c>
      <c r="K135" s="125">
        <v>2.64</v>
      </c>
      <c r="L135" s="81"/>
      <c r="M135" s="124"/>
    </row>
    <row r="136" spans="1:14" ht="12.75" x14ac:dyDescent="0.2">
      <c r="A136" s="124" t="s">
        <v>252</v>
      </c>
      <c r="B136" s="124"/>
      <c r="C136" s="125">
        <v>1.7500000000000002E-2</v>
      </c>
      <c r="D136" s="124"/>
      <c r="E136" s="124"/>
      <c r="I136" s="124"/>
      <c r="J136" s="124"/>
      <c r="K136" s="125">
        <v>1.7500000000000002E-2</v>
      </c>
      <c r="L136" s="81"/>
      <c r="M136" s="124"/>
    </row>
    <row r="137" spans="1:14" ht="12.75" x14ac:dyDescent="0.2">
      <c r="A137" s="124" t="s">
        <v>244</v>
      </c>
      <c r="B137" s="81"/>
      <c r="C137" s="125">
        <v>1.18E-2</v>
      </c>
      <c r="D137" s="124"/>
      <c r="E137" s="124"/>
      <c r="I137" s="124" t="s">
        <v>244</v>
      </c>
      <c r="J137" s="81"/>
      <c r="K137" s="125">
        <v>2.3E-3</v>
      </c>
      <c r="L137" s="81"/>
      <c r="M137" s="124"/>
    </row>
    <row r="138" spans="1:14" ht="12.75" x14ac:dyDescent="0.2">
      <c r="A138" s="124" t="s">
        <v>245</v>
      </c>
      <c r="B138" s="81"/>
      <c r="C138" s="125">
        <f>0.0022+0.0072</f>
        <v>9.4000000000000004E-3</v>
      </c>
      <c r="D138" s="124" t="s">
        <v>354</v>
      </c>
      <c r="E138" s="124"/>
      <c r="I138" s="124" t="s">
        <v>245</v>
      </c>
      <c r="J138" s="81"/>
      <c r="K138" s="125">
        <f>0.0022+0.0072</f>
        <v>9.4000000000000004E-3</v>
      </c>
      <c r="L138" s="124" t="s">
        <v>354</v>
      </c>
      <c r="M138" s="124"/>
    </row>
    <row r="139" spans="1:14" ht="12.75" x14ac:dyDescent="0.2">
      <c r="A139" s="124" t="s">
        <v>246</v>
      </c>
      <c r="B139" s="150"/>
      <c r="C139" s="126">
        <v>1.9300000000000001E-2</v>
      </c>
      <c r="D139" s="124"/>
      <c r="E139" s="124"/>
      <c r="I139" s="124" t="s">
        <v>246</v>
      </c>
      <c r="J139" s="150"/>
      <c r="K139" s="126">
        <v>1.9300000000000001E-2</v>
      </c>
      <c r="L139" s="81"/>
      <c r="M139" s="124"/>
    </row>
    <row r="140" spans="1:14" ht="12.75" x14ac:dyDescent="0.2">
      <c r="A140" s="124" t="s">
        <v>247</v>
      </c>
      <c r="B140" s="124"/>
      <c r="C140" s="127">
        <f>ROUND((+C135+C136)/(1-C139)+(C137+C138),4)-C135-C136</f>
        <v>7.3499999999999746E-2</v>
      </c>
      <c r="D140" s="124"/>
      <c r="E140" s="124"/>
      <c r="I140" s="124" t="s">
        <v>247</v>
      </c>
      <c r="J140" s="124"/>
      <c r="K140" s="127">
        <f>ROUND((+K135+K136)/(1-K139)+(K137+K138),4)-K135-K136</f>
        <v>6.3999999999999682E-2</v>
      </c>
      <c r="L140" s="81"/>
      <c r="M140" s="124"/>
    </row>
    <row r="141" spans="1:14" ht="13.5" thickBot="1" x14ac:dyDescent="0.25">
      <c r="A141" s="124" t="s">
        <v>249</v>
      </c>
      <c r="B141" s="124"/>
      <c r="C141" s="128">
        <f>SUM(C135:C136,C140)</f>
        <v>2.7309999999999999</v>
      </c>
      <c r="D141" s="124" t="s">
        <v>391</v>
      </c>
      <c r="E141" s="124"/>
      <c r="I141" s="130" t="s">
        <v>249</v>
      </c>
      <c r="J141" s="130"/>
      <c r="K141" s="128">
        <f>SUM(K135:K136,K140)</f>
        <v>2.7214999999999998</v>
      </c>
      <c r="L141" s="81" t="s">
        <v>392</v>
      </c>
      <c r="M141" s="152"/>
      <c r="N141" s="83"/>
    </row>
    <row r="142" spans="1:14" ht="13.5" thickTop="1" x14ac:dyDescent="0.2">
      <c r="B142" s="25"/>
      <c r="C142" s="83"/>
      <c r="G142" s="82"/>
      <c r="H142" s="118"/>
    </row>
    <row r="144" spans="1:14" x14ac:dyDescent="0.2">
      <c r="A144" s="124" t="s">
        <v>355</v>
      </c>
      <c r="B144" s="124"/>
      <c r="C144" s="124"/>
      <c r="D144" s="124"/>
      <c r="E144" s="124"/>
      <c r="F144" s="124"/>
      <c r="G144" s="124"/>
      <c r="H144" s="124"/>
      <c r="I144" s="124"/>
    </row>
    <row r="145" spans="1:9" x14ac:dyDescent="0.2">
      <c r="A145" s="124" t="s">
        <v>243</v>
      </c>
      <c r="B145" s="124" t="s">
        <v>353</v>
      </c>
      <c r="C145" s="125">
        <v>2.64</v>
      </c>
      <c r="D145" s="124" t="s">
        <v>390</v>
      </c>
      <c r="E145" s="124"/>
      <c r="F145" s="124"/>
      <c r="G145" s="124"/>
      <c r="H145" s="124"/>
      <c r="I145" s="124"/>
    </row>
    <row r="146" spans="1:9" ht="12.75" x14ac:dyDescent="0.2">
      <c r="A146" s="124" t="s">
        <v>244</v>
      </c>
      <c r="B146" s="81"/>
      <c r="C146" s="125">
        <v>1.67E-2</v>
      </c>
      <c r="D146" s="124"/>
      <c r="E146" s="124"/>
      <c r="F146" s="124"/>
      <c r="G146" s="124"/>
      <c r="H146" s="124"/>
      <c r="I146" s="124"/>
    </row>
    <row r="147" spans="1:9" ht="12.75" x14ac:dyDescent="0.2">
      <c r="A147" s="124" t="s">
        <v>245</v>
      </c>
      <c r="B147" s="81"/>
      <c r="C147" s="125">
        <f>0.0022+0.0072+0.0131</f>
        <v>2.2499999999999999E-2</v>
      </c>
      <c r="D147" s="124"/>
      <c r="E147" s="124"/>
      <c r="F147" s="124"/>
      <c r="G147" s="124"/>
      <c r="H147" s="124"/>
      <c r="I147" s="124"/>
    </row>
    <row r="148" spans="1:9" x14ac:dyDescent="0.2">
      <c r="A148" s="124" t="s">
        <v>246</v>
      </c>
      <c r="B148" s="150"/>
      <c r="C148" s="126">
        <v>3.4500000000000003E-2</v>
      </c>
      <c r="D148" s="124"/>
      <c r="E148" s="124"/>
      <c r="F148" s="124"/>
      <c r="G148" s="124"/>
      <c r="H148" s="124"/>
      <c r="I148" s="124"/>
    </row>
    <row r="149" spans="1:9" x14ac:dyDescent="0.2">
      <c r="A149" s="124" t="s">
        <v>247</v>
      </c>
      <c r="B149" s="124"/>
      <c r="C149" s="127">
        <f>ROUND((+C145)/(1-C148)+(C146+C147),4)-C145</f>
        <v>0.13349999999999973</v>
      </c>
      <c r="D149" s="124"/>
      <c r="E149" s="124"/>
      <c r="F149" s="124"/>
      <c r="G149" s="124"/>
      <c r="H149" s="124"/>
      <c r="I149" s="124"/>
    </row>
    <row r="150" spans="1:9" x14ac:dyDescent="0.2">
      <c r="A150" s="124" t="s">
        <v>356</v>
      </c>
      <c r="B150" s="124"/>
      <c r="C150" s="151">
        <v>0.27</v>
      </c>
      <c r="D150" s="124"/>
      <c r="E150" s="124"/>
      <c r="F150" s="124"/>
      <c r="G150" s="124"/>
      <c r="H150" s="124"/>
      <c r="I150" s="124"/>
    </row>
    <row r="151" spans="1:9" ht="12.75" thickBot="1" x14ac:dyDescent="0.25">
      <c r="A151" s="124" t="s">
        <v>249</v>
      </c>
      <c r="B151" s="124"/>
      <c r="C151" s="128">
        <f>SUM(C145:C145,C149)</f>
        <v>2.7734999999999999</v>
      </c>
      <c r="D151" s="124" t="s">
        <v>387</v>
      </c>
      <c r="E151" s="124"/>
      <c r="F151" s="124"/>
      <c r="G151" s="124"/>
      <c r="H151" s="124"/>
      <c r="I151" s="124"/>
    </row>
    <row r="152" spans="1:9" ht="12.75" thickTop="1" x14ac:dyDescent="0.2">
      <c r="A152" s="124"/>
      <c r="B152" s="124"/>
      <c r="C152" s="124"/>
      <c r="D152" s="124" t="s">
        <v>388</v>
      </c>
      <c r="E152" s="124"/>
      <c r="F152" s="124"/>
      <c r="G152" s="124"/>
      <c r="H152" s="124"/>
      <c r="I152" s="124"/>
    </row>
    <row r="153" spans="1:9" x14ac:dyDescent="0.2">
      <c r="A153" s="124"/>
      <c r="B153" s="124"/>
      <c r="C153" s="124"/>
      <c r="D153" s="124" t="s">
        <v>389</v>
      </c>
      <c r="E153" s="124"/>
      <c r="F153" s="124"/>
      <c r="G153" s="124"/>
      <c r="H153" s="124"/>
      <c r="I153" s="124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2.75" x14ac:dyDescent="0.2"/>
  <sheetData>
    <row r="3" spans="1:2" x14ac:dyDescent="0.2">
      <c r="A3" t="s">
        <v>417</v>
      </c>
      <c r="B3" t="s">
        <v>418</v>
      </c>
    </row>
    <row r="4" spans="1:2" x14ac:dyDescent="0.2">
      <c r="A4">
        <v>204779</v>
      </c>
    </row>
    <row r="5" spans="1:2" x14ac:dyDescent="0.2">
      <c r="A5">
        <v>204782</v>
      </c>
    </row>
    <row r="6" spans="1:2" x14ac:dyDescent="0.2">
      <c r="A6">
        <v>204783</v>
      </c>
    </row>
    <row r="7" spans="1:2" x14ac:dyDescent="0.2">
      <c r="A7">
        <v>204786</v>
      </c>
    </row>
    <row r="8" spans="1:2" x14ac:dyDescent="0.2">
      <c r="A8">
        <v>204788</v>
      </c>
    </row>
    <row r="9" spans="1:2" x14ac:dyDescent="0.2">
      <c r="A9">
        <v>204791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B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8" sqref="I38"/>
    </sheetView>
  </sheetViews>
  <sheetFormatPr defaultRowHeight="12.75" x14ac:dyDescent="0.2"/>
  <cols>
    <col min="1" max="1" width="5.7109375" style="105" customWidth="1"/>
    <col min="2" max="2" width="11" style="105" customWidth="1"/>
    <col min="3" max="4" width="11.28515625" style="105" bestFit="1" customWidth="1"/>
    <col min="5" max="5" width="3.28515625" style="105" customWidth="1"/>
    <col min="6" max="6" width="12.85546875" style="105" bestFit="1" customWidth="1"/>
    <col min="7" max="7" width="4.7109375" style="105" customWidth="1"/>
    <col min="8" max="8" width="12.85546875" style="105" bestFit="1" customWidth="1"/>
    <col min="9" max="9" width="10.42578125" style="105" bestFit="1" customWidth="1"/>
    <col min="10" max="10" width="3.28515625" style="105" customWidth="1"/>
    <col min="11" max="11" width="12.85546875" style="105" bestFit="1" customWidth="1"/>
    <col min="12" max="12" width="4.140625" style="105" customWidth="1"/>
    <col min="13" max="13" width="10.5703125" style="105" customWidth="1"/>
    <col min="14" max="14" width="4" style="105" customWidth="1"/>
    <col min="15" max="15" width="11.28515625" style="105" customWidth="1"/>
    <col min="16" max="16" width="10.28515625" style="105" customWidth="1"/>
    <col min="17" max="17" width="11.140625" style="105" customWidth="1"/>
    <col min="18" max="18" width="3.5703125" style="105" customWidth="1"/>
    <col min="19" max="19" width="13" style="105" bestFit="1" customWidth="1"/>
    <col min="20" max="20" width="4.140625" style="105" customWidth="1"/>
    <col min="21" max="21" width="12.28515625" style="105" bestFit="1" customWidth="1"/>
    <col min="22" max="22" width="13.85546875" style="105" bestFit="1" customWidth="1"/>
    <col min="23" max="23" width="9.140625" style="105"/>
    <col min="24" max="24" width="9.28515625" style="105" bestFit="1" customWidth="1"/>
    <col min="25" max="25" width="13.5703125" style="105" customWidth="1"/>
    <col min="26" max="27" width="9.140625" style="105"/>
    <col min="28" max="28" width="13.85546875" style="105" bestFit="1" customWidth="1"/>
    <col min="29" max="33" width="9.140625" style="105"/>
    <col min="34" max="34" width="1.5703125" style="105" customWidth="1"/>
    <col min="35" max="43" width="9.140625" style="105"/>
    <col min="44" max="44" width="1.7109375" style="105" customWidth="1"/>
    <col min="45" max="16384" width="9.140625" style="105"/>
  </cols>
  <sheetData>
    <row r="2" spans="1:54" s="106" customFormat="1" x14ac:dyDescent="0.2"/>
    <row r="3" spans="1:54" x14ac:dyDescent="0.2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54" x14ac:dyDescent="0.2">
      <c r="A4" s="106"/>
      <c r="B4" s="106"/>
      <c r="C4" s="106"/>
      <c r="D4" s="106"/>
      <c r="E4" s="106"/>
      <c r="F4" s="106" t="s">
        <v>333</v>
      </c>
      <c r="G4" s="106"/>
      <c r="H4" s="107" t="s">
        <v>336</v>
      </c>
      <c r="I4" s="108" t="s">
        <v>336</v>
      </c>
      <c r="J4" s="109"/>
      <c r="K4" s="106" t="s">
        <v>426</v>
      </c>
      <c r="L4" s="106"/>
      <c r="M4" s="106"/>
      <c r="N4" s="106"/>
      <c r="O4" s="106"/>
      <c r="P4" s="106"/>
      <c r="Q4" s="106"/>
      <c r="R4" s="106"/>
      <c r="S4" s="106" t="s">
        <v>428</v>
      </c>
      <c r="T4" s="106"/>
      <c r="U4" s="106"/>
      <c r="V4" s="106"/>
      <c r="AB4" s="105" t="s">
        <v>419</v>
      </c>
      <c r="AI4" s="105" t="s">
        <v>421</v>
      </c>
      <c r="AK4" s="105" t="s">
        <v>431</v>
      </c>
      <c r="AS4" s="105" t="s">
        <v>333</v>
      </c>
      <c r="AU4" s="105" t="s">
        <v>420</v>
      </c>
    </row>
    <row r="5" spans="1:54" x14ac:dyDescent="0.2">
      <c r="A5" s="106"/>
      <c r="B5" s="106" t="s">
        <v>330</v>
      </c>
      <c r="C5" s="106" t="s">
        <v>331</v>
      </c>
      <c r="D5" s="106" t="s">
        <v>296</v>
      </c>
      <c r="E5" s="106"/>
      <c r="F5" s="106" t="s">
        <v>425</v>
      </c>
      <c r="G5" s="106"/>
      <c r="H5" s="110" t="s">
        <v>403</v>
      </c>
      <c r="I5" s="111" t="s">
        <v>404</v>
      </c>
      <c r="J5" s="109"/>
      <c r="K5" s="106" t="s">
        <v>427</v>
      </c>
      <c r="L5" s="106"/>
      <c r="M5" s="106" t="s">
        <v>332</v>
      </c>
      <c r="N5" s="106"/>
      <c r="O5" s="107" t="s">
        <v>334</v>
      </c>
      <c r="P5" s="160" t="s">
        <v>430</v>
      </c>
      <c r="Q5" s="108" t="s">
        <v>335</v>
      </c>
      <c r="R5" s="106"/>
      <c r="S5" s="106" t="s">
        <v>429</v>
      </c>
      <c r="T5" s="106"/>
      <c r="U5" s="106" t="s">
        <v>338</v>
      </c>
      <c r="V5" s="106"/>
      <c r="W5" s="105" t="s">
        <v>432</v>
      </c>
      <c r="AB5" s="158">
        <v>152478</v>
      </c>
      <c r="AC5" s="158">
        <v>153341</v>
      </c>
      <c r="AD5" s="158">
        <v>153359</v>
      </c>
      <c r="AE5" s="158">
        <v>157569</v>
      </c>
      <c r="AF5" s="158">
        <v>158145</v>
      </c>
      <c r="AG5" s="157">
        <v>159964</v>
      </c>
      <c r="AH5" s="157"/>
      <c r="AI5" s="157" t="s">
        <v>422</v>
      </c>
      <c r="AJ5" s="157"/>
      <c r="AK5" s="157">
        <v>160410</v>
      </c>
      <c r="AL5" s="157">
        <v>161997</v>
      </c>
      <c r="AM5" s="157">
        <v>162026</v>
      </c>
      <c r="AN5" s="157">
        <v>162943</v>
      </c>
      <c r="AO5" s="157">
        <v>164440</v>
      </c>
      <c r="AP5" s="157">
        <v>164973</v>
      </c>
      <c r="AQ5" s="157">
        <v>169576</v>
      </c>
      <c r="AR5" s="157"/>
      <c r="AS5" s="157" t="s">
        <v>430</v>
      </c>
      <c r="AT5" s="157"/>
      <c r="AU5" s="157">
        <v>160327</v>
      </c>
      <c r="AV5" s="157">
        <v>162797</v>
      </c>
      <c r="AW5" s="157">
        <v>164209</v>
      </c>
      <c r="AX5" s="157"/>
      <c r="AY5" s="157"/>
      <c r="AZ5" s="157"/>
      <c r="BA5" s="157"/>
      <c r="BB5" s="157"/>
    </row>
    <row r="6" spans="1:54" x14ac:dyDescent="0.2">
      <c r="A6" s="106">
        <v>1</v>
      </c>
      <c r="B6" s="106">
        <v>181057</v>
      </c>
      <c r="C6" s="106">
        <v>10189</v>
      </c>
      <c r="D6" s="106">
        <v>1820</v>
      </c>
      <c r="E6" s="106"/>
      <c r="F6" s="106">
        <f>SUM(B6:D6)</f>
        <v>193066</v>
      </c>
      <c r="G6" s="106"/>
      <c r="H6" s="106">
        <v>113047</v>
      </c>
      <c r="I6" s="106">
        <f>ROUND(+H6*(1-0.02116),0)</f>
        <v>110655</v>
      </c>
      <c r="J6" s="106"/>
      <c r="K6" s="106">
        <f>+F6-I6</f>
        <v>82411</v>
      </c>
      <c r="L6" s="106"/>
      <c r="M6" s="106">
        <v>217569</v>
      </c>
      <c r="N6" s="106"/>
      <c r="O6" s="112">
        <v>163978</v>
      </c>
      <c r="P6" s="109">
        <f>+AS6:AS6</f>
        <v>240</v>
      </c>
      <c r="Q6" s="113">
        <f>+P6+O6</f>
        <v>164218</v>
      </c>
      <c r="R6" s="106"/>
      <c r="S6" s="106">
        <f>+Q6-K6</f>
        <v>81807</v>
      </c>
      <c r="T6" s="106"/>
      <c r="U6" s="115">
        <v>2.77</v>
      </c>
      <c r="V6" s="114">
        <f>+S6*(U6-0.01)</f>
        <v>225787.32</v>
      </c>
      <c r="W6" s="161">
        <f>2.76+0.0075</f>
        <v>2.7674999999999996</v>
      </c>
      <c r="X6" s="161">
        <f>+W6-U6-0.01</f>
        <v>-1.2500000000000391E-2</v>
      </c>
      <c r="Y6" s="162">
        <f>+X6*S6</f>
        <v>-1022.587500000032</v>
      </c>
      <c r="AB6" s="105">
        <v>419</v>
      </c>
      <c r="AC6" s="105">
        <v>19</v>
      </c>
      <c r="AD6" s="105">
        <v>15</v>
      </c>
      <c r="AE6" s="105">
        <v>100</v>
      </c>
      <c r="AF6" s="105">
        <v>276</v>
      </c>
      <c r="AG6" s="105">
        <v>8</v>
      </c>
      <c r="AI6" s="105">
        <f>SUM(AB6:AG6)</f>
        <v>837</v>
      </c>
      <c r="AK6" s="105">
        <v>240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S6" s="105">
        <f>SUM(AK6:AR6)</f>
        <v>240</v>
      </c>
      <c r="AU6" s="105">
        <v>0</v>
      </c>
      <c r="AV6" s="105">
        <v>0</v>
      </c>
      <c r="AW6" s="105">
        <v>0</v>
      </c>
      <c r="AX6" s="105">
        <v>0</v>
      </c>
    </row>
    <row r="7" spans="1:54" x14ac:dyDescent="0.2">
      <c r="A7" s="106">
        <f>+A6+1</f>
        <v>2</v>
      </c>
      <c r="B7" s="106">
        <v>177919</v>
      </c>
      <c r="C7" s="106">
        <v>10189</v>
      </c>
      <c r="D7" s="106">
        <v>1749</v>
      </c>
      <c r="E7" s="106"/>
      <c r="F7" s="106">
        <f t="shared" ref="F7:F34" si="0">SUM(B7:D7)</f>
        <v>189857</v>
      </c>
      <c r="G7" s="106"/>
      <c r="H7" s="106">
        <v>114593</v>
      </c>
      <c r="I7" s="106">
        <f t="shared" ref="I7:I34" si="1">ROUND(+H7*(1-0.02116),0)</f>
        <v>112168</v>
      </c>
      <c r="J7" s="106"/>
      <c r="K7" s="106">
        <f t="shared" ref="K7:K34" si="2">+F7-I7</f>
        <v>77689</v>
      </c>
      <c r="L7" s="106"/>
      <c r="M7" s="106">
        <v>217569</v>
      </c>
      <c r="N7" s="106"/>
      <c r="O7" s="112">
        <v>163978</v>
      </c>
      <c r="P7" s="109">
        <f t="shared" ref="P7:P34" si="3">+AS7:AS7</f>
        <v>0</v>
      </c>
      <c r="Q7" s="113">
        <f t="shared" ref="Q7:Q34" si="4">+P7+O7</f>
        <v>163978</v>
      </c>
      <c r="R7" s="106"/>
      <c r="S7" s="106">
        <f t="shared" ref="S7:S34" si="5">+Q7-K7</f>
        <v>86289</v>
      </c>
      <c r="T7" s="106"/>
      <c r="U7" s="115">
        <v>2.9</v>
      </c>
      <c r="V7" s="114">
        <f t="shared" ref="V7:V33" si="6">+S7*(U7-0.01)</f>
        <v>249375.21000000002</v>
      </c>
      <c r="W7" s="161">
        <f t="shared" ref="W7:W34" si="7">2.76+0.0075</f>
        <v>2.7674999999999996</v>
      </c>
      <c r="X7" s="161">
        <f t="shared" ref="X7:X34" si="8">+W7-U7-0.01</f>
        <v>-0.14250000000000029</v>
      </c>
      <c r="Y7" s="162">
        <f t="shared" ref="Y7:Y34" si="9">+X7*S7</f>
        <v>-12296.182500000024</v>
      </c>
      <c r="AB7" s="105">
        <f>+AB6</f>
        <v>419</v>
      </c>
      <c r="AC7" s="105">
        <f t="shared" ref="AC7:AL7" si="10">+AC6</f>
        <v>19</v>
      </c>
      <c r="AD7" s="105">
        <f t="shared" si="10"/>
        <v>15</v>
      </c>
      <c r="AE7" s="105">
        <f t="shared" si="10"/>
        <v>100</v>
      </c>
      <c r="AF7" s="105">
        <f t="shared" si="10"/>
        <v>276</v>
      </c>
      <c r="AG7" s="105">
        <f t="shared" si="10"/>
        <v>8</v>
      </c>
      <c r="AI7" s="105">
        <f t="shared" ref="AI7:AI34" si="11">SUM(AB7:AG7)</f>
        <v>837</v>
      </c>
      <c r="AK7" s="105">
        <v>0</v>
      </c>
      <c r="AL7" s="105">
        <f t="shared" si="10"/>
        <v>0</v>
      </c>
      <c r="AM7" s="105">
        <f>+AM6</f>
        <v>0</v>
      </c>
      <c r="AN7" s="105">
        <f>+AN6</f>
        <v>0</v>
      </c>
      <c r="AO7" s="105">
        <f>+AO6</f>
        <v>0</v>
      </c>
      <c r="AP7" s="105">
        <f>+AP6</f>
        <v>0</v>
      </c>
      <c r="AQ7" s="105">
        <f>+AQ6</f>
        <v>0</v>
      </c>
      <c r="AS7" s="105">
        <f t="shared" ref="AS7:AS35" si="12">SUM(AK7:AR7)</f>
        <v>0</v>
      </c>
      <c r="AU7" s="105">
        <v>8000</v>
      </c>
      <c r="AV7" s="105">
        <f>+AV6</f>
        <v>0</v>
      </c>
      <c r="AW7" s="105">
        <f>+AW6</f>
        <v>0</v>
      </c>
    </row>
    <row r="8" spans="1:54" x14ac:dyDescent="0.2">
      <c r="A8" s="106">
        <f t="shared" ref="A8:A34" si="13">+A7+1</f>
        <v>3</v>
      </c>
      <c r="B8" s="106">
        <f>320418-150000</f>
        <v>170418</v>
      </c>
      <c r="C8" s="106">
        <v>11251</v>
      </c>
      <c r="D8" s="106">
        <v>0</v>
      </c>
      <c r="E8" s="106"/>
      <c r="F8" s="106">
        <f t="shared" si="0"/>
        <v>181669</v>
      </c>
      <c r="G8" s="106"/>
      <c r="H8" s="106">
        <v>26383</v>
      </c>
      <c r="I8" s="106">
        <f t="shared" si="1"/>
        <v>25825</v>
      </c>
      <c r="J8" s="106"/>
      <c r="K8" s="106">
        <f t="shared" si="2"/>
        <v>155844</v>
      </c>
      <c r="L8" s="106"/>
      <c r="M8" s="106">
        <v>217569</v>
      </c>
      <c r="N8" s="106"/>
      <c r="O8" s="112">
        <v>163978</v>
      </c>
      <c r="P8" s="109">
        <f t="shared" si="3"/>
        <v>2850</v>
      </c>
      <c r="Q8" s="113">
        <f t="shared" si="4"/>
        <v>166828</v>
      </c>
      <c r="R8" s="106"/>
      <c r="S8" s="106">
        <f t="shared" si="5"/>
        <v>10984</v>
      </c>
      <c r="T8" s="106"/>
      <c r="U8" s="115">
        <v>2.9849999999999999</v>
      </c>
      <c r="V8" s="114">
        <f t="shared" si="6"/>
        <v>32677.4</v>
      </c>
      <c r="W8" s="161">
        <f t="shared" si="7"/>
        <v>2.7674999999999996</v>
      </c>
      <c r="X8" s="161">
        <f t="shared" si="8"/>
        <v>-0.22750000000000026</v>
      </c>
      <c r="Y8" s="162">
        <f t="shared" si="9"/>
        <v>-2498.8600000000029</v>
      </c>
      <c r="AB8" s="105">
        <f t="shared" ref="AB8:AB34" si="14">+AB7</f>
        <v>419</v>
      </c>
      <c r="AC8" s="105">
        <f t="shared" ref="AC8:AC34" si="15">+AC7</f>
        <v>19</v>
      </c>
      <c r="AD8" s="105">
        <f t="shared" ref="AD8:AD34" si="16">+AD7</f>
        <v>15</v>
      </c>
      <c r="AE8" s="105">
        <f t="shared" ref="AE8:AE34" si="17">+AE7</f>
        <v>100</v>
      </c>
      <c r="AF8" s="105">
        <f t="shared" ref="AF8:AF34" si="18">+AF7</f>
        <v>276</v>
      </c>
      <c r="AG8" s="105">
        <f t="shared" ref="AG8:AG34" si="19">+AG7</f>
        <v>8</v>
      </c>
      <c r="AI8" s="105">
        <f t="shared" si="11"/>
        <v>837</v>
      </c>
      <c r="AK8" s="105">
        <f t="shared" ref="AK8:AK34" si="20">+AK7</f>
        <v>0</v>
      </c>
      <c r="AL8" s="105">
        <v>2850</v>
      </c>
      <c r="AM8" s="105">
        <f>+AM7</f>
        <v>0</v>
      </c>
      <c r="AN8" s="105">
        <f t="shared" ref="AN8:AN34" si="21">+AN7</f>
        <v>0</v>
      </c>
      <c r="AO8" s="105">
        <f t="shared" ref="AO8:AO34" si="22">+AO7</f>
        <v>0</v>
      </c>
      <c r="AP8" s="105">
        <f t="shared" ref="AP8:AP34" si="23">+AP7</f>
        <v>0</v>
      </c>
      <c r="AQ8" s="105">
        <f t="shared" ref="AQ8:AQ34" si="24">+AQ7</f>
        <v>0</v>
      </c>
      <c r="AS8" s="105">
        <f t="shared" si="12"/>
        <v>2850</v>
      </c>
      <c r="AU8" s="105">
        <v>0</v>
      </c>
      <c r="AV8" s="105">
        <f t="shared" ref="AV8:AV34" si="25">+AV7</f>
        <v>0</v>
      </c>
      <c r="AW8" s="105">
        <f t="shared" ref="AW8:AW34" si="26">+AW7</f>
        <v>0</v>
      </c>
    </row>
    <row r="9" spans="1:54" x14ac:dyDescent="0.2">
      <c r="A9" s="106">
        <f t="shared" si="13"/>
        <v>4</v>
      </c>
      <c r="B9" s="106">
        <v>196433</v>
      </c>
      <c r="C9" s="106">
        <v>4735</v>
      </c>
      <c r="D9" s="106">
        <v>0</v>
      </c>
      <c r="E9" s="106"/>
      <c r="F9" s="106">
        <f t="shared" si="0"/>
        <v>201168</v>
      </c>
      <c r="G9" s="106"/>
      <c r="H9" s="106">
        <v>23779</v>
      </c>
      <c r="I9" s="106">
        <f t="shared" si="1"/>
        <v>23276</v>
      </c>
      <c r="J9" s="106"/>
      <c r="K9" s="106">
        <f t="shared" si="2"/>
        <v>177892</v>
      </c>
      <c r="L9" s="106"/>
      <c r="M9" s="106">
        <v>217569</v>
      </c>
      <c r="N9" s="106"/>
      <c r="O9" s="112">
        <v>163978</v>
      </c>
      <c r="P9" s="109">
        <f t="shared" si="3"/>
        <v>14904</v>
      </c>
      <c r="Q9" s="113">
        <f t="shared" si="4"/>
        <v>178882</v>
      </c>
      <c r="R9" s="106"/>
      <c r="S9" s="106">
        <f t="shared" si="5"/>
        <v>990</v>
      </c>
      <c r="T9" s="106"/>
      <c r="U9" s="115">
        <v>2.92</v>
      </c>
      <c r="V9" s="114">
        <f t="shared" si="6"/>
        <v>2880.9</v>
      </c>
      <c r="W9" s="161">
        <f t="shared" si="7"/>
        <v>2.7674999999999996</v>
      </c>
      <c r="X9" s="161">
        <f t="shared" si="8"/>
        <v>-0.16250000000000031</v>
      </c>
      <c r="Y9" s="162">
        <f t="shared" si="9"/>
        <v>-160.87500000000031</v>
      </c>
      <c r="AB9" s="105">
        <f t="shared" si="14"/>
        <v>419</v>
      </c>
      <c r="AC9" s="105">
        <f t="shared" si="15"/>
        <v>19</v>
      </c>
      <c r="AD9" s="105">
        <f t="shared" si="16"/>
        <v>15</v>
      </c>
      <c r="AE9" s="105">
        <f t="shared" si="17"/>
        <v>100</v>
      </c>
      <c r="AF9" s="105">
        <f t="shared" si="18"/>
        <v>276</v>
      </c>
      <c r="AG9" s="105">
        <f t="shared" si="19"/>
        <v>8</v>
      </c>
      <c r="AI9" s="105">
        <f t="shared" si="11"/>
        <v>837</v>
      </c>
      <c r="AK9" s="105">
        <f t="shared" si="20"/>
        <v>0</v>
      </c>
      <c r="AL9" s="105">
        <v>2849</v>
      </c>
      <c r="AM9" s="105">
        <v>11846</v>
      </c>
      <c r="AN9" s="105">
        <v>209</v>
      </c>
      <c r="AO9" s="105">
        <f t="shared" si="22"/>
        <v>0</v>
      </c>
      <c r="AP9" s="105">
        <f t="shared" si="23"/>
        <v>0</v>
      </c>
      <c r="AQ9" s="105">
        <f t="shared" si="24"/>
        <v>0</v>
      </c>
      <c r="AS9" s="105">
        <f t="shared" si="12"/>
        <v>14904</v>
      </c>
      <c r="AU9" s="105">
        <f t="shared" ref="AU9:AU34" si="27">+AU8</f>
        <v>0</v>
      </c>
      <c r="AV9" s="105">
        <f t="shared" si="25"/>
        <v>0</v>
      </c>
      <c r="AW9" s="105">
        <f t="shared" si="26"/>
        <v>0</v>
      </c>
    </row>
    <row r="10" spans="1:54" x14ac:dyDescent="0.2">
      <c r="A10" s="106">
        <f t="shared" si="13"/>
        <v>5</v>
      </c>
      <c r="B10" s="106">
        <v>188728</v>
      </c>
      <c r="C10" s="106">
        <v>4586</v>
      </c>
      <c r="D10" s="106">
        <v>0</v>
      </c>
      <c r="E10" s="106"/>
      <c r="F10" s="106">
        <f t="shared" si="0"/>
        <v>193314</v>
      </c>
      <c r="G10" s="106"/>
      <c r="H10" s="106">
        <v>36484</v>
      </c>
      <c r="I10" s="106">
        <f t="shared" si="1"/>
        <v>35712</v>
      </c>
      <c r="J10" s="106"/>
      <c r="K10" s="106">
        <f t="shared" si="2"/>
        <v>157602</v>
      </c>
      <c r="L10" s="106"/>
      <c r="M10" s="106">
        <v>217569</v>
      </c>
      <c r="N10" s="106"/>
      <c r="O10" s="112">
        <v>163978</v>
      </c>
      <c r="P10" s="109">
        <f t="shared" si="3"/>
        <v>209</v>
      </c>
      <c r="Q10" s="113">
        <f t="shared" si="4"/>
        <v>164187</v>
      </c>
      <c r="R10" s="106"/>
      <c r="S10" s="106">
        <f t="shared" si="5"/>
        <v>6585</v>
      </c>
      <c r="T10" s="106"/>
      <c r="U10" s="115">
        <v>2.895</v>
      </c>
      <c r="V10" s="114">
        <f t="shared" si="6"/>
        <v>18997.725000000002</v>
      </c>
      <c r="W10" s="161">
        <f t="shared" si="7"/>
        <v>2.7674999999999996</v>
      </c>
      <c r="X10" s="161">
        <f t="shared" si="8"/>
        <v>-0.1375000000000004</v>
      </c>
      <c r="Y10" s="162">
        <f t="shared" si="9"/>
        <v>-905.43750000000261</v>
      </c>
      <c r="AB10" s="105">
        <f t="shared" si="14"/>
        <v>419</v>
      </c>
      <c r="AC10" s="105">
        <f t="shared" si="15"/>
        <v>19</v>
      </c>
      <c r="AD10" s="105">
        <f t="shared" si="16"/>
        <v>15</v>
      </c>
      <c r="AE10" s="105">
        <f t="shared" si="17"/>
        <v>100</v>
      </c>
      <c r="AF10" s="105">
        <f t="shared" si="18"/>
        <v>276</v>
      </c>
      <c r="AG10" s="105">
        <f t="shared" si="19"/>
        <v>8</v>
      </c>
      <c r="AI10" s="105">
        <f t="shared" si="11"/>
        <v>837</v>
      </c>
      <c r="AK10" s="105">
        <f t="shared" si="20"/>
        <v>0</v>
      </c>
      <c r="AL10" s="105">
        <v>0</v>
      </c>
      <c r="AM10" s="105">
        <v>0</v>
      </c>
      <c r="AN10" s="105">
        <f t="shared" si="21"/>
        <v>209</v>
      </c>
      <c r="AO10" s="105">
        <f t="shared" si="22"/>
        <v>0</v>
      </c>
      <c r="AP10" s="105">
        <f t="shared" si="23"/>
        <v>0</v>
      </c>
      <c r="AQ10" s="105">
        <f t="shared" si="24"/>
        <v>0</v>
      </c>
      <c r="AS10" s="105">
        <f t="shared" si="12"/>
        <v>209</v>
      </c>
      <c r="AU10" s="105">
        <f t="shared" si="27"/>
        <v>0</v>
      </c>
      <c r="AV10" s="105">
        <v>1781</v>
      </c>
      <c r="AW10" s="105">
        <f t="shared" si="26"/>
        <v>0</v>
      </c>
    </row>
    <row r="11" spans="1:54" x14ac:dyDescent="0.2">
      <c r="A11" s="106">
        <f t="shared" si="13"/>
        <v>6</v>
      </c>
      <c r="B11" s="106">
        <v>178965</v>
      </c>
      <c r="C11" s="106">
        <v>4685</v>
      </c>
      <c r="D11" s="106">
        <v>0</v>
      </c>
      <c r="E11" s="106"/>
      <c r="F11" s="106">
        <f t="shared" si="0"/>
        <v>183650</v>
      </c>
      <c r="G11" s="106"/>
      <c r="H11" s="106">
        <v>35808</v>
      </c>
      <c r="I11" s="106">
        <f t="shared" si="1"/>
        <v>35050</v>
      </c>
      <c r="J11" s="106"/>
      <c r="K11" s="106">
        <f t="shared" si="2"/>
        <v>148600</v>
      </c>
      <c r="L11" s="106"/>
      <c r="M11" s="106">
        <v>217569</v>
      </c>
      <c r="N11" s="106"/>
      <c r="O11" s="112">
        <v>163978</v>
      </c>
      <c r="P11" s="109">
        <f t="shared" si="3"/>
        <v>209</v>
      </c>
      <c r="Q11" s="113">
        <f t="shared" si="4"/>
        <v>164187</v>
      </c>
      <c r="R11" s="106"/>
      <c r="S11" s="106">
        <f t="shared" si="5"/>
        <v>15587</v>
      </c>
      <c r="T11" s="106"/>
      <c r="U11" s="115">
        <v>2.895</v>
      </c>
      <c r="V11" s="114">
        <f t="shared" si="6"/>
        <v>44968.495000000003</v>
      </c>
      <c r="W11" s="161">
        <f t="shared" si="7"/>
        <v>2.7674999999999996</v>
      </c>
      <c r="X11" s="161">
        <f t="shared" si="8"/>
        <v>-0.1375000000000004</v>
      </c>
      <c r="Y11" s="162">
        <f t="shared" si="9"/>
        <v>-2143.212500000006</v>
      </c>
      <c r="AB11" s="105">
        <f t="shared" si="14"/>
        <v>419</v>
      </c>
      <c r="AC11" s="105">
        <f t="shared" si="15"/>
        <v>19</v>
      </c>
      <c r="AD11" s="105">
        <f t="shared" si="16"/>
        <v>15</v>
      </c>
      <c r="AE11" s="105">
        <f t="shared" si="17"/>
        <v>100</v>
      </c>
      <c r="AF11" s="105">
        <f t="shared" si="18"/>
        <v>276</v>
      </c>
      <c r="AG11" s="105">
        <f t="shared" si="19"/>
        <v>8</v>
      </c>
      <c r="AI11" s="105">
        <f t="shared" si="11"/>
        <v>837</v>
      </c>
      <c r="AK11" s="105">
        <f t="shared" si="20"/>
        <v>0</v>
      </c>
      <c r="AL11" s="105">
        <f t="shared" ref="AL11:AL34" si="28">+AL10</f>
        <v>0</v>
      </c>
      <c r="AM11" s="105">
        <f>+AM10</f>
        <v>0</v>
      </c>
      <c r="AN11" s="105">
        <f t="shared" si="21"/>
        <v>209</v>
      </c>
      <c r="AO11" s="105">
        <f t="shared" si="22"/>
        <v>0</v>
      </c>
      <c r="AP11" s="105">
        <f t="shared" si="23"/>
        <v>0</v>
      </c>
      <c r="AQ11" s="105">
        <f t="shared" si="24"/>
        <v>0</v>
      </c>
      <c r="AS11" s="105">
        <f t="shared" si="12"/>
        <v>209</v>
      </c>
      <c r="AU11" s="105">
        <f t="shared" si="27"/>
        <v>0</v>
      </c>
      <c r="AV11" s="105">
        <f t="shared" si="25"/>
        <v>1781</v>
      </c>
      <c r="AW11" s="105">
        <f t="shared" si="26"/>
        <v>0</v>
      </c>
    </row>
    <row r="12" spans="1:54" x14ac:dyDescent="0.2">
      <c r="A12" s="106">
        <f t="shared" si="13"/>
        <v>7</v>
      </c>
      <c r="B12" s="106">
        <v>177505</v>
      </c>
      <c r="C12" s="106">
        <v>4244</v>
      </c>
      <c r="D12" s="106">
        <v>0</v>
      </c>
      <c r="E12" s="106"/>
      <c r="F12" s="106">
        <f t="shared" si="0"/>
        <v>181749</v>
      </c>
      <c r="G12" s="106"/>
      <c r="H12" s="106">
        <v>25090</v>
      </c>
      <c r="I12" s="106">
        <f t="shared" si="1"/>
        <v>24559</v>
      </c>
      <c r="J12" s="106"/>
      <c r="K12" s="106">
        <f t="shared" si="2"/>
        <v>157190</v>
      </c>
      <c r="L12" s="106"/>
      <c r="M12" s="106">
        <v>217569</v>
      </c>
      <c r="N12" s="106"/>
      <c r="O12" s="112">
        <v>163978</v>
      </c>
      <c r="P12" s="109">
        <f t="shared" si="3"/>
        <v>209</v>
      </c>
      <c r="Q12" s="113">
        <f t="shared" si="4"/>
        <v>164187</v>
      </c>
      <c r="R12" s="106"/>
      <c r="S12" s="106">
        <f t="shared" si="5"/>
        <v>6997</v>
      </c>
      <c r="T12" s="106"/>
      <c r="U12" s="115">
        <v>2.895</v>
      </c>
      <c r="V12" s="114">
        <f t="shared" si="6"/>
        <v>20186.345000000001</v>
      </c>
      <c r="W12" s="161">
        <f t="shared" si="7"/>
        <v>2.7674999999999996</v>
      </c>
      <c r="X12" s="161">
        <f t="shared" si="8"/>
        <v>-0.1375000000000004</v>
      </c>
      <c r="Y12" s="162">
        <f t="shared" si="9"/>
        <v>-962.08750000000282</v>
      </c>
      <c r="AB12" s="105">
        <f t="shared" si="14"/>
        <v>419</v>
      </c>
      <c r="AC12" s="105">
        <f t="shared" si="15"/>
        <v>19</v>
      </c>
      <c r="AD12" s="105">
        <f t="shared" si="16"/>
        <v>15</v>
      </c>
      <c r="AE12" s="105">
        <f t="shared" si="17"/>
        <v>100</v>
      </c>
      <c r="AF12" s="105">
        <f t="shared" si="18"/>
        <v>276</v>
      </c>
      <c r="AG12" s="105">
        <f t="shared" si="19"/>
        <v>8</v>
      </c>
      <c r="AI12" s="105">
        <f t="shared" si="11"/>
        <v>837</v>
      </c>
      <c r="AK12" s="105">
        <f t="shared" si="20"/>
        <v>0</v>
      </c>
      <c r="AL12" s="105">
        <f t="shared" si="28"/>
        <v>0</v>
      </c>
      <c r="AM12" s="105">
        <f t="shared" ref="AM12:AM34" si="29">+AM11</f>
        <v>0</v>
      </c>
      <c r="AN12" s="105">
        <f t="shared" si="21"/>
        <v>209</v>
      </c>
      <c r="AO12" s="105">
        <f t="shared" si="22"/>
        <v>0</v>
      </c>
      <c r="AP12" s="105">
        <f t="shared" si="23"/>
        <v>0</v>
      </c>
      <c r="AQ12" s="105">
        <f t="shared" si="24"/>
        <v>0</v>
      </c>
      <c r="AS12" s="105">
        <f t="shared" si="12"/>
        <v>209</v>
      </c>
      <c r="AU12" s="105">
        <f t="shared" si="27"/>
        <v>0</v>
      </c>
      <c r="AV12" s="105">
        <f t="shared" si="25"/>
        <v>1781</v>
      </c>
      <c r="AW12" s="105">
        <f t="shared" si="26"/>
        <v>0</v>
      </c>
    </row>
    <row r="13" spans="1:54" x14ac:dyDescent="0.2">
      <c r="A13" s="106">
        <f t="shared" si="13"/>
        <v>8</v>
      </c>
      <c r="B13" s="106">
        <v>176227</v>
      </c>
      <c r="C13" s="106">
        <v>4013</v>
      </c>
      <c r="D13" s="106">
        <v>0</v>
      </c>
      <c r="E13" s="106"/>
      <c r="F13" s="106">
        <f t="shared" si="0"/>
        <v>180240</v>
      </c>
      <c r="G13" s="106"/>
      <c r="H13" s="106">
        <v>27603</v>
      </c>
      <c r="I13" s="106">
        <f t="shared" si="1"/>
        <v>27019</v>
      </c>
      <c r="J13" s="106"/>
      <c r="K13" s="106">
        <f t="shared" si="2"/>
        <v>153221</v>
      </c>
      <c r="L13" s="106"/>
      <c r="M13" s="106">
        <v>217569</v>
      </c>
      <c r="N13" s="106"/>
      <c r="O13" s="112">
        <v>163978</v>
      </c>
      <c r="P13" s="109">
        <f t="shared" si="3"/>
        <v>0</v>
      </c>
      <c r="Q13" s="113">
        <f t="shared" si="4"/>
        <v>163978</v>
      </c>
      <c r="R13" s="106"/>
      <c r="S13" s="106">
        <f t="shared" si="5"/>
        <v>10757</v>
      </c>
      <c r="T13" s="106"/>
      <c r="U13" s="115">
        <v>2.93</v>
      </c>
      <c r="V13" s="114">
        <f t="shared" si="6"/>
        <v>31410.440000000002</v>
      </c>
      <c r="W13" s="161">
        <f t="shared" si="7"/>
        <v>2.7674999999999996</v>
      </c>
      <c r="X13" s="161">
        <f t="shared" si="8"/>
        <v>-0.17250000000000054</v>
      </c>
      <c r="Y13" s="162">
        <f t="shared" si="9"/>
        <v>-1855.5825000000059</v>
      </c>
      <c r="AB13" s="105">
        <f t="shared" si="14"/>
        <v>419</v>
      </c>
      <c r="AC13" s="105">
        <f t="shared" si="15"/>
        <v>19</v>
      </c>
      <c r="AD13" s="105">
        <f t="shared" si="16"/>
        <v>15</v>
      </c>
      <c r="AE13" s="105">
        <f t="shared" si="17"/>
        <v>100</v>
      </c>
      <c r="AF13" s="105">
        <f t="shared" si="18"/>
        <v>276</v>
      </c>
      <c r="AG13" s="105">
        <f t="shared" si="19"/>
        <v>8</v>
      </c>
      <c r="AI13" s="105">
        <f t="shared" si="11"/>
        <v>837</v>
      </c>
      <c r="AK13" s="105">
        <f t="shared" si="20"/>
        <v>0</v>
      </c>
      <c r="AL13" s="105">
        <f t="shared" si="28"/>
        <v>0</v>
      </c>
      <c r="AM13" s="105">
        <f t="shared" si="29"/>
        <v>0</v>
      </c>
      <c r="AN13" s="105">
        <v>0</v>
      </c>
      <c r="AO13" s="105">
        <f t="shared" si="22"/>
        <v>0</v>
      </c>
      <c r="AP13" s="105">
        <f t="shared" si="23"/>
        <v>0</v>
      </c>
      <c r="AQ13" s="105">
        <f t="shared" si="24"/>
        <v>0</v>
      </c>
      <c r="AS13" s="105">
        <f t="shared" si="12"/>
        <v>0</v>
      </c>
      <c r="AU13" s="105">
        <f t="shared" si="27"/>
        <v>0</v>
      </c>
      <c r="AV13" s="105">
        <v>6700</v>
      </c>
      <c r="AW13" s="105">
        <f t="shared" si="26"/>
        <v>0</v>
      </c>
    </row>
    <row r="14" spans="1:54" x14ac:dyDescent="0.2">
      <c r="A14" s="106">
        <f t="shared" si="13"/>
        <v>9</v>
      </c>
      <c r="B14" s="106">
        <v>154208</v>
      </c>
      <c r="C14" s="106">
        <v>11536</v>
      </c>
      <c r="D14" s="106">
        <v>2849</v>
      </c>
      <c r="E14" s="106"/>
      <c r="F14" s="106">
        <f t="shared" si="0"/>
        <v>168593</v>
      </c>
      <c r="G14" s="106"/>
      <c r="H14" s="106">
        <v>44463</v>
      </c>
      <c r="I14" s="106">
        <f t="shared" si="1"/>
        <v>43522</v>
      </c>
      <c r="J14" s="106"/>
      <c r="K14" s="106">
        <f t="shared" si="2"/>
        <v>125071</v>
      </c>
      <c r="L14" s="106"/>
      <c r="M14" s="106">
        <v>217569</v>
      </c>
      <c r="N14" s="106"/>
      <c r="O14" s="112">
        <v>163978</v>
      </c>
      <c r="P14" s="109">
        <f t="shared" si="3"/>
        <v>700</v>
      </c>
      <c r="Q14" s="113">
        <f t="shared" si="4"/>
        <v>164678</v>
      </c>
      <c r="R14" s="106"/>
      <c r="S14" s="106">
        <f t="shared" si="5"/>
        <v>39607</v>
      </c>
      <c r="T14" s="106"/>
      <c r="U14" s="115">
        <v>2.99</v>
      </c>
      <c r="V14" s="114">
        <f t="shared" si="6"/>
        <v>118028.86000000002</v>
      </c>
      <c r="W14" s="161">
        <f t="shared" si="7"/>
        <v>2.7674999999999996</v>
      </c>
      <c r="X14" s="161">
        <f t="shared" si="8"/>
        <v>-0.2325000000000006</v>
      </c>
      <c r="Y14" s="162">
        <f t="shared" si="9"/>
        <v>-9208.6275000000242</v>
      </c>
      <c r="AB14" s="105">
        <f t="shared" si="14"/>
        <v>419</v>
      </c>
      <c r="AC14" s="105">
        <f t="shared" si="15"/>
        <v>19</v>
      </c>
      <c r="AD14" s="105">
        <f t="shared" si="16"/>
        <v>15</v>
      </c>
      <c r="AE14" s="105">
        <f t="shared" si="17"/>
        <v>100</v>
      </c>
      <c r="AF14" s="105">
        <f t="shared" si="18"/>
        <v>276</v>
      </c>
      <c r="AG14" s="105">
        <f t="shared" si="19"/>
        <v>8</v>
      </c>
      <c r="AI14" s="105">
        <f t="shared" si="11"/>
        <v>837</v>
      </c>
      <c r="AK14" s="105">
        <f t="shared" si="20"/>
        <v>0</v>
      </c>
      <c r="AL14" s="105">
        <f t="shared" si="28"/>
        <v>0</v>
      </c>
      <c r="AM14" s="105">
        <f t="shared" si="29"/>
        <v>0</v>
      </c>
      <c r="AN14" s="105">
        <f t="shared" si="21"/>
        <v>0</v>
      </c>
      <c r="AO14" s="105">
        <v>700</v>
      </c>
      <c r="AP14" s="105">
        <f t="shared" si="23"/>
        <v>0</v>
      </c>
      <c r="AQ14" s="105">
        <f t="shared" si="24"/>
        <v>0</v>
      </c>
      <c r="AS14" s="105">
        <f t="shared" si="12"/>
        <v>700</v>
      </c>
      <c r="AU14" s="105">
        <f t="shared" si="27"/>
        <v>0</v>
      </c>
      <c r="AV14" s="105">
        <v>0</v>
      </c>
      <c r="AW14" s="105">
        <v>197</v>
      </c>
    </row>
    <row r="15" spans="1:54" x14ac:dyDescent="0.2">
      <c r="A15" s="106">
        <f t="shared" si="13"/>
        <v>10</v>
      </c>
      <c r="B15" s="106">
        <v>149666</v>
      </c>
      <c r="C15" s="106">
        <v>11536</v>
      </c>
      <c r="D15" s="106">
        <v>3188</v>
      </c>
      <c r="E15" s="106"/>
      <c r="F15" s="106">
        <f t="shared" si="0"/>
        <v>164390</v>
      </c>
      <c r="G15" s="106"/>
      <c r="H15" s="106">
        <v>33259</v>
      </c>
      <c r="I15" s="106">
        <f t="shared" si="1"/>
        <v>32555</v>
      </c>
      <c r="J15" s="106"/>
      <c r="K15" s="106">
        <f t="shared" si="2"/>
        <v>131835</v>
      </c>
      <c r="L15" s="106"/>
      <c r="M15" s="106">
        <v>217569</v>
      </c>
      <c r="N15" s="106"/>
      <c r="O15" s="112">
        <v>163978</v>
      </c>
      <c r="P15" s="109">
        <f t="shared" si="3"/>
        <v>5555</v>
      </c>
      <c r="Q15" s="113">
        <f t="shared" si="4"/>
        <v>169533</v>
      </c>
      <c r="R15" s="106"/>
      <c r="S15" s="106">
        <f t="shared" si="5"/>
        <v>37698</v>
      </c>
      <c r="T15" s="106"/>
      <c r="U15" s="115">
        <v>2.76</v>
      </c>
      <c r="V15" s="114">
        <f t="shared" si="6"/>
        <v>103669.5</v>
      </c>
      <c r="W15" s="161">
        <f t="shared" si="7"/>
        <v>2.7674999999999996</v>
      </c>
      <c r="X15" s="161">
        <f t="shared" si="8"/>
        <v>-2.5000000000001601E-3</v>
      </c>
      <c r="Y15" s="162">
        <f t="shared" si="9"/>
        <v>-94.24500000000603</v>
      </c>
      <c r="AB15" s="105">
        <f t="shared" si="14"/>
        <v>419</v>
      </c>
      <c r="AC15" s="105">
        <f t="shared" si="15"/>
        <v>19</v>
      </c>
      <c r="AD15" s="105">
        <f t="shared" si="16"/>
        <v>15</v>
      </c>
      <c r="AE15" s="105">
        <f t="shared" si="17"/>
        <v>100</v>
      </c>
      <c r="AF15" s="105">
        <f t="shared" si="18"/>
        <v>276</v>
      </c>
      <c r="AG15" s="105">
        <f t="shared" si="19"/>
        <v>8</v>
      </c>
      <c r="AI15" s="105">
        <f t="shared" si="11"/>
        <v>837</v>
      </c>
      <c r="AK15" s="105">
        <v>2006</v>
      </c>
      <c r="AL15" s="105">
        <f t="shared" si="28"/>
        <v>0</v>
      </c>
      <c r="AM15" s="105">
        <f t="shared" si="29"/>
        <v>0</v>
      </c>
      <c r="AN15" s="105">
        <f t="shared" si="21"/>
        <v>0</v>
      </c>
      <c r="AO15" s="105">
        <f t="shared" si="22"/>
        <v>700</v>
      </c>
      <c r="AP15" s="105">
        <v>2849</v>
      </c>
      <c r="AQ15" s="105">
        <f t="shared" si="24"/>
        <v>0</v>
      </c>
      <c r="AS15" s="105">
        <f t="shared" si="12"/>
        <v>5555</v>
      </c>
      <c r="AU15" s="105">
        <f t="shared" si="27"/>
        <v>0</v>
      </c>
      <c r="AV15" s="105">
        <f t="shared" si="25"/>
        <v>0</v>
      </c>
      <c r="AW15" s="105">
        <v>0</v>
      </c>
    </row>
    <row r="16" spans="1:54" x14ac:dyDescent="0.2">
      <c r="A16" s="106">
        <f t="shared" si="13"/>
        <v>11</v>
      </c>
      <c r="B16" s="106">
        <v>190595</v>
      </c>
      <c r="C16" s="106">
        <v>11536</v>
      </c>
      <c r="D16" s="106">
        <v>10283</v>
      </c>
      <c r="E16" s="106"/>
      <c r="F16" s="106">
        <f t="shared" si="0"/>
        <v>212414</v>
      </c>
      <c r="G16" s="106"/>
      <c r="H16" s="106">
        <v>61505</v>
      </c>
      <c r="I16" s="106">
        <f t="shared" si="1"/>
        <v>60204</v>
      </c>
      <c r="J16" s="106"/>
      <c r="K16" s="106">
        <f t="shared" si="2"/>
        <v>152210</v>
      </c>
      <c r="L16" s="106"/>
      <c r="M16" s="106">
        <v>217569</v>
      </c>
      <c r="N16" s="106"/>
      <c r="O16" s="112">
        <v>163978</v>
      </c>
      <c r="P16" s="109">
        <f t="shared" si="3"/>
        <v>9521</v>
      </c>
      <c r="Q16" s="113">
        <f t="shared" si="4"/>
        <v>173499</v>
      </c>
      <c r="R16" s="106"/>
      <c r="S16" s="106">
        <f t="shared" si="5"/>
        <v>21289</v>
      </c>
      <c r="T16" s="106"/>
      <c r="U16" s="115">
        <v>2.77</v>
      </c>
      <c r="V16" s="114">
        <f t="shared" si="6"/>
        <v>58757.640000000007</v>
      </c>
      <c r="W16" s="161">
        <f t="shared" si="7"/>
        <v>2.7674999999999996</v>
      </c>
      <c r="X16" s="161">
        <f t="shared" si="8"/>
        <v>-1.2500000000000391E-2</v>
      </c>
      <c r="Y16" s="162">
        <f t="shared" si="9"/>
        <v>-266.11250000000831</v>
      </c>
      <c r="AB16" s="105">
        <f t="shared" si="14"/>
        <v>419</v>
      </c>
      <c r="AC16" s="105">
        <f t="shared" si="15"/>
        <v>19</v>
      </c>
      <c r="AD16" s="105">
        <f t="shared" si="16"/>
        <v>15</v>
      </c>
      <c r="AE16" s="105">
        <f t="shared" si="17"/>
        <v>100</v>
      </c>
      <c r="AF16" s="105">
        <f t="shared" si="18"/>
        <v>276</v>
      </c>
      <c r="AG16" s="105">
        <f t="shared" si="19"/>
        <v>8</v>
      </c>
      <c r="AI16" s="105">
        <f t="shared" si="11"/>
        <v>837</v>
      </c>
      <c r="AK16" s="105">
        <v>1306</v>
      </c>
      <c r="AL16" s="105">
        <f t="shared" si="28"/>
        <v>0</v>
      </c>
      <c r="AM16" s="105">
        <f t="shared" si="29"/>
        <v>0</v>
      </c>
      <c r="AN16" s="105">
        <f t="shared" si="21"/>
        <v>0</v>
      </c>
      <c r="AO16" s="105">
        <f t="shared" si="22"/>
        <v>700</v>
      </c>
      <c r="AP16" s="105">
        <v>7515</v>
      </c>
      <c r="AQ16" s="105">
        <f t="shared" si="24"/>
        <v>0</v>
      </c>
      <c r="AS16" s="105">
        <f t="shared" si="12"/>
        <v>9521</v>
      </c>
      <c r="AU16" s="105">
        <f t="shared" si="27"/>
        <v>0</v>
      </c>
      <c r="AV16" s="105">
        <f t="shared" si="25"/>
        <v>0</v>
      </c>
      <c r="AW16" s="105">
        <f t="shared" si="26"/>
        <v>0</v>
      </c>
    </row>
    <row r="17" spans="1:49" x14ac:dyDescent="0.2">
      <c r="A17" s="106">
        <f t="shared" si="13"/>
        <v>12</v>
      </c>
      <c r="B17" s="106">
        <v>174978</v>
      </c>
      <c r="C17" s="106">
        <v>11379</v>
      </c>
      <c r="D17" s="106">
        <v>2167</v>
      </c>
      <c r="E17" s="106"/>
      <c r="F17" s="106">
        <f t="shared" si="0"/>
        <v>188524</v>
      </c>
      <c r="G17" s="106"/>
      <c r="H17" s="106">
        <v>51456</v>
      </c>
      <c r="I17" s="106">
        <f t="shared" si="1"/>
        <v>50367</v>
      </c>
      <c r="J17" s="106"/>
      <c r="K17" s="106">
        <f t="shared" si="2"/>
        <v>138157</v>
      </c>
      <c r="L17" s="106"/>
      <c r="M17" s="106">
        <v>217569</v>
      </c>
      <c r="N17" s="106"/>
      <c r="O17" s="112">
        <v>163978</v>
      </c>
      <c r="P17" s="109">
        <f t="shared" si="3"/>
        <v>2006</v>
      </c>
      <c r="Q17" s="113">
        <f t="shared" si="4"/>
        <v>165984</v>
      </c>
      <c r="R17" s="106"/>
      <c r="S17" s="106">
        <f t="shared" si="5"/>
        <v>27827</v>
      </c>
      <c r="T17" s="106"/>
      <c r="U17" s="115">
        <v>2.7749999999999999</v>
      </c>
      <c r="V17" s="114">
        <f t="shared" si="6"/>
        <v>76941.654999999999</v>
      </c>
      <c r="W17" s="161">
        <f t="shared" si="7"/>
        <v>2.7674999999999996</v>
      </c>
      <c r="X17" s="161">
        <f t="shared" si="8"/>
        <v>-1.7500000000000286E-2</v>
      </c>
      <c r="Y17" s="162">
        <f t="shared" si="9"/>
        <v>-486.97250000000798</v>
      </c>
      <c r="AB17" s="105">
        <f t="shared" si="14"/>
        <v>419</v>
      </c>
      <c r="AC17" s="105">
        <f t="shared" si="15"/>
        <v>19</v>
      </c>
      <c r="AD17" s="105">
        <f t="shared" si="16"/>
        <v>15</v>
      </c>
      <c r="AE17" s="105">
        <f t="shared" si="17"/>
        <v>100</v>
      </c>
      <c r="AF17" s="105">
        <f t="shared" si="18"/>
        <v>276</v>
      </c>
      <c r="AG17" s="105">
        <f t="shared" si="19"/>
        <v>8</v>
      </c>
      <c r="AI17" s="105">
        <f t="shared" si="11"/>
        <v>837</v>
      </c>
      <c r="AK17" s="105">
        <f t="shared" si="20"/>
        <v>1306</v>
      </c>
      <c r="AL17" s="105">
        <f t="shared" si="28"/>
        <v>0</v>
      </c>
      <c r="AM17" s="105">
        <f t="shared" si="29"/>
        <v>0</v>
      </c>
      <c r="AN17" s="105">
        <f t="shared" si="21"/>
        <v>0</v>
      </c>
      <c r="AO17" s="105">
        <f t="shared" si="22"/>
        <v>700</v>
      </c>
      <c r="AP17" s="105">
        <v>0</v>
      </c>
      <c r="AQ17" s="105">
        <f t="shared" si="24"/>
        <v>0</v>
      </c>
      <c r="AS17" s="105">
        <f t="shared" si="12"/>
        <v>2006</v>
      </c>
      <c r="AU17" s="105">
        <f t="shared" si="27"/>
        <v>0</v>
      </c>
      <c r="AV17" s="105">
        <f t="shared" si="25"/>
        <v>0</v>
      </c>
      <c r="AW17" s="105">
        <f t="shared" si="26"/>
        <v>0</v>
      </c>
    </row>
    <row r="18" spans="1:49" x14ac:dyDescent="0.2">
      <c r="A18" s="106">
        <f t="shared" si="13"/>
        <v>13</v>
      </c>
      <c r="B18" s="106">
        <v>160162</v>
      </c>
      <c r="C18" s="106">
        <v>11393</v>
      </c>
      <c r="D18" s="106">
        <v>2167</v>
      </c>
      <c r="E18" s="106"/>
      <c r="F18" s="106">
        <f t="shared" si="0"/>
        <v>173722</v>
      </c>
      <c r="G18" s="106"/>
      <c r="H18" s="106">
        <v>48641</v>
      </c>
      <c r="I18" s="106">
        <f t="shared" si="1"/>
        <v>47612</v>
      </c>
      <c r="J18" s="106"/>
      <c r="K18" s="106">
        <f t="shared" si="2"/>
        <v>126110</v>
      </c>
      <c r="L18" s="106"/>
      <c r="M18" s="106">
        <v>217569</v>
      </c>
      <c r="N18" s="106"/>
      <c r="O18" s="112">
        <v>163978</v>
      </c>
      <c r="P18" s="109">
        <f t="shared" si="3"/>
        <v>2006</v>
      </c>
      <c r="Q18" s="113">
        <f t="shared" si="4"/>
        <v>165984</v>
      </c>
      <c r="R18" s="106"/>
      <c r="S18" s="106">
        <f t="shared" si="5"/>
        <v>39874</v>
      </c>
      <c r="T18" s="106"/>
      <c r="U18" s="115">
        <v>2.7749999999999999</v>
      </c>
      <c r="V18" s="114">
        <f t="shared" si="6"/>
        <v>110251.61</v>
      </c>
      <c r="W18" s="161">
        <f t="shared" si="7"/>
        <v>2.7674999999999996</v>
      </c>
      <c r="X18" s="161">
        <f t="shared" si="8"/>
        <v>-1.7500000000000286E-2</v>
      </c>
      <c r="Y18" s="162">
        <f t="shared" si="9"/>
        <v>-697.79500000001144</v>
      </c>
      <c r="AB18" s="105">
        <f t="shared" si="14"/>
        <v>419</v>
      </c>
      <c r="AC18" s="105">
        <f t="shared" si="15"/>
        <v>19</v>
      </c>
      <c r="AD18" s="105">
        <f t="shared" si="16"/>
        <v>15</v>
      </c>
      <c r="AE18" s="105">
        <f t="shared" si="17"/>
        <v>100</v>
      </c>
      <c r="AF18" s="105">
        <f t="shared" si="18"/>
        <v>276</v>
      </c>
      <c r="AG18" s="105">
        <f t="shared" si="19"/>
        <v>8</v>
      </c>
      <c r="AI18" s="105">
        <f t="shared" si="11"/>
        <v>837</v>
      </c>
      <c r="AK18" s="105">
        <f t="shared" si="20"/>
        <v>1306</v>
      </c>
      <c r="AL18" s="105">
        <f t="shared" si="28"/>
        <v>0</v>
      </c>
      <c r="AM18" s="105">
        <f t="shared" si="29"/>
        <v>0</v>
      </c>
      <c r="AN18" s="105">
        <f t="shared" si="21"/>
        <v>0</v>
      </c>
      <c r="AO18" s="105">
        <f t="shared" si="22"/>
        <v>700</v>
      </c>
      <c r="AP18" s="105">
        <f t="shared" si="23"/>
        <v>0</v>
      </c>
      <c r="AQ18" s="105">
        <f t="shared" si="24"/>
        <v>0</v>
      </c>
      <c r="AS18" s="105">
        <f t="shared" si="12"/>
        <v>2006</v>
      </c>
      <c r="AU18" s="105">
        <f t="shared" si="27"/>
        <v>0</v>
      </c>
      <c r="AV18" s="105">
        <f t="shared" si="25"/>
        <v>0</v>
      </c>
      <c r="AW18" s="105">
        <f t="shared" si="26"/>
        <v>0</v>
      </c>
    </row>
    <row r="19" spans="1:49" x14ac:dyDescent="0.2">
      <c r="A19" s="106">
        <f t="shared" si="13"/>
        <v>14</v>
      </c>
      <c r="B19" s="106">
        <v>176724</v>
      </c>
      <c r="C19" s="106">
        <v>11536</v>
      </c>
      <c r="D19" s="106">
        <v>2167</v>
      </c>
      <c r="E19" s="106"/>
      <c r="F19" s="106">
        <f t="shared" si="0"/>
        <v>190427</v>
      </c>
      <c r="G19" s="106"/>
      <c r="H19" s="106">
        <v>56415</v>
      </c>
      <c r="I19" s="106">
        <f t="shared" si="1"/>
        <v>55221</v>
      </c>
      <c r="J19" s="106"/>
      <c r="K19" s="106">
        <f t="shared" si="2"/>
        <v>135206</v>
      </c>
      <c r="L19" s="106"/>
      <c r="M19" s="106">
        <v>217569</v>
      </c>
      <c r="N19" s="106"/>
      <c r="O19" s="112">
        <v>163978</v>
      </c>
      <c r="P19" s="109">
        <f t="shared" si="3"/>
        <v>2006</v>
      </c>
      <c r="Q19" s="113">
        <f t="shared" si="4"/>
        <v>165984</v>
      </c>
      <c r="R19" s="106"/>
      <c r="S19" s="106">
        <f t="shared" si="5"/>
        <v>30778</v>
      </c>
      <c r="T19" s="106"/>
      <c r="U19" s="115">
        <v>2.7749999999999999</v>
      </c>
      <c r="V19" s="114">
        <f t="shared" si="6"/>
        <v>85101.17</v>
      </c>
      <c r="W19" s="161">
        <f t="shared" si="7"/>
        <v>2.7674999999999996</v>
      </c>
      <c r="X19" s="161">
        <f t="shared" si="8"/>
        <v>-1.7500000000000286E-2</v>
      </c>
      <c r="Y19" s="162">
        <f t="shared" si="9"/>
        <v>-538.61500000000876</v>
      </c>
      <c r="AB19" s="105">
        <f t="shared" si="14"/>
        <v>419</v>
      </c>
      <c r="AC19" s="105">
        <f t="shared" si="15"/>
        <v>19</v>
      </c>
      <c r="AD19" s="105">
        <f t="shared" si="16"/>
        <v>15</v>
      </c>
      <c r="AE19" s="105">
        <f t="shared" si="17"/>
        <v>100</v>
      </c>
      <c r="AF19" s="105">
        <f t="shared" si="18"/>
        <v>276</v>
      </c>
      <c r="AG19" s="105">
        <f t="shared" si="19"/>
        <v>8</v>
      </c>
      <c r="AI19" s="105">
        <f t="shared" si="11"/>
        <v>837</v>
      </c>
      <c r="AK19" s="105">
        <f t="shared" si="20"/>
        <v>1306</v>
      </c>
      <c r="AL19" s="105">
        <f t="shared" si="28"/>
        <v>0</v>
      </c>
      <c r="AM19" s="105">
        <f t="shared" si="29"/>
        <v>0</v>
      </c>
      <c r="AN19" s="105">
        <f t="shared" si="21"/>
        <v>0</v>
      </c>
      <c r="AO19" s="105">
        <f t="shared" si="22"/>
        <v>700</v>
      </c>
      <c r="AP19" s="105">
        <f t="shared" si="23"/>
        <v>0</v>
      </c>
      <c r="AQ19" s="105">
        <f t="shared" si="24"/>
        <v>0</v>
      </c>
      <c r="AS19" s="105">
        <f t="shared" si="12"/>
        <v>2006</v>
      </c>
      <c r="AU19" s="105">
        <f t="shared" si="27"/>
        <v>0</v>
      </c>
      <c r="AV19" s="105">
        <f t="shared" si="25"/>
        <v>0</v>
      </c>
      <c r="AW19" s="105">
        <f t="shared" si="26"/>
        <v>0</v>
      </c>
    </row>
    <row r="20" spans="1:49" x14ac:dyDescent="0.2">
      <c r="A20" s="106">
        <f t="shared" si="13"/>
        <v>15</v>
      </c>
      <c r="B20" s="106">
        <v>152449</v>
      </c>
      <c r="C20" s="106">
        <v>11536</v>
      </c>
      <c r="D20" s="106">
        <v>20432</v>
      </c>
      <c r="E20" s="106"/>
      <c r="F20" s="106">
        <f t="shared" si="0"/>
        <v>184417</v>
      </c>
      <c r="G20" s="106"/>
      <c r="H20" s="106">
        <v>44517</v>
      </c>
      <c r="I20" s="106">
        <f t="shared" si="1"/>
        <v>43575</v>
      </c>
      <c r="J20" s="106"/>
      <c r="K20" s="106">
        <f t="shared" si="2"/>
        <v>140842</v>
      </c>
      <c r="L20" s="106"/>
      <c r="M20" s="106">
        <v>217569</v>
      </c>
      <c r="N20" s="106"/>
      <c r="O20" s="112">
        <v>163978</v>
      </c>
      <c r="P20" s="109">
        <f t="shared" si="3"/>
        <v>4856</v>
      </c>
      <c r="Q20" s="113">
        <f t="shared" si="4"/>
        <v>168834</v>
      </c>
      <c r="R20" s="106"/>
      <c r="S20" s="106">
        <f t="shared" si="5"/>
        <v>27992</v>
      </c>
      <c r="T20" s="106"/>
      <c r="U20" s="115">
        <v>2.7450000000000001</v>
      </c>
      <c r="V20" s="114">
        <f t="shared" si="6"/>
        <v>76558.12000000001</v>
      </c>
      <c r="W20" s="161">
        <f t="shared" si="7"/>
        <v>2.7674999999999996</v>
      </c>
      <c r="X20" s="161">
        <f t="shared" si="8"/>
        <v>1.249999999999952E-2</v>
      </c>
      <c r="Y20" s="162">
        <f t="shared" si="9"/>
        <v>349.89999999998656</v>
      </c>
      <c r="AB20" s="105">
        <f t="shared" si="14"/>
        <v>419</v>
      </c>
      <c r="AC20" s="105">
        <f t="shared" si="15"/>
        <v>19</v>
      </c>
      <c r="AD20" s="105">
        <f t="shared" si="16"/>
        <v>15</v>
      </c>
      <c r="AE20" s="105">
        <f t="shared" si="17"/>
        <v>100</v>
      </c>
      <c r="AF20" s="105">
        <f t="shared" si="18"/>
        <v>276</v>
      </c>
      <c r="AG20" s="105">
        <f t="shared" si="19"/>
        <v>8</v>
      </c>
      <c r="AI20" s="105">
        <f t="shared" si="11"/>
        <v>837</v>
      </c>
      <c r="AK20" s="105">
        <f t="shared" si="20"/>
        <v>1306</v>
      </c>
      <c r="AL20" s="105">
        <f t="shared" si="28"/>
        <v>0</v>
      </c>
      <c r="AM20" s="105">
        <f t="shared" si="29"/>
        <v>0</v>
      </c>
      <c r="AN20" s="105">
        <f t="shared" si="21"/>
        <v>0</v>
      </c>
      <c r="AO20" s="105">
        <f t="shared" si="22"/>
        <v>700</v>
      </c>
      <c r="AP20" s="105">
        <v>2850</v>
      </c>
      <c r="AQ20" s="105">
        <f t="shared" si="24"/>
        <v>0</v>
      </c>
      <c r="AS20" s="105">
        <f t="shared" si="12"/>
        <v>4856</v>
      </c>
      <c r="AU20" s="105">
        <f t="shared" si="27"/>
        <v>0</v>
      </c>
      <c r="AV20" s="105">
        <f t="shared" si="25"/>
        <v>0</v>
      </c>
      <c r="AW20" s="105">
        <v>197</v>
      </c>
    </row>
    <row r="21" spans="1:49" x14ac:dyDescent="0.2">
      <c r="A21" s="106">
        <f t="shared" si="13"/>
        <v>16</v>
      </c>
      <c r="B21" s="106">
        <v>165991</v>
      </c>
      <c r="C21" s="106">
        <v>11536</v>
      </c>
      <c r="D21" s="106">
        <v>20482</v>
      </c>
      <c r="E21" s="106"/>
      <c r="F21" s="106">
        <f t="shared" si="0"/>
        <v>198009</v>
      </c>
      <c r="G21" s="106"/>
      <c r="H21" s="106">
        <v>54202</v>
      </c>
      <c r="I21" s="106">
        <f t="shared" si="1"/>
        <v>53055</v>
      </c>
      <c r="J21" s="106"/>
      <c r="K21" s="106">
        <f t="shared" si="2"/>
        <v>144954</v>
      </c>
      <c r="L21" s="106"/>
      <c r="M21" s="106">
        <v>217569</v>
      </c>
      <c r="N21" s="106"/>
      <c r="O21" s="112">
        <v>163978</v>
      </c>
      <c r="P21" s="109">
        <f t="shared" si="3"/>
        <v>2006</v>
      </c>
      <c r="Q21" s="113">
        <f t="shared" si="4"/>
        <v>165984</v>
      </c>
      <c r="R21" s="106"/>
      <c r="S21" s="106">
        <f t="shared" si="5"/>
        <v>21030</v>
      </c>
      <c r="T21" s="106"/>
      <c r="U21" s="115">
        <v>2.7549999999999999</v>
      </c>
      <c r="V21" s="114">
        <f t="shared" si="6"/>
        <v>57727.350000000006</v>
      </c>
      <c r="W21" s="161">
        <f t="shared" si="7"/>
        <v>2.7674999999999996</v>
      </c>
      <c r="X21" s="161">
        <f t="shared" si="8"/>
        <v>2.4999999999997333E-3</v>
      </c>
      <c r="Y21" s="162">
        <f t="shared" si="9"/>
        <v>52.57499999999439</v>
      </c>
      <c r="AB21" s="105">
        <f t="shared" si="14"/>
        <v>419</v>
      </c>
      <c r="AC21" s="105">
        <f t="shared" si="15"/>
        <v>19</v>
      </c>
      <c r="AD21" s="105">
        <f t="shared" si="16"/>
        <v>15</v>
      </c>
      <c r="AE21" s="105">
        <f t="shared" si="17"/>
        <v>100</v>
      </c>
      <c r="AF21" s="105">
        <f t="shared" si="18"/>
        <v>276</v>
      </c>
      <c r="AG21" s="105">
        <f t="shared" si="19"/>
        <v>8</v>
      </c>
      <c r="AI21" s="105">
        <f t="shared" si="11"/>
        <v>837</v>
      </c>
      <c r="AK21" s="105">
        <f t="shared" si="20"/>
        <v>1306</v>
      </c>
      <c r="AL21" s="105">
        <f t="shared" si="28"/>
        <v>0</v>
      </c>
      <c r="AM21" s="105">
        <f t="shared" si="29"/>
        <v>0</v>
      </c>
      <c r="AN21" s="105">
        <f t="shared" si="21"/>
        <v>0</v>
      </c>
      <c r="AO21" s="105">
        <f t="shared" si="22"/>
        <v>700</v>
      </c>
      <c r="AP21" s="105">
        <v>0</v>
      </c>
      <c r="AQ21" s="105">
        <f t="shared" si="24"/>
        <v>0</v>
      </c>
      <c r="AS21" s="105">
        <f t="shared" si="12"/>
        <v>2006</v>
      </c>
      <c r="AU21" s="105">
        <f t="shared" si="27"/>
        <v>0</v>
      </c>
      <c r="AV21" s="105">
        <f t="shared" si="25"/>
        <v>0</v>
      </c>
      <c r="AW21" s="105">
        <v>0</v>
      </c>
    </row>
    <row r="22" spans="1:49" x14ac:dyDescent="0.2">
      <c r="A22" s="106">
        <f t="shared" si="13"/>
        <v>17</v>
      </c>
      <c r="B22" s="106">
        <v>162322</v>
      </c>
      <c r="C22" s="106">
        <v>13774</v>
      </c>
      <c r="D22" s="106">
        <v>14087</v>
      </c>
      <c r="E22" s="106"/>
      <c r="F22" s="106">
        <f t="shared" si="0"/>
        <v>190183</v>
      </c>
      <c r="G22" s="106"/>
      <c r="H22" s="106">
        <v>47251</v>
      </c>
      <c r="I22" s="106">
        <f t="shared" si="1"/>
        <v>46251</v>
      </c>
      <c r="J22" s="106"/>
      <c r="K22" s="106">
        <f t="shared" si="2"/>
        <v>143932</v>
      </c>
      <c r="L22" s="106"/>
      <c r="M22" s="106">
        <v>217569</v>
      </c>
      <c r="N22" s="106"/>
      <c r="O22" s="112">
        <v>163978</v>
      </c>
      <c r="P22" s="109">
        <f t="shared" si="3"/>
        <v>2006</v>
      </c>
      <c r="Q22" s="113">
        <f t="shared" si="4"/>
        <v>165984</v>
      </c>
      <c r="R22" s="106"/>
      <c r="S22" s="106">
        <f t="shared" si="5"/>
        <v>22052</v>
      </c>
      <c r="T22" s="106"/>
      <c r="U22" s="115">
        <v>2.7850000000000001</v>
      </c>
      <c r="V22" s="114">
        <f t="shared" si="6"/>
        <v>61194.30000000001</v>
      </c>
      <c r="W22" s="161">
        <f t="shared" si="7"/>
        <v>2.7674999999999996</v>
      </c>
      <c r="X22" s="161">
        <f t="shared" si="8"/>
        <v>-2.7500000000000517E-2</v>
      </c>
      <c r="Y22" s="162">
        <f t="shared" si="9"/>
        <v>-606.43000000001143</v>
      </c>
      <c r="AB22" s="105">
        <f t="shared" si="14"/>
        <v>419</v>
      </c>
      <c r="AC22" s="105">
        <f t="shared" si="15"/>
        <v>19</v>
      </c>
      <c r="AD22" s="105">
        <f t="shared" si="16"/>
        <v>15</v>
      </c>
      <c r="AE22" s="105">
        <f t="shared" si="17"/>
        <v>100</v>
      </c>
      <c r="AF22" s="105">
        <f t="shared" si="18"/>
        <v>276</v>
      </c>
      <c r="AG22" s="105">
        <f t="shared" si="19"/>
        <v>8</v>
      </c>
      <c r="AI22" s="105">
        <f t="shared" si="11"/>
        <v>837</v>
      </c>
      <c r="AK22" s="105">
        <f t="shared" si="20"/>
        <v>1306</v>
      </c>
      <c r="AL22" s="105">
        <f t="shared" si="28"/>
        <v>0</v>
      </c>
      <c r="AM22" s="105">
        <f t="shared" si="29"/>
        <v>0</v>
      </c>
      <c r="AN22" s="105">
        <f t="shared" si="21"/>
        <v>0</v>
      </c>
      <c r="AO22" s="105">
        <f t="shared" si="22"/>
        <v>700</v>
      </c>
      <c r="AP22" s="105">
        <f t="shared" si="23"/>
        <v>0</v>
      </c>
      <c r="AQ22" s="105">
        <f t="shared" si="24"/>
        <v>0</v>
      </c>
      <c r="AS22" s="105">
        <f t="shared" si="12"/>
        <v>2006</v>
      </c>
      <c r="AU22" s="105">
        <f t="shared" si="27"/>
        <v>0</v>
      </c>
      <c r="AV22" s="105">
        <f t="shared" si="25"/>
        <v>0</v>
      </c>
      <c r="AW22" s="105">
        <f t="shared" si="26"/>
        <v>0</v>
      </c>
    </row>
    <row r="23" spans="1:49" x14ac:dyDescent="0.2">
      <c r="A23" s="106">
        <f t="shared" si="13"/>
        <v>18</v>
      </c>
      <c r="B23" s="106">
        <v>163100</v>
      </c>
      <c r="C23" s="106">
        <v>11113</v>
      </c>
      <c r="D23" s="106">
        <v>14087</v>
      </c>
      <c r="E23" s="106"/>
      <c r="F23" s="106">
        <f t="shared" si="0"/>
        <v>188300</v>
      </c>
      <c r="G23" s="106"/>
      <c r="H23" s="106">
        <v>54550</v>
      </c>
      <c r="I23" s="106">
        <f t="shared" si="1"/>
        <v>53396</v>
      </c>
      <c r="J23" s="106"/>
      <c r="K23" s="106">
        <f t="shared" si="2"/>
        <v>134904</v>
      </c>
      <c r="L23" s="106"/>
      <c r="M23" s="106">
        <v>217569</v>
      </c>
      <c r="N23" s="106"/>
      <c r="O23" s="112">
        <v>163978</v>
      </c>
      <c r="P23" s="109">
        <f t="shared" si="3"/>
        <v>9006</v>
      </c>
      <c r="Q23" s="113">
        <f t="shared" si="4"/>
        <v>172984</v>
      </c>
      <c r="R23" s="106"/>
      <c r="S23" s="106">
        <f t="shared" si="5"/>
        <v>38080</v>
      </c>
      <c r="T23" s="106"/>
      <c r="U23" s="115">
        <v>2.79</v>
      </c>
      <c r="V23" s="114">
        <f t="shared" si="6"/>
        <v>105862.40000000001</v>
      </c>
      <c r="W23" s="161">
        <f t="shared" si="7"/>
        <v>2.7674999999999996</v>
      </c>
      <c r="X23" s="161">
        <f t="shared" si="8"/>
        <v>-3.2500000000000411E-2</v>
      </c>
      <c r="Y23" s="162">
        <f t="shared" si="9"/>
        <v>-1237.6000000000156</v>
      </c>
      <c r="AB23" s="105">
        <f t="shared" si="14"/>
        <v>419</v>
      </c>
      <c r="AC23" s="105">
        <f t="shared" si="15"/>
        <v>19</v>
      </c>
      <c r="AD23" s="105">
        <f t="shared" si="16"/>
        <v>15</v>
      </c>
      <c r="AE23" s="105">
        <f t="shared" si="17"/>
        <v>100</v>
      </c>
      <c r="AF23" s="105">
        <f t="shared" si="18"/>
        <v>276</v>
      </c>
      <c r="AG23" s="105">
        <f t="shared" si="19"/>
        <v>8</v>
      </c>
      <c r="AI23" s="105">
        <f t="shared" si="11"/>
        <v>837</v>
      </c>
      <c r="AK23" s="105">
        <f t="shared" si="20"/>
        <v>1306</v>
      </c>
      <c r="AL23" s="105">
        <f t="shared" si="28"/>
        <v>0</v>
      </c>
      <c r="AM23" s="105">
        <f t="shared" si="29"/>
        <v>0</v>
      </c>
      <c r="AN23" s="105">
        <f t="shared" si="21"/>
        <v>0</v>
      </c>
      <c r="AO23" s="105">
        <f t="shared" si="22"/>
        <v>700</v>
      </c>
      <c r="AP23" s="105">
        <f t="shared" si="23"/>
        <v>0</v>
      </c>
      <c r="AQ23" s="105">
        <v>7000</v>
      </c>
      <c r="AS23" s="105">
        <f t="shared" si="12"/>
        <v>9006</v>
      </c>
      <c r="AU23" s="105">
        <f t="shared" si="27"/>
        <v>0</v>
      </c>
      <c r="AV23" s="105">
        <f t="shared" si="25"/>
        <v>0</v>
      </c>
      <c r="AW23" s="105">
        <f t="shared" si="26"/>
        <v>0</v>
      </c>
    </row>
    <row r="24" spans="1:49" x14ac:dyDescent="0.2">
      <c r="A24" s="106">
        <f t="shared" si="13"/>
        <v>19</v>
      </c>
      <c r="B24" s="106">
        <v>158817</v>
      </c>
      <c r="C24" s="106">
        <v>18278</v>
      </c>
      <c r="D24" s="106">
        <v>23087</v>
      </c>
      <c r="E24" s="106"/>
      <c r="F24" s="106">
        <f t="shared" si="0"/>
        <v>200182</v>
      </c>
      <c r="G24" s="106"/>
      <c r="H24" s="106">
        <v>53255</v>
      </c>
      <c r="I24" s="106">
        <f t="shared" si="1"/>
        <v>52128</v>
      </c>
      <c r="J24" s="106"/>
      <c r="K24" s="106">
        <f t="shared" si="2"/>
        <v>148054</v>
      </c>
      <c r="L24" s="106"/>
      <c r="M24" s="106">
        <v>217569</v>
      </c>
      <c r="N24" s="106"/>
      <c r="O24" s="112">
        <v>163978</v>
      </c>
      <c r="P24" s="109">
        <f t="shared" si="3"/>
        <v>9006</v>
      </c>
      <c r="Q24" s="113">
        <f t="shared" si="4"/>
        <v>172984</v>
      </c>
      <c r="R24" s="106"/>
      <c r="S24" s="106">
        <f t="shared" si="5"/>
        <v>24930</v>
      </c>
      <c r="T24" s="106"/>
      <c r="U24" s="115">
        <v>2.78</v>
      </c>
      <c r="V24" s="114">
        <f t="shared" si="6"/>
        <v>69056.100000000006</v>
      </c>
      <c r="W24" s="161">
        <f t="shared" si="7"/>
        <v>2.7674999999999996</v>
      </c>
      <c r="X24" s="161">
        <f t="shared" si="8"/>
        <v>-2.250000000000018E-2</v>
      </c>
      <c r="Y24" s="162">
        <f t="shared" si="9"/>
        <v>-560.9250000000045</v>
      </c>
      <c r="AB24" s="105">
        <f t="shared" si="14"/>
        <v>419</v>
      </c>
      <c r="AC24" s="105">
        <f t="shared" si="15"/>
        <v>19</v>
      </c>
      <c r="AD24" s="105">
        <f t="shared" si="16"/>
        <v>15</v>
      </c>
      <c r="AE24" s="105">
        <f t="shared" si="17"/>
        <v>100</v>
      </c>
      <c r="AF24" s="105">
        <f t="shared" si="18"/>
        <v>276</v>
      </c>
      <c r="AG24" s="105">
        <f t="shared" si="19"/>
        <v>8</v>
      </c>
      <c r="AI24" s="105">
        <f t="shared" si="11"/>
        <v>837</v>
      </c>
      <c r="AK24" s="105">
        <f t="shared" si="20"/>
        <v>1306</v>
      </c>
      <c r="AL24" s="105">
        <f t="shared" si="28"/>
        <v>0</v>
      </c>
      <c r="AM24" s="105">
        <f t="shared" si="29"/>
        <v>0</v>
      </c>
      <c r="AN24" s="105">
        <f t="shared" si="21"/>
        <v>0</v>
      </c>
      <c r="AO24" s="105">
        <f t="shared" si="22"/>
        <v>700</v>
      </c>
      <c r="AP24" s="105">
        <f t="shared" si="23"/>
        <v>0</v>
      </c>
      <c r="AQ24" s="105">
        <f t="shared" si="24"/>
        <v>7000</v>
      </c>
      <c r="AS24" s="105">
        <f t="shared" si="12"/>
        <v>9006</v>
      </c>
      <c r="AU24" s="105">
        <f t="shared" si="27"/>
        <v>0</v>
      </c>
      <c r="AV24" s="105">
        <f t="shared" si="25"/>
        <v>0</v>
      </c>
      <c r="AW24" s="105">
        <f t="shared" si="26"/>
        <v>0</v>
      </c>
    </row>
    <row r="25" spans="1:49" x14ac:dyDescent="0.2">
      <c r="A25" s="106">
        <f t="shared" si="13"/>
        <v>20</v>
      </c>
      <c r="B25" s="106">
        <v>162075</v>
      </c>
      <c r="C25" s="106">
        <v>18377</v>
      </c>
      <c r="D25" s="106">
        <v>23087</v>
      </c>
      <c r="E25" s="106"/>
      <c r="F25" s="106">
        <f t="shared" si="0"/>
        <v>203539</v>
      </c>
      <c r="G25" s="106"/>
      <c r="H25" s="106">
        <v>54961</v>
      </c>
      <c r="I25" s="106">
        <f t="shared" si="1"/>
        <v>53798</v>
      </c>
      <c r="J25" s="106"/>
      <c r="K25" s="106">
        <f t="shared" si="2"/>
        <v>149741</v>
      </c>
      <c r="L25" s="106"/>
      <c r="M25" s="106">
        <v>217569</v>
      </c>
      <c r="N25" s="106"/>
      <c r="O25" s="112">
        <v>163978</v>
      </c>
      <c r="P25" s="109">
        <f t="shared" si="3"/>
        <v>9006</v>
      </c>
      <c r="Q25" s="113">
        <f t="shared" si="4"/>
        <v>172984</v>
      </c>
      <c r="R25" s="106"/>
      <c r="S25" s="106">
        <f t="shared" si="5"/>
        <v>23243</v>
      </c>
      <c r="T25" s="106"/>
      <c r="U25" s="115">
        <v>2.78</v>
      </c>
      <c r="V25" s="114">
        <f t="shared" si="6"/>
        <v>64383.11</v>
      </c>
      <c r="W25" s="161">
        <f t="shared" si="7"/>
        <v>2.7674999999999996</v>
      </c>
      <c r="X25" s="161">
        <f t="shared" si="8"/>
        <v>-2.250000000000018E-2</v>
      </c>
      <c r="Y25" s="162">
        <f t="shared" si="9"/>
        <v>-522.96750000000418</v>
      </c>
      <c r="AB25" s="105">
        <f t="shared" si="14"/>
        <v>419</v>
      </c>
      <c r="AC25" s="105">
        <f t="shared" si="15"/>
        <v>19</v>
      </c>
      <c r="AD25" s="105">
        <f t="shared" si="16"/>
        <v>15</v>
      </c>
      <c r="AE25" s="105">
        <f t="shared" si="17"/>
        <v>100</v>
      </c>
      <c r="AF25" s="105">
        <f t="shared" si="18"/>
        <v>276</v>
      </c>
      <c r="AG25" s="105">
        <f t="shared" si="19"/>
        <v>8</v>
      </c>
      <c r="AI25" s="105">
        <f t="shared" si="11"/>
        <v>837</v>
      </c>
      <c r="AK25" s="105">
        <f t="shared" si="20"/>
        <v>1306</v>
      </c>
      <c r="AL25" s="105">
        <f t="shared" si="28"/>
        <v>0</v>
      </c>
      <c r="AM25" s="105">
        <f t="shared" si="29"/>
        <v>0</v>
      </c>
      <c r="AN25" s="105">
        <f t="shared" si="21"/>
        <v>0</v>
      </c>
      <c r="AO25" s="105">
        <f t="shared" si="22"/>
        <v>700</v>
      </c>
      <c r="AP25" s="105">
        <f t="shared" si="23"/>
        <v>0</v>
      </c>
      <c r="AQ25" s="105">
        <f t="shared" si="24"/>
        <v>7000</v>
      </c>
      <c r="AS25" s="105">
        <f t="shared" si="12"/>
        <v>9006</v>
      </c>
      <c r="AU25" s="105">
        <f t="shared" si="27"/>
        <v>0</v>
      </c>
      <c r="AV25" s="105">
        <f t="shared" si="25"/>
        <v>0</v>
      </c>
      <c r="AW25" s="105">
        <f t="shared" si="26"/>
        <v>0</v>
      </c>
    </row>
    <row r="26" spans="1:49" x14ac:dyDescent="0.2">
      <c r="A26" s="106">
        <f t="shared" si="13"/>
        <v>21</v>
      </c>
      <c r="B26" s="106">
        <v>132896</v>
      </c>
      <c r="C26" s="106">
        <v>11222</v>
      </c>
      <c r="D26" s="106">
        <v>34052</v>
      </c>
      <c r="E26" s="106"/>
      <c r="F26" s="106">
        <f t="shared" si="0"/>
        <v>178170</v>
      </c>
      <c r="G26" s="106"/>
      <c r="H26" s="106">
        <v>35863</v>
      </c>
      <c r="I26" s="106">
        <f t="shared" si="1"/>
        <v>35104</v>
      </c>
      <c r="J26" s="106"/>
      <c r="K26" s="106">
        <f t="shared" si="2"/>
        <v>143066</v>
      </c>
      <c r="L26" s="106"/>
      <c r="M26" s="106">
        <v>217569</v>
      </c>
      <c r="N26" s="106"/>
      <c r="O26" s="112">
        <v>163978</v>
      </c>
      <c r="P26" s="109">
        <f t="shared" si="3"/>
        <v>9006</v>
      </c>
      <c r="Q26" s="113">
        <f t="shared" si="4"/>
        <v>172984</v>
      </c>
      <c r="R26" s="106"/>
      <c r="S26" s="106">
        <f t="shared" si="5"/>
        <v>29918</v>
      </c>
      <c r="T26" s="106"/>
      <c r="U26" s="115">
        <v>2.78</v>
      </c>
      <c r="V26" s="114">
        <f t="shared" si="6"/>
        <v>82872.86</v>
      </c>
      <c r="W26" s="161">
        <f t="shared" si="7"/>
        <v>2.7674999999999996</v>
      </c>
      <c r="X26" s="161">
        <f t="shared" si="8"/>
        <v>-2.250000000000018E-2</v>
      </c>
      <c r="Y26" s="162">
        <f t="shared" si="9"/>
        <v>-673.15500000000532</v>
      </c>
      <c r="AB26" s="105">
        <f t="shared" si="14"/>
        <v>419</v>
      </c>
      <c r="AC26" s="105">
        <f t="shared" si="15"/>
        <v>19</v>
      </c>
      <c r="AD26" s="105">
        <f t="shared" si="16"/>
        <v>15</v>
      </c>
      <c r="AE26" s="105">
        <f t="shared" si="17"/>
        <v>100</v>
      </c>
      <c r="AF26" s="105">
        <f t="shared" si="18"/>
        <v>276</v>
      </c>
      <c r="AG26" s="105">
        <f t="shared" si="19"/>
        <v>8</v>
      </c>
      <c r="AI26" s="105">
        <f t="shared" si="11"/>
        <v>837</v>
      </c>
      <c r="AK26" s="105">
        <f t="shared" si="20"/>
        <v>1306</v>
      </c>
      <c r="AL26" s="105">
        <f t="shared" si="28"/>
        <v>0</v>
      </c>
      <c r="AM26" s="105">
        <f t="shared" si="29"/>
        <v>0</v>
      </c>
      <c r="AN26" s="105">
        <f t="shared" si="21"/>
        <v>0</v>
      </c>
      <c r="AO26" s="105">
        <f t="shared" si="22"/>
        <v>700</v>
      </c>
      <c r="AP26" s="105">
        <f t="shared" si="23"/>
        <v>0</v>
      </c>
      <c r="AQ26" s="105">
        <f t="shared" si="24"/>
        <v>7000</v>
      </c>
      <c r="AS26" s="105">
        <f t="shared" si="12"/>
        <v>9006</v>
      </c>
      <c r="AU26" s="105">
        <f t="shared" si="27"/>
        <v>0</v>
      </c>
      <c r="AV26" s="105">
        <f t="shared" si="25"/>
        <v>0</v>
      </c>
      <c r="AW26" s="105">
        <f t="shared" si="26"/>
        <v>0</v>
      </c>
    </row>
    <row r="27" spans="1:49" x14ac:dyDescent="0.2">
      <c r="A27" s="106">
        <f t="shared" si="13"/>
        <v>22</v>
      </c>
      <c r="B27" s="106">
        <v>120908</v>
      </c>
      <c r="C27" s="106">
        <v>26875</v>
      </c>
      <c r="D27" s="106">
        <v>27052</v>
      </c>
      <c r="E27" s="106"/>
      <c r="F27" s="106">
        <f t="shared" si="0"/>
        <v>174835</v>
      </c>
      <c r="G27" s="106"/>
      <c r="H27" s="106">
        <v>27530</v>
      </c>
      <c r="I27" s="106">
        <f t="shared" si="1"/>
        <v>26947</v>
      </c>
      <c r="J27" s="106"/>
      <c r="K27" s="106">
        <f t="shared" si="2"/>
        <v>147888</v>
      </c>
      <c r="L27" s="106"/>
      <c r="M27" s="106">
        <v>217569</v>
      </c>
      <c r="N27" s="106"/>
      <c r="O27" s="112">
        <v>163978</v>
      </c>
      <c r="P27" s="109">
        <f t="shared" si="3"/>
        <v>9006</v>
      </c>
      <c r="Q27" s="113">
        <f t="shared" si="4"/>
        <v>172984</v>
      </c>
      <c r="R27" s="106"/>
      <c r="S27" s="106">
        <f t="shared" si="5"/>
        <v>25096</v>
      </c>
      <c r="T27" s="106"/>
      <c r="U27" s="115">
        <v>2.78</v>
      </c>
      <c r="V27" s="114">
        <f t="shared" si="6"/>
        <v>69515.92</v>
      </c>
      <c r="W27" s="161">
        <f t="shared" si="7"/>
        <v>2.7674999999999996</v>
      </c>
      <c r="X27" s="161">
        <f t="shared" si="8"/>
        <v>-2.250000000000018E-2</v>
      </c>
      <c r="Y27" s="162">
        <f t="shared" si="9"/>
        <v>-564.66000000000452</v>
      </c>
      <c r="AB27" s="105">
        <f t="shared" si="14"/>
        <v>419</v>
      </c>
      <c r="AC27" s="105">
        <f t="shared" si="15"/>
        <v>19</v>
      </c>
      <c r="AD27" s="105">
        <f t="shared" si="16"/>
        <v>15</v>
      </c>
      <c r="AE27" s="105">
        <f t="shared" si="17"/>
        <v>100</v>
      </c>
      <c r="AF27" s="105">
        <f t="shared" si="18"/>
        <v>276</v>
      </c>
      <c r="AG27" s="105">
        <f t="shared" si="19"/>
        <v>8</v>
      </c>
      <c r="AI27" s="105">
        <f t="shared" si="11"/>
        <v>837</v>
      </c>
      <c r="AK27" s="105">
        <f t="shared" si="20"/>
        <v>1306</v>
      </c>
      <c r="AL27" s="105">
        <f t="shared" si="28"/>
        <v>0</v>
      </c>
      <c r="AM27" s="105">
        <f t="shared" si="29"/>
        <v>0</v>
      </c>
      <c r="AN27" s="105">
        <f t="shared" si="21"/>
        <v>0</v>
      </c>
      <c r="AO27" s="105">
        <f t="shared" si="22"/>
        <v>700</v>
      </c>
      <c r="AP27" s="105">
        <f t="shared" si="23"/>
        <v>0</v>
      </c>
      <c r="AQ27" s="105">
        <f t="shared" si="24"/>
        <v>7000</v>
      </c>
      <c r="AS27" s="105">
        <f t="shared" si="12"/>
        <v>9006</v>
      </c>
      <c r="AU27" s="105">
        <f t="shared" si="27"/>
        <v>0</v>
      </c>
      <c r="AV27" s="105">
        <f t="shared" si="25"/>
        <v>0</v>
      </c>
      <c r="AW27" s="105">
        <f t="shared" si="26"/>
        <v>0</v>
      </c>
    </row>
    <row r="28" spans="1:49" x14ac:dyDescent="0.2">
      <c r="A28" s="106">
        <f t="shared" si="13"/>
        <v>23</v>
      </c>
      <c r="B28" s="106">
        <v>117907</v>
      </c>
      <c r="C28" s="106">
        <v>19389</v>
      </c>
      <c r="D28" s="106">
        <v>16745</v>
      </c>
      <c r="E28" s="106"/>
      <c r="F28" s="106">
        <f t="shared" si="0"/>
        <v>154041</v>
      </c>
      <c r="G28" s="106"/>
      <c r="H28" s="106">
        <v>14686</v>
      </c>
      <c r="I28" s="106">
        <f t="shared" si="1"/>
        <v>14375</v>
      </c>
      <c r="J28" s="106"/>
      <c r="K28" s="106">
        <f t="shared" si="2"/>
        <v>139666</v>
      </c>
      <c r="L28" s="106"/>
      <c r="M28" s="106">
        <v>217569</v>
      </c>
      <c r="N28" s="106"/>
      <c r="O28" s="112">
        <v>163978</v>
      </c>
      <c r="P28" s="109">
        <f t="shared" si="3"/>
        <v>9006</v>
      </c>
      <c r="Q28" s="113">
        <f t="shared" si="4"/>
        <v>172984</v>
      </c>
      <c r="R28" s="106"/>
      <c r="S28" s="106">
        <f t="shared" si="5"/>
        <v>33318</v>
      </c>
      <c r="T28" s="106"/>
      <c r="U28" s="115">
        <v>2.67</v>
      </c>
      <c r="V28" s="114">
        <f t="shared" si="6"/>
        <v>88625.88</v>
      </c>
      <c r="W28" s="161">
        <f t="shared" si="7"/>
        <v>2.7674999999999996</v>
      </c>
      <c r="X28" s="161">
        <f t="shared" si="8"/>
        <v>8.7499999999999703E-2</v>
      </c>
      <c r="Y28" s="162">
        <f t="shared" si="9"/>
        <v>2915.3249999999903</v>
      </c>
      <c r="AB28" s="105">
        <f t="shared" si="14"/>
        <v>419</v>
      </c>
      <c r="AC28" s="105">
        <f t="shared" si="15"/>
        <v>19</v>
      </c>
      <c r="AD28" s="105">
        <f t="shared" si="16"/>
        <v>15</v>
      </c>
      <c r="AE28" s="105">
        <f t="shared" si="17"/>
        <v>100</v>
      </c>
      <c r="AF28" s="105">
        <f t="shared" si="18"/>
        <v>276</v>
      </c>
      <c r="AG28" s="105">
        <f t="shared" si="19"/>
        <v>8</v>
      </c>
      <c r="AI28" s="105">
        <f t="shared" si="11"/>
        <v>837</v>
      </c>
      <c r="AK28" s="105">
        <f t="shared" si="20"/>
        <v>1306</v>
      </c>
      <c r="AL28" s="105">
        <f t="shared" si="28"/>
        <v>0</v>
      </c>
      <c r="AM28" s="105">
        <f t="shared" si="29"/>
        <v>0</v>
      </c>
      <c r="AN28" s="105">
        <f t="shared" si="21"/>
        <v>0</v>
      </c>
      <c r="AO28" s="105">
        <f t="shared" si="22"/>
        <v>700</v>
      </c>
      <c r="AP28" s="105">
        <f t="shared" si="23"/>
        <v>0</v>
      </c>
      <c r="AQ28" s="105">
        <f t="shared" si="24"/>
        <v>7000</v>
      </c>
      <c r="AS28" s="105">
        <f t="shared" si="12"/>
        <v>9006</v>
      </c>
      <c r="AU28" s="105">
        <f t="shared" si="27"/>
        <v>0</v>
      </c>
      <c r="AV28" s="105">
        <f t="shared" si="25"/>
        <v>0</v>
      </c>
      <c r="AW28" s="105">
        <f t="shared" si="26"/>
        <v>0</v>
      </c>
    </row>
    <row r="29" spans="1:49" x14ac:dyDescent="0.2">
      <c r="A29" s="106">
        <f t="shared" si="13"/>
        <v>24</v>
      </c>
      <c r="B29" s="106">
        <v>115853</v>
      </c>
      <c r="C29" s="106">
        <v>11536</v>
      </c>
      <c r="D29" s="106">
        <v>15195</v>
      </c>
      <c r="E29" s="106"/>
      <c r="F29" s="106">
        <f t="shared" si="0"/>
        <v>142584</v>
      </c>
      <c r="G29" s="106"/>
      <c r="H29" s="106">
        <v>41721</v>
      </c>
      <c r="I29" s="106">
        <f t="shared" si="1"/>
        <v>40838</v>
      </c>
      <c r="J29" s="106"/>
      <c r="K29" s="106">
        <f t="shared" si="2"/>
        <v>101746</v>
      </c>
      <c r="L29" s="106"/>
      <c r="M29" s="106">
        <v>217569</v>
      </c>
      <c r="N29" s="106"/>
      <c r="O29" s="112">
        <v>163978</v>
      </c>
      <c r="P29" s="109">
        <f t="shared" si="3"/>
        <v>2006</v>
      </c>
      <c r="Q29" s="113">
        <f t="shared" si="4"/>
        <v>165984</v>
      </c>
      <c r="R29" s="106"/>
      <c r="S29" s="106">
        <f t="shared" si="5"/>
        <v>64238</v>
      </c>
      <c r="T29" s="106"/>
      <c r="U29" s="115">
        <v>2.5950000000000002</v>
      </c>
      <c r="V29" s="114">
        <f t="shared" si="6"/>
        <v>166055.23000000004</v>
      </c>
      <c r="W29" s="161">
        <f t="shared" si="7"/>
        <v>2.7674999999999996</v>
      </c>
      <c r="X29" s="161">
        <f t="shared" si="8"/>
        <v>0.16249999999999942</v>
      </c>
      <c r="Y29" s="162">
        <f t="shared" si="9"/>
        <v>10438.674999999963</v>
      </c>
      <c r="AB29" s="105">
        <f t="shared" si="14"/>
        <v>419</v>
      </c>
      <c r="AC29" s="105">
        <f t="shared" si="15"/>
        <v>19</v>
      </c>
      <c r="AD29" s="105">
        <f t="shared" si="16"/>
        <v>15</v>
      </c>
      <c r="AE29" s="105">
        <f t="shared" si="17"/>
        <v>100</v>
      </c>
      <c r="AF29" s="105">
        <f t="shared" si="18"/>
        <v>276</v>
      </c>
      <c r="AG29" s="105">
        <f t="shared" si="19"/>
        <v>8</v>
      </c>
      <c r="AI29" s="105">
        <f t="shared" si="11"/>
        <v>837</v>
      </c>
      <c r="AK29" s="105">
        <f t="shared" si="20"/>
        <v>1306</v>
      </c>
      <c r="AL29" s="105">
        <f t="shared" si="28"/>
        <v>0</v>
      </c>
      <c r="AM29" s="105">
        <f t="shared" si="29"/>
        <v>0</v>
      </c>
      <c r="AN29" s="105">
        <f t="shared" si="21"/>
        <v>0</v>
      </c>
      <c r="AO29" s="105">
        <f t="shared" si="22"/>
        <v>700</v>
      </c>
      <c r="AP29" s="105">
        <f t="shared" si="23"/>
        <v>0</v>
      </c>
      <c r="AQ29" s="105">
        <v>0</v>
      </c>
      <c r="AS29" s="105">
        <f t="shared" si="12"/>
        <v>2006</v>
      </c>
      <c r="AU29" s="105">
        <f t="shared" si="27"/>
        <v>0</v>
      </c>
      <c r="AV29" s="105">
        <f t="shared" si="25"/>
        <v>0</v>
      </c>
      <c r="AW29" s="105">
        <f t="shared" si="26"/>
        <v>0</v>
      </c>
    </row>
    <row r="30" spans="1:49" x14ac:dyDescent="0.2">
      <c r="A30" s="106">
        <f t="shared" si="13"/>
        <v>25</v>
      </c>
      <c r="B30" s="106">
        <v>115895</v>
      </c>
      <c r="C30" s="106">
        <v>11427</v>
      </c>
      <c r="D30" s="106">
        <v>15195</v>
      </c>
      <c r="E30" s="106"/>
      <c r="F30" s="106">
        <f t="shared" si="0"/>
        <v>142517</v>
      </c>
      <c r="G30" s="106"/>
      <c r="H30" s="106">
        <v>47905</v>
      </c>
      <c r="I30" s="106">
        <f t="shared" si="1"/>
        <v>46891</v>
      </c>
      <c r="J30" s="106"/>
      <c r="K30" s="106">
        <f t="shared" si="2"/>
        <v>95626</v>
      </c>
      <c r="L30" s="106"/>
      <c r="M30" s="106">
        <v>217569</v>
      </c>
      <c r="N30" s="106"/>
      <c r="O30" s="112">
        <v>163978</v>
      </c>
      <c r="P30" s="109">
        <f t="shared" si="3"/>
        <v>2006</v>
      </c>
      <c r="Q30" s="113">
        <f t="shared" si="4"/>
        <v>165984</v>
      </c>
      <c r="R30" s="106"/>
      <c r="S30" s="106">
        <f t="shared" si="5"/>
        <v>70358</v>
      </c>
      <c r="T30" s="106"/>
      <c r="U30" s="115">
        <v>2.63</v>
      </c>
      <c r="V30" s="114">
        <f t="shared" si="6"/>
        <v>184337.96000000002</v>
      </c>
      <c r="W30" s="161">
        <f t="shared" si="7"/>
        <v>2.7674999999999996</v>
      </c>
      <c r="X30" s="161">
        <f t="shared" si="8"/>
        <v>0.12749999999999972</v>
      </c>
      <c r="Y30" s="162">
        <f t="shared" si="9"/>
        <v>8970.6449999999804</v>
      </c>
      <c r="AB30" s="105">
        <f t="shared" si="14"/>
        <v>419</v>
      </c>
      <c r="AC30" s="105">
        <f t="shared" si="15"/>
        <v>19</v>
      </c>
      <c r="AD30" s="105">
        <f t="shared" si="16"/>
        <v>15</v>
      </c>
      <c r="AE30" s="105">
        <f t="shared" si="17"/>
        <v>100</v>
      </c>
      <c r="AF30" s="105">
        <f t="shared" si="18"/>
        <v>276</v>
      </c>
      <c r="AG30" s="105">
        <f t="shared" si="19"/>
        <v>8</v>
      </c>
      <c r="AI30" s="105">
        <f t="shared" si="11"/>
        <v>837</v>
      </c>
      <c r="AK30" s="105">
        <f t="shared" si="20"/>
        <v>1306</v>
      </c>
      <c r="AL30" s="105">
        <f t="shared" si="28"/>
        <v>0</v>
      </c>
      <c r="AM30" s="105">
        <f t="shared" si="29"/>
        <v>0</v>
      </c>
      <c r="AN30" s="105">
        <f t="shared" si="21"/>
        <v>0</v>
      </c>
      <c r="AO30" s="105">
        <f t="shared" si="22"/>
        <v>700</v>
      </c>
      <c r="AP30" s="105">
        <f t="shared" si="23"/>
        <v>0</v>
      </c>
      <c r="AQ30" s="105">
        <f t="shared" si="24"/>
        <v>0</v>
      </c>
      <c r="AS30" s="105">
        <f t="shared" si="12"/>
        <v>2006</v>
      </c>
      <c r="AU30" s="105">
        <f t="shared" si="27"/>
        <v>0</v>
      </c>
      <c r="AV30" s="105">
        <f t="shared" si="25"/>
        <v>0</v>
      </c>
      <c r="AW30" s="105">
        <f t="shared" si="26"/>
        <v>0</v>
      </c>
    </row>
    <row r="31" spans="1:49" x14ac:dyDescent="0.2">
      <c r="A31" s="106">
        <f t="shared" si="13"/>
        <v>26</v>
      </c>
      <c r="B31" s="106">
        <v>120762</v>
      </c>
      <c r="C31" s="106">
        <v>11278</v>
      </c>
      <c r="D31" s="106">
        <v>15195</v>
      </c>
      <c r="E31" s="106"/>
      <c r="F31" s="106">
        <f t="shared" si="0"/>
        <v>147235</v>
      </c>
      <c r="G31" s="106"/>
      <c r="H31" s="106">
        <v>33903</v>
      </c>
      <c r="I31" s="106">
        <f t="shared" si="1"/>
        <v>33186</v>
      </c>
      <c r="J31" s="106"/>
      <c r="K31" s="106">
        <f t="shared" si="2"/>
        <v>114049</v>
      </c>
      <c r="L31" s="106"/>
      <c r="M31" s="106">
        <v>217569</v>
      </c>
      <c r="N31" s="106"/>
      <c r="O31" s="112">
        <v>163978</v>
      </c>
      <c r="P31" s="109">
        <f t="shared" si="3"/>
        <v>2006</v>
      </c>
      <c r="Q31" s="113">
        <f t="shared" si="4"/>
        <v>165984</v>
      </c>
      <c r="R31" s="106"/>
      <c r="S31" s="106">
        <f t="shared" si="5"/>
        <v>51935</v>
      </c>
      <c r="T31" s="106"/>
      <c r="U31" s="115">
        <v>2.67</v>
      </c>
      <c r="V31" s="114">
        <f t="shared" si="6"/>
        <v>138147.1</v>
      </c>
      <c r="W31" s="161">
        <f t="shared" si="7"/>
        <v>2.7674999999999996</v>
      </c>
      <c r="X31" s="161">
        <f t="shared" si="8"/>
        <v>8.7499999999999703E-2</v>
      </c>
      <c r="Y31" s="162">
        <f t="shared" si="9"/>
        <v>4544.3124999999845</v>
      </c>
      <c r="AB31" s="105">
        <f t="shared" si="14"/>
        <v>419</v>
      </c>
      <c r="AC31" s="105">
        <f t="shared" si="15"/>
        <v>19</v>
      </c>
      <c r="AD31" s="105">
        <f t="shared" si="16"/>
        <v>15</v>
      </c>
      <c r="AE31" s="105">
        <f t="shared" si="17"/>
        <v>100</v>
      </c>
      <c r="AF31" s="105">
        <f t="shared" si="18"/>
        <v>276</v>
      </c>
      <c r="AG31" s="105">
        <f t="shared" si="19"/>
        <v>8</v>
      </c>
      <c r="AI31" s="105">
        <f t="shared" si="11"/>
        <v>837</v>
      </c>
      <c r="AK31" s="105">
        <f t="shared" si="20"/>
        <v>1306</v>
      </c>
      <c r="AL31" s="105">
        <f t="shared" si="28"/>
        <v>0</v>
      </c>
      <c r="AM31" s="105">
        <f t="shared" si="29"/>
        <v>0</v>
      </c>
      <c r="AN31" s="105">
        <f t="shared" si="21"/>
        <v>0</v>
      </c>
      <c r="AO31" s="105">
        <f t="shared" si="22"/>
        <v>700</v>
      </c>
      <c r="AP31" s="105">
        <f t="shared" si="23"/>
        <v>0</v>
      </c>
      <c r="AQ31" s="105">
        <f t="shared" si="24"/>
        <v>0</v>
      </c>
      <c r="AS31" s="105">
        <f t="shared" si="12"/>
        <v>2006</v>
      </c>
      <c r="AU31" s="105">
        <f t="shared" si="27"/>
        <v>0</v>
      </c>
      <c r="AV31" s="105">
        <f t="shared" si="25"/>
        <v>0</v>
      </c>
      <c r="AW31" s="105">
        <f t="shared" si="26"/>
        <v>0</v>
      </c>
    </row>
    <row r="32" spans="1:49" x14ac:dyDescent="0.2">
      <c r="A32" s="106">
        <f t="shared" si="13"/>
        <v>27</v>
      </c>
      <c r="B32" s="106">
        <v>159386</v>
      </c>
      <c r="C32" s="106">
        <v>11377</v>
      </c>
      <c r="D32" s="106">
        <v>15195</v>
      </c>
      <c r="E32" s="106"/>
      <c r="F32" s="106">
        <f t="shared" si="0"/>
        <v>185958</v>
      </c>
      <c r="G32" s="106"/>
      <c r="H32" s="106">
        <v>49788</v>
      </c>
      <c r="I32" s="106">
        <f t="shared" si="1"/>
        <v>48734</v>
      </c>
      <c r="J32" s="106"/>
      <c r="K32" s="106">
        <f t="shared" si="2"/>
        <v>137224</v>
      </c>
      <c r="L32" s="106"/>
      <c r="M32" s="106">
        <v>217569</v>
      </c>
      <c r="N32" s="106"/>
      <c r="O32" s="112">
        <v>163978</v>
      </c>
      <c r="P32" s="109">
        <f t="shared" si="3"/>
        <v>2006</v>
      </c>
      <c r="Q32" s="113">
        <f t="shared" si="4"/>
        <v>165984</v>
      </c>
      <c r="R32" s="106"/>
      <c r="S32" s="106">
        <f t="shared" si="5"/>
        <v>28760</v>
      </c>
      <c r="T32" s="106"/>
      <c r="U32" s="115">
        <v>2.67</v>
      </c>
      <c r="V32" s="114">
        <f t="shared" si="6"/>
        <v>76501.600000000006</v>
      </c>
      <c r="W32" s="161">
        <f t="shared" si="7"/>
        <v>2.7674999999999996</v>
      </c>
      <c r="X32" s="161">
        <f t="shared" si="8"/>
        <v>8.7499999999999703E-2</v>
      </c>
      <c r="Y32" s="162">
        <f t="shared" si="9"/>
        <v>2516.4999999999914</v>
      </c>
      <c r="AB32" s="105">
        <f t="shared" si="14"/>
        <v>419</v>
      </c>
      <c r="AC32" s="105">
        <f t="shared" si="15"/>
        <v>19</v>
      </c>
      <c r="AD32" s="105">
        <f t="shared" si="16"/>
        <v>15</v>
      </c>
      <c r="AE32" s="105">
        <f t="shared" si="17"/>
        <v>100</v>
      </c>
      <c r="AF32" s="105">
        <f t="shared" si="18"/>
        <v>276</v>
      </c>
      <c r="AG32" s="105">
        <f t="shared" si="19"/>
        <v>8</v>
      </c>
      <c r="AI32" s="105">
        <f t="shared" si="11"/>
        <v>837</v>
      </c>
      <c r="AK32" s="105">
        <f t="shared" si="20"/>
        <v>1306</v>
      </c>
      <c r="AL32" s="105">
        <f t="shared" si="28"/>
        <v>0</v>
      </c>
      <c r="AM32" s="105">
        <f t="shared" si="29"/>
        <v>0</v>
      </c>
      <c r="AN32" s="105">
        <f t="shared" si="21"/>
        <v>0</v>
      </c>
      <c r="AO32" s="105">
        <f t="shared" si="22"/>
        <v>700</v>
      </c>
      <c r="AP32" s="105">
        <f t="shared" si="23"/>
        <v>0</v>
      </c>
      <c r="AQ32" s="105">
        <f t="shared" si="24"/>
        <v>0</v>
      </c>
      <c r="AS32" s="105">
        <f t="shared" si="12"/>
        <v>2006</v>
      </c>
      <c r="AU32" s="105">
        <f t="shared" si="27"/>
        <v>0</v>
      </c>
      <c r="AV32" s="105">
        <f t="shared" si="25"/>
        <v>0</v>
      </c>
      <c r="AW32" s="105">
        <f t="shared" si="26"/>
        <v>0</v>
      </c>
    </row>
    <row r="33" spans="1:49" x14ac:dyDescent="0.2">
      <c r="A33" s="106">
        <f t="shared" si="13"/>
        <v>28</v>
      </c>
      <c r="B33" s="106">
        <v>164195</v>
      </c>
      <c r="C33" s="106">
        <v>11536</v>
      </c>
      <c r="D33" s="106">
        <v>15195</v>
      </c>
      <c r="E33" s="106"/>
      <c r="F33" s="106">
        <f t="shared" si="0"/>
        <v>190926</v>
      </c>
      <c r="G33" s="106"/>
      <c r="H33" s="106">
        <v>69225</v>
      </c>
      <c r="I33" s="106">
        <f t="shared" si="1"/>
        <v>67760</v>
      </c>
      <c r="J33" s="106"/>
      <c r="K33" s="106">
        <f t="shared" si="2"/>
        <v>123166</v>
      </c>
      <c r="L33" s="106"/>
      <c r="M33" s="106">
        <v>217569</v>
      </c>
      <c r="N33" s="106"/>
      <c r="O33" s="112">
        <v>163978</v>
      </c>
      <c r="P33" s="109">
        <f t="shared" si="3"/>
        <v>2006</v>
      </c>
      <c r="Q33" s="113">
        <f t="shared" si="4"/>
        <v>165984</v>
      </c>
      <c r="R33" s="106"/>
      <c r="S33" s="106">
        <f t="shared" si="5"/>
        <v>42818</v>
      </c>
      <c r="T33" s="106"/>
      <c r="U33" s="115">
        <v>2.67</v>
      </c>
      <c r="V33" s="114">
        <f t="shared" si="6"/>
        <v>113895.88</v>
      </c>
      <c r="W33" s="161">
        <f t="shared" si="7"/>
        <v>2.7674999999999996</v>
      </c>
      <c r="X33" s="161">
        <f t="shared" si="8"/>
        <v>8.7499999999999703E-2</v>
      </c>
      <c r="Y33" s="162">
        <f t="shared" si="9"/>
        <v>3746.5749999999871</v>
      </c>
      <c r="AB33" s="105">
        <f t="shared" si="14"/>
        <v>419</v>
      </c>
      <c r="AC33" s="105">
        <f t="shared" si="15"/>
        <v>19</v>
      </c>
      <c r="AD33" s="105">
        <f t="shared" si="16"/>
        <v>15</v>
      </c>
      <c r="AE33" s="105">
        <f t="shared" si="17"/>
        <v>100</v>
      </c>
      <c r="AF33" s="105">
        <f t="shared" si="18"/>
        <v>276</v>
      </c>
      <c r="AG33" s="105">
        <f t="shared" si="19"/>
        <v>8</v>
      </c>
      <c r="AI33" s="105">
        <f t="shared" si="11"/>
        <v>837</v>
      </c>
      <c r="AK33" s="105">
        <f t="shared" si="20"/>
        <v>1306</v>
      </c>
      <c r="AL33" s="105">
        <f t="shared" si="28"/>
        <v>0</v>
      </c>
      <c r="AM33" s="105">
        <f t="shared" si="29"/>
        <v>0</v>
      </c>
      <c r="AN33" s="105">
        <f t="shared" si="21"/>
        <v>0</v>
      </c>
      <c r="AO33" s="105">
        <f t="shared" si="22"/>
        <v>700</v>
      </c>
      <c r="AP33" s="105">
        <f t="shared" si="23"/>
        <v>0</v>
      </c>
      <c r="AQ33" s="105">
        <f t="shared" si="24"/>
        <v>0</v>
      </c>
      <c r="AS33" s="105">
        <f t="shared" si="12"/>
        <v>2006</v>
      </c>
      <c r="AU33" s="105">
        <f t="shared" si="27"/>
        <v>0</v>
      </c>
      <c r="AV33" s="105">
        <f t="shared" si="25"/>
        <v>0</v>
      </c>
      <c r="AW33" s="105">
        <f t="shared" si="26"/>
        <v>0</v>
      </c>
    </row>
    <row r="34" spans="1:49" x14ac:dyDescent="0.2">
      <c r="A34" s="106">
        <f t="shared" si="13"/>
        <v>29</v>
      </c>
      <c r="B34" s="106">
        <v>122289</v>
      </c>
      <c r="C34" s="106">
        <v>8255</v>
      </c>
      <c r="D34" s="106">
        <v>15195</v>
      </c>
      <c r="E34" s="106"/>
      <c r="F34" s="106">
        <f t="shared" si="0"/>
        <v>145739</v>
      </c>
      <c r="G34" s="106"/>
      <c r="H34" s="106">
        <v>51011</v>
      </c>
      <c r="I34" s="106">
        <f t="shared" si="1"/>
        <v>49932</v>
      </c>
      <c r="J34" s="106"/>
      <c r="K34" s="106">
        <f t="shared" si="2"/>
        <v>95807</v>
      </c>
      <c r="L34" s="106"/>
      <c r="M34" s="106">
        <v>217569</v>
      </c>
      <c r="N34" s="106"/>
      <c r="O34" s="110">
        <v>163978</v>
      </c>
      <c r="P34" s="109">
        <f t="shared" si="3"/>
        <v>2006</v>
      </c>
      <c r="Q34" s="111">
        <f t="shared" si="4"/>
        <v>165984</v>
      </c>
      <c r="R34" s="106"/>
      <c r="S34" s="106">
        <f t="shared" si="5"/>
        <v>70177</v>
      </c>
      <c r="T34" s="106"/>
      <c r="U34" s="115">
        <v>2.7250000000000001</v>
      </c>
      <c r="V34" s="114">
        <f>+S34*(U34-0.01)</f>
        <v>190530.55500000002</v>
      </c>
      <c r="W34" s="161">
        <f t="shared" si="7"/>
        <v>2.7674999999999996</v>
      </c>
      <c r="X34" s="161">
        <f t="shared" si="8"/>
        <v>3.2499999999999536E-2</v>
      </c>
      <c r="Y34" s="162">
        <f t="shared" si="9"/>
        <v>2280.7524999999673</v>
      </c>
      <c r="AB34" s="105">
        <f t="shared" si="14"/>
        <v>419</v>
      </c>
      <c r="AC34" s="105">
        <f t="shared" si="15"/>
        <v>19</v>
      </c>
      <c r="AD34" s="105">
        <f t="shared" si="16"/>
        <v>15</v>
      </c>
      <c r="AE34" s="105">
        <f t="shared" si="17"/>
        <v>100</v>
      </c>
      <c r="AF34" s="105">
        <f t="shared" si="18"/>
        <v>276</v>
      </c>
      <c r="AG34" s="105">
        <f t="shared" si="19"/>
        <v>8</v>
      </c>
      <c r="AI34" s="105">
        <f t="shared" si="11"/>
        <v>837</v>
      </c>
      <c r="AK34" s="105">
        <f t="shared" si="20"/>
        <v>1306</v>
      </c>
      <c r="AL34" s="105">
        <f t="shared" si="28"/>
        <v>0</v>
      </c>
      <c r="AM34" s="105">
        <f t="shared" si="29"/>
        <v>0</v>
      </c>
      <c r="AN34" s="105">
        <f t="shared" si="21"/>
        <v>0</v>
      </c>
      <c r="AO34" s="105">
        <f t="shared" si="22"/>
        <v>700</v>
      </c>
      <c r="AP34" s="105">
        <f t="shared" si="23"/>
        <v>0</v>
      </c>
      <c r="AQ34" s="105">
        <f t="shared" si="24"/>
        <v>0</v>
      </c>
      <c r="AS34" s="105">
        <f t="shared" si="12"/>
        <v>2006</v>
      </c>
      <c r="AU34" s="105">
        <f t="shared" si="27"/>
        <v>0</v>
      </c>
      <c r="AV34" s="105">
        <f t="shared" si="25"/>
        <v>0</v>
      </c>
      <c r="AW34" s="105">
        <f t="shared" si="26"/>
        <v>0</v>
      </c>
    </row>
    <row r="35" spans="1:49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AS35" s="105">
        <f t="shared" si="12"/>
        <v>0</v>
      </c>
    </row>
    <row r="36" spans="1:49" ht="13.5" thickBot="1" x14ac:dyDescent="0.25">
      <c r="A36" s="106"/>
      <c r="B36" s="106">
        <f t="shared" ref="B36:H36" si="30">SUM(B6:B35)</f>
        <v>4588430</v>
      </c>
      <c r="C36" s="106">
        <f t="shared" si="30"/>
        <v>330317</v>
      </c>
      <c r="D36" s="106">
        <f t="shared" si="30"/>
        <v>310671</v>
      </c>
      <c r="E36" s="106"/>
      <c r="F36" s="106">
        <f t="shared" si="30"/>
        <v>5229418</v>
      </c>
      <c r="G36" s="106"/>
      <c r="H36" s="106">
        <f t="shared" si="30"/>
        <v>1378894</v>
      </c>
      <c r="I36" s="106">
        <f>SUM(I6:I35)</f>
        <v>1349715</v>
      </c>
      <c r="J36" s="106"/>
      <c r="K36" s="106">
        <f>SUM(K6:K35)</f>
        <v>3879703</v>
      </c>
      <c r="L36" s="106"/>
      <c r="M36" s="106">
        <f>SUM(M6:M35)</f>
        <v>6309501</v>
      </c>
      <c r="N36" s="106"/>
      <c r="O36" s="106">
        <f>SUM(O6:O35)</f>
        <v>4755362</v>
      </c>
      <c r="P36" s="106">
        <f>SUM(P6:P35)</f>
        <v>115355</v>
      </c>
      <c r="Q36" s="106">
        <f>SUM(Q6:Q35)</f>
        <v>4870717</v>
      </c>
      <c r="R36" s="106"/>
      <c r="S36" s="106">
        <f>SUM(S6:S35)</f>
        <v>991014</v>
      </c>
      <c r="T36" s="154" t="s">
        <v>337</v>
      </c>
      <c r="U36" s="106"/>
      <c r="V36" s="114">
        <f>SUM(V6:V34)</f>
        <v>2724298.6350000007</v>
      </c>
      <c r="Y36" s="114">
        <f>SUM(Y6:Y34)</f>
        <v>-1487.6700000003434</v>
      </c>
      <c r="AB36" s="159">
        <f>SUM(AB6:AB34)</f>
        <v>12151</v>
      </c>
      <c r="AC36" s="159">
        <f t="shared" ref="AC36:AS36" si="31">SUM(AC6:AC34)</f>
        <v>551</v>
      </c>
      <c r="AD36" s="159">
        <f t="shared" si="31"/>
        <v>435</v>
      </c>
      <c r="AE36" s="159">
        <f t="shared" si="31"/>
        <v>2900</v>
      </c>
      <c r="AF36" s="159">
        <f t="shared" si="31"/>
        <v>8004</v>
      </c>
      <c r="AG36" s="159">
        <f t="shared" si="31"/>
        <v>232</v>
      </c>
      <c r="AI36" s="159">
        <f t="shared" si="31"/>
        <v>24273</v>
      </c>
      <c r="AK36" s="159">
        <f t="shared" si="31"/>
        <v>27060</v>
      </c>
      <c r="AL36" s="159">
        <f t="shared" si="31"/>
        <v>5699</v>
      </c>
      <c r="AM36" s="159">
        <f t="shared" si="31"/>
        <v>11846</v>
      </c>
      <c r="AN36" s="159">
        <f t="shared" si="31"/>
        <v>836</v>
      </c>
      <c r="AO36" s="159">
        <f t="shared" si="31"/>
        <v>14700</v>
      </c>
      <c r="AP36" s="159">
        <f t="shared" si="31"/>
        <v>13214</v>
      </c>
      <c r="AQ36" s="159">
        <f t="shared" si="31"/>
        <v>42000</v>
      </c>
      <c r="AS36" s="159">
        <f t="shared" si="31"/>
        <v>115355</v>
      </c>
      <c r="AU36" s="105">
        <f>SUM(AU6:AU34)</f>
        <v>8000</v>
      </c>
      <c r="AV36" s="105">
        <f>SUM(AV6:AV34)</f>
        <v>12043</v>
      </c>
      <c r="AW36" s="105">
        <f>SUM(AW6:AW34)</f>
        <v>394</v>
      </c>
    </row>
    <row r="37" spans="1:49" ht="13.5" thickTop="1" x14ac:dyDescent="0.2"/>
    <row r="38" spans="1:49" x14ac:dyDescent="0.2">
      <c r="S38" s="161">
        <f>+V36/S36</f>
        <v>2.7490011594185355</v>
      </c>
      <c r="T38" s="163"/>
      <c r="U38" s="164" t="s">
        <v>433</v>
      </c>
      <c r="V38" s="114"/>
      <c r="AB38" s="105" t="s">
        <v>423</v>
      </c>
    </row>
    <row r="39" spans="1:49" x14ac:dyDescent="0.2">
      <c r="U39" s="115"/>
      <c r="V39" s="114"/>
      <c r="AB39" s="105" t="s">
        <v>424</v>
      </c>
    </row>
    <row r="40" spans="1:49" x14ac:dyDescent="0.2">
      <c r="S40" s="105" t="s">
        <v>434</v>
      </c>
      <c r="U40" s="115"/>
      <c r="V40" s="114"/>
    </row>
    <row r="41" spans="1:49" x14ac:dyDescent="0.2">
      <c r="S41" s="105" t="s">
        <v>435</v>
      </c>
      <c r="U41" s="115"/>
      <c r="V41" s="114"/>
    </row>
    <row r="42" spans="1:49" x14ac:dyDescent="0.2">
      <c r="U42" s="115"/>
      <c r="V42" s="114"/>
    </row>
    <row r="44" spans="1:49" x14ac:dyDescent="0.2">
      <c r="S44" s="106"/>
      <c r="V44" s="114"/>
    </row>
  </sheetData>
  <pageMargins left="0.75" right="0.75" top="1" bottom="1" header="0.5" footer="0.5"/>
  <pageSetup paperSize="5" scale="73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7"/>
  <sheetViews>
    <sheetView tabSelected="1" topLeftCell="F159" workbookViewId="0">
      <selection activeCell="V184" sqref="V18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9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289</v>
      </c>
      <c r="C1" s="3"/>
      <c r="D1" s="3"/>
      <c r="E1" s="4"/>
      <c r="F1" s="4"/>
      <c r="G1" s="1"/>
      <c r="H1" s="1"/>
      <c r="I1" s="3" t="s">
        <v>19</v>
      </c>
      <c r="J1" s="7">
        <v>29</v>
      </c>
      <c r="K1" s="52" t="s">
        <v>40</v>
      </c>
      <c r="L1" s="5"/>
      <c r="M1" s="5"/>
      <c r="N1" s="5"/>
      <c r="O1" s="47"/>
      <c r="P1" s="5"/>
      <c r="Q1" s="24"/>
      <c r="R1" s="24"/>
      <c r="S1" s="2"/>
      <c r="T1" s="28"/>
      <c r="U1" s="28"/>
      <c r="V1" s="28"/>
      <c r="W1" s="57"/>
      <c r="X1" s="57"/>
      <c r="Y1" s="72"/>
      <c r="Z1" s="35"/>
      <c r="AA1" s="35"/>
    </row>
    <row r="2" spans="2:27" x14ac:dyDescent="0.2">
      <c r="B2" s="42" t="s">
        <v>35</v>
      </c>
      <c r="C2" s="42"/>
      <c r="D2" s="42"/>
      <c r="E2" s="4"/>
      <c r="F2" s="4"/>
      <c r="G2" s="1"/>
      <c r="H2" s="1"/>
      <c r="I2" s="3">
        <v>29</v>
      </c>
      <c r="J2" s="7"/>
      <c r="K2" s="52" t="s">
        <v>41</v>
      </c>
      <c r="L2" s="5"/>
      <c r="M2" s="5"/>
      <c r="N2" s="5"/>
      <c r="O2" s="47"/>
      <c r="P2" s="5"/>
      <c r="Q2" s="24"/>
      <c r="R2" s="24"/>
      <c r="S2" s="2"/>
      <c r="T2" s="28"/>
      <c r="U2" s="28"/>
      <c r="V2" s="28"/>
      <c r="W2" s="57"/>
      <c r="X2" s="57"/>
      <c r="Y2" s="72"/>
      <c r="Z2" s="35"/>
      <c r="AA2" s="35"/>
    </row>
    <row r="3" spans="2:27" x14ac:dyDescent="0.2">
      <c r="B3" s="43" t="s">
        <v>36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4"/>
      <c r="S3" s="2"/>
      <c r="T3" s="28"/>
      <c r="U3" s="28"/>
      <c r="V3" s="28"/>
      <c r="W3" s="57"/>
      <c r="X3" s="57"/>
      <c r="Y3" s="72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4"/>
      <c r="S4" s="2"/>
      <c r="T4" s="28"/>
      <c r="U4" s="33"/>
      <c r="V4" s="33"/>
      <c r="W4" s="58"/>
      <c r="X4" s="58"/>
      <c r="Y4" s="72"/>
      <c r="Z4" s="35"/>
      <c r="AA4" s="35"/>
    </row>
    <row r="5" spans="2:27" x14ac:dyDescent="0.2">
      <c r="B5" s="1" t="s">
        <v>42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4"/>
      <c r="S5" s="2"/>
      <c r="T5" s="28"/>
      <c r="U5" s="33"/>
      <c r="V5" s="33"/>
      <c r="W5" s="58"/>
      <c r="X5" s="58"/>
      <c r="Y5" s="72"/>
      <c r="Z5" s="35"/>
      <c r="AA5" s="35"/>
    </row>
    <row r="6" spans="2:27" x14ac:dyDescent="0.2">
      <c r="B6" s="92"/>
      <c r="C6" s="3" t="s">
        <v>268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4"/>
      <c r="S6" s="2"/>
      <c r="T6" s="28"/>
      <c r="U6" s="33"/>
      <c r="V6" s="33"/>
      <c r="W6" s="58"/>
      <c r="X6" s="58"/>
      <c r="Y6" s="72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4"/>
      <c r="S7" s="2"/>
      <c r="T7" s="28"/>
      <c r="U7" s="33"/>
      <c r="V7" s="33"/>
      <c r="W7" s="58"/>
      <c r="X7" s="58"/>
      <c r="Y7" s="72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4"/>
      <c r="S8" s="2"/>
      <c r="T8" s="28"/>
      <c r="U8" s="33"/>
      <c r="V8" s="33"/>
      <c r="W8" s="58"/>
      <c r="X8" s="58"/>
      <c r="Y8" s="72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4"/>
      <c r="S9" s="2"/>
      <c r="T9" s="28"/>
      <c r="U9" s="33"/>
      <c r="V9" s="33"/>
      <c r="W9" s="58"/>
      <c r="X9" s="58"/>
      <c r="Y9" s="72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4"/>
      <c r="S10" s="2"/>
      <c r="T10" s="28"/>
      <c r="U10" s="33"/>
      <c r="V10" s="33"/>
      <c r="W10" s="58"/>
      <c r="X10" s="58"/>
      <c r="Y10" s="72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103</v>
      </c>
      <c r="E11" s="18" t="s">
        <v>7</v>
      </c>
      <c r="F11" s="18"/>
      <c r="G11" s="16" t="s">
        <v>8</v>
      </c>
      <c r="H11" s="16" t="s">
        <v>9</v>
      </c>
      <c r="I11" s="17" t="s">
        <v>56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8" t="s">
        <v>15</v>
      </c>
      <c r="P11" s="17" t="s">
        <v>16</v>
      </c>
      <c r="Q11" s="20" t="s">
        <v>255</v>
      </c>
      <c r="R11" s="20" t="s">
        <v>254</v>
      </c>
      <c r="S11" s="17" t="s">
        <v>17</v>
      </c>
      <c r="T11" s="16" t="s">
        <v>18</v>
      </c>
      <c r="U11" s="21" t="s">
        <v>55</v>
      </c>
      <c r="V11" s="21" t="s">
        <v>54</v>
      </c>
      <c r="W11" s="59" t="s">
        <v>256</v>
      </c>
      <c r="X11" s="59" t="s">
        <v>257</v>
      </c>
      <c r="Y11" s="73" t="s">
        <v>43</v>
      </c>
      <c r="Z11" s="36"/>
      <c r="AA11" s="36"/>
    </row>
    <row r="12" spans="2:27" s="46" customFormat="1" x14ac:dyDescent="0.2">
      <c r="B12" s="42" t="s">
        <v>110</v>
      </c>
      <c r="C12" s="64" t="s">
        <v>32</v>
      </c>
      <c r="D12" s="64" t="s">
        <v>20</v>
      </c>
      <c r="E12" s="65">
        <v>35977</v>
      </c>
      <c r="F12" s="65">
        <v>36830</v>
      </c>
      <c r="G12" s="71" t="s">
        <v>104</v>
      </c>
      <c r="H12" s="42" t="s">
        <v>112</v>
      </c>
      <c r="I12" s="64" t="s">
        <v>105</v>
      </c>
      <c r="J12" s="56">
        <f>6.7854/J$1</f>
        <v>0.23397931034482758</v>
      </c>
      <c r="K12" s="66">
        <v>1.12E-2</v>
      </c>
      <c r="L12" s="66">
        <v>2.2000000000000001E-3</v>
      </c>
      <c r="M12" s="66">
        <v>7.1999999999999998E-3</v>
      </c>
      <c r="N12" s="66">
        <v>0</v>
      </c>
      <c r="O12" s="67">
        <v>1.11E-2</v>
      </c>
      <c r="P12" s="66">
        <f t="shared" ref="P12:P25" si="0">SUM(J12:N12)</f>
        <v>0.25457931034482756</v>
      </c>
      <c r="Q12" s="68"/>
      <c r="R12" s="68">
        <v>770407</v>
      </c>
      <c r="S12" s="104">
        <v>69</v>
      </c>
      <c r="T12" s="42"/>
      <c r="U12" s="69">
        <f t="shared" ref="U12:U25" si="1">J12*J$1*S12</f>
        <v>468.19260000000003</v>
      </c>
      <c r="V12" s="69"/>
      <c r="W12" s="63"/>
      <c r="X12" s="63">
        <v>142005</v>
      </c>
      <c r="Y12" s="42"/>
      <c r="Z12" s="70"/>
      <c r="AA12" s="70"/>
    </row>
    <row r="13" spans="2:27" s="46" customFormat="1" x14ac:dyDescent="0.2">
      <c r="B13" s="42" t="s">
        <v>110</v>
      </c>
      <c r="C13" s="64" t="s">
        <v>32</v>
      </c>
      <c r="D13" s="64" t="s">
        <v>20</v>
      </c>
      <c r="E13" s="65">
        <v>35977</v>
      </c>
      <c r="F13" s="65">
        <v>40117</v>
      </c>
      <c r="G13" s="71" t="s">
        <v>104</v>
      </c>
      <c r="H13" s="71" t="s">
        <v>111</v>
      </c>
      <c r="I13" s="64" t="s">
        <v>28</v>
      </c>
      <c r="J13" s="56">
        <f t="shared" ref="J13:J25" si="2">6.7854/J$1</f>
        <v>0.23397931034482758</v>
      </c>
      <c r="K13" s="66">
        <v>1.12E-2</v>
      </c>
      <c r="L13" s="66">
        <v>2.2000000000000001E-3</v>
      </c>
      <c r="M13" s="66">
        <v>7.1999999999999998E-3</v>
      </c>
      <c r="N13" s="66">
        <v>0</v>
      </c>
      <c r="O13" s="67">
        <v>1.11E-2</v>
      </c>
      <c r="P13" s="66">
        <f t="shared" si="0"/>
        <v>0.25457931034482756</v>
      </c>
      <c r="Q13" s="68"/>
      <c r="R13" s="68">
        <v>770409</v>
      </c>
      <c r="S13" s="104">
        <v>64</v>
      </c>
      <c r="T13" s="42"/>
      <c r="U13" s="69">
        <f t="shared" si="1"/>
        <v>434.26560000000001</v>
      </c>
      <c r="V13" s="69"/>
      <c r="W13" s="63"/>
      <c r="X13" s="63">
        <v>142007</v>
      </c>
      <c r="Y13" s="42"/>
      <c r="Z13" s="70"/>
      <c r="AA13" s="70"/>
    </row>
    <row r="14" spans="2:27" s="46" customFormat="1" x14ac:dyDescent="0.2">
      <c r="B14" s="42" t="s">
        <v>110</v>
      </c>
      <c r="C14" s="64" t="s">
        <v>32</v>
      </c>
      <c r="D14" s="64" t="s">
        <v>20</v>
      </c>
      <c r="E14" s="65">
        <v>35977</v>
      </c>
      <c r="F14" s="65">
        <v>41213</v>
      </c>
      <c r="G14" s="71" t="s">
        <v>113</v>
      </c>
      <c r="H14" s="71" t="s">
        <v>111</v>
      </c>
      <c r="I14" s="64" t="s">
        <v>109</v>
      </c>
      <c r="J14" s="56">
        <f t="shared" si="2"/>
        <v>0.23397931034482758</v>
      </c>
      <c r="K14" s="66">
        <v>1.12E-2</v>
      </c>
      <c r="L14" s="66">
        <v>2.2000000000000001E-3</v>
      </c>
      <c r="M14" s="66">
        <v>7.1999999999999998E-3</v>
      </c>
      <c r="N14" s="66">
        <v>0</v>
      </c>
      <c r="O14" s="67">
        <v>1.11E-2</v>
      </c>
      <c r="P14" s="66">
        <f t="shared" si="0"/>
        <v>0.25457931034482756</v>
      </c>
      <c r="Q14" s="68"/>
      <c r="R14" s="68">
        <v>770412</v>
      </c>
      <c r="S14" s="104">
        <v>46</v>
      </c>
      <c r="T14" s="42"/>
      <c r="U14" s="69">
        <f t="shared" si="1"/>
        <v>312.1284</v>
      </c>
      <c r="V14" s="69"/>
      <c r="W14" s="63"/>
      <c r="X14" s="63">
        <v>142009</v>
      </c>
      <c r="Y14" s="42"/>
      <c r="Z14" s="70"/>
      <c r="AA14" s="70"/>
    </row>
    <row r="15" spans="2:27" s="46" customFormat="1" x14ac:dyDescent="0.2">
      <c r="B15" s="42" t="s">
        <v>110</v>
      </c>
      <c r="C15" s="64" t="s">
        <v>32</v>
      </c>
      <c r="D15" s="64" t="s">
        <v>20</v>
      </c>
      <c r="E15" s="65">
        <v>36130</v>
      </c>
      <c r="F15" s="65">
        <v>36830</v>
      </c>
      <c r="G15" s="71" t="s">
        <v>104</v>
      </c>
      <c r="H15" s="71" t="s">
        <v>114</v>
      </c>
      <c r="I15" s="64" t="s">
        <v>105</v>
      </c>
      <c r="J15" s="56">
        <f t="shared" si="2"/>
        <v>0.23397931034482758</v>
      </c>
      <c r="K15" s="66">
        <v>1.12E-2</v>
      </c>
      <c r="L15" s="66">
        <v>2.2000000000000001E-3</v>
      </c>
      <c r="M15" s="66">
        <v>7.1999999999999998E-3</v>
      </c>
      <c r="N15" s="66">
        <v>0</v>
      </c>
      <c r="O15" s="67">
        <v>1.11E-2</v>
      </c>
      <c r="P15" s="66">
        <f t="shared" si="0"/>
        <v>0.25457931034482756</v>
      </c>
      <c r="Q15" s="68"/>
      <c r="R15" s="68">
        <v>770612</v>
      </c>
      <c r="S15" s="104">
        <v>12</v>
      </c>
      <c r="T15" s="42"/>
      <c r="U15" s="69">
        <f t="shared" si="1"/>
        <v>81.424800000000005</v>
      </c>
      <c r="V15" s="69"/>
      <c r="W15" s="63"/>
      <c r="X15" s="63">
        <v>142010</v>
      </c>
      <c r="Y15" s="42"/>
      <c r="Z15" s="70"/>
      <c r="AA15" s="70"/>
    </row>
    <row r="16" spans="2:27" s="46" customFormat="1" x14ac:dyDescent="0.2">
      <c r="B16" s="42" t="s">
        <v>110</v>
      </c>
      <c r="C16" s="64" t="s">
        <v>32</v>
      </c>
      <c r="D16" s="64" t="s">
        <v>20</v>
      </c>
      <c r="E16" s="65">
        <v>36130</v>
      </c>
      <c r="F16" s="65">
        <v>40117</v>
      </c>
      <c r="G16" s="71" t="s">
        <v>104</v>
      </c>
      <c r="H16" s="71" t="s">
        <v>111</v>
      </c>
      <c r="I16" s="64" t="s">
        <v>28</v>
      </c>
      <c r="J16" s="56">
        <f t="shared" si="2"/>
        <v>0.23397931034482758</v>
      </c>
      <c r="K16" s="66">
        <v>1.12E-2</v>
      </c>
      <c r="L16" s="66">
        <v>2.2000000000000001E-3</v>
      </c>
      <c r="M16" s="66">
        <v>7.1999999999999998E-3</v>
      </c>
      <c r="N16" s="66">
        <v>0</v>
      </c>
      <c r="O16" s="67">
        <v>1.11E-2</v>
      </c>
      <c r="P16" s="66">
        <f t="shared" si="0"/>
        <v>0.25457931034482756</v>
      </c>
      <c r="Q16" s="68"/>
      <c r="R16" s="68">
        <v>770614</v>
      </c>
      <c r="S16" s="104">
        <v>11</v>
      </c>
      <c r="T16" s="42"/>
      <c r="U16" s="69">
        <f t="shared" si="1"/>
        <v>74.639399999999995</v>
      </c>
      <c r="V16" s="69"/>
      <c r="W16" s="63"/>
      <c r="X16" s="63">
        <v>142012</v>
      </c>
      <c r="Y16" s="42"/>
      <c r="Z16" s="70"/>
      <c r="AA16" s="70"/>
    </row>
    <row r="17" spans="1:27" s="46" customFormat="1" x14ac:dyDescent="0.2">
      <c r="B17" s="42" t="s">
        <v>110</v>
      </c>
      <c r="C17" s="64" t="s">
        <v>32</v>
      </c>
      <c r="D17" s="64" t="s">
        <v>20</v>
      </c>
      <c r="E17" s="65">
        <v>36130</v>
      </c>
      <c r="F17" s="65">
        <v>41213</v>
      </c>
      <c r="G17" s="71" t="s">
        <v>113</v>
      </c>
      <c r="H17" s="71" t="s">
        <v>111</v>
      </c>
      <c r="I17" s="64" t="s">
        <v>109</v>
      </c>
      <c r="J17" s="56">
        <f t="shared" si="2"/>
        <v>0.23397931034482758</v>
      </c>
      <c r="K17" s="66">
        <v>1.12E-2</v>
      </c>
      <c r="L17" s="66">
        <v>2.2000000000000001E-3</v>
      </c>
      <c r="M17" s="66">
        <v>7.1999999999999998E-3</v>
      </c>
      <c r="N17" s="66">
        <v>0</v>
      </c>
      <c r="O17" s="67">
        <v>1.11E-2</v>
      </c>
      <c r="P17" s="66">
        <f t="shared" si="0"/>
        <v>0.25457931034482756</v>
      </c>
      <c r="Q17" s="68"/>
      <c r="R17" s="68">
        <v>770617</v>
      </c>
      <c r="S17" s="104">
        <v>8</v>
      </c>
      <c r="T17" s="42"/>
      <c r="U17" s="69">
        <f t="shared" si="1"/>
        <v>54.283200000000001</v>
      </c>
      <c r="V17" s="69"/>
      <c r="W17" s="63"/>
      <c r="X17" s="63">
        <v>142013</v>
      </c>
      <c r="Y17" s="42"/>
      <c r="Z17" s="70"/>
      <c r="AA17" s="70"/>
    </row>
    <row r="18" spans="1:27" s="46" customFormat="1" x14ac:dyDescent="0.2">
      <c r="B18" s="42" t="s">
        <v>110</v>
      </c>
      <c r="C18" s="64" t="s">
        <v>32</v>
      </c>
      <c r="D18" s="64" t="s">
        <v>20</v>
      </c>
      <c r="E18" s="65">
        <v>35855</v>
      </c>
      <c r="F18" s="65">
        <v>41213</v>
      </c>
      <c r="G18" s="71" t="s">
        <v>113</v>
      </c>
      <c r="H18" s="71" t="s">
        <v>111</v>
      </c>
      <c r="I18" s="64" t="s">
        <v>109</v>
      </c>
      <c r="J18" s="56">
        <f t="shared" si="2"/>
        <v>0.23397931034482758</v>
      </c>
      <c r="K18" s="66">
        <v>1.12E-2</v>
      </c>
      <c r="L18" s="66">
        <v>2.2000000000000001E-3</v>
      </c>
      <c r="M18" s="66">
        <v>7.1999999999999998E-3</v>
      </c>
      <c r="N18" s="66">
        <v>0</v>
      </c>
      <c r="O18" s="67">
        <v>1.11E-2</v>
      </c>
      <c r="P18" s="66">
        <f t="shared" si="0"/>
        <v>0.25457931034482756</v>
      </c>
      <c r="Q18" s="68"/>
      <c r="R18" s="68">
        <v>770729</v>
      </c>
      <c r="S18" s="104">
        <v>15</v>
      </c>
      <c r="T18" s="42"/>
      <c r="U18" s="69">
        <f t="shared" si="1"/>
        <v>101.78100000000001</v>
      </c>
      <c r="V18" s="69"/>
      <c r="W18" s="63"/>
      <c r="X18" s="63">
        <v>142015</v>
      </c>
      <c r="Y18" s="42"/>
      <c r="Z18" s="70"/>
      <c r="AA18" s="70"/>
    </row>
    <row r="19" spans="1:27" s="46" customFormat="1" x14ac:dyDescent="0.2">
      <c r="B19" s="42" t="s">
        <v>110</v>
      </c>
      <c r="C19" s="64" t="s">
        <v>32</v>
      </c>
      <c r="D19" s="64" t="s">
        <v>20</v>
      </c>
      <c r="E19" s="65">
        <v>35855</v>
      </c>
      <c r="F19" s="65">
        <v>40117</v>
      </c>
      <c r="G19" s="71" t="s">
        <v>104</v>
      </c>
      <c r="H19" s="71" t="s">
        <v>111</v>
      </c>
      <c r="I19" s="64" t="s">
        <v>28</v>
      </c>
      <c r="J19" s="56">
        <f t="shared" si="2"/>
        <v>0.23397931034482758</v>
      </c>
      <c r="K19" s="66">
        <v>1.12E-2</v>
      </c>
      <c r="L19" s="66">
        <v>2.2000000000000001E-3</v>
      </c>
      <c r="M19" s="66">
        <v>7.1999999999999998E-3</v>
      </c>
      <c r="N19" s="66">
        <v>0</v>
      </c>
      <c r="O19" s="67">
        <v>1.11E-2</v>
      </c>
      <c r="P19" s="66">
        <f t="shared" si="0"/>
        <v>0.25457931034482756</v>
      </c>
      <c r="Q19" s="68"/>
      <c r="R19" s="68">
        <v>770732</v>
      </c>
      <c r="S19" s="104">
        <v>21</v>
      </c>
      <c r="T19" s="42"/>
      <c r="U19" s="69">
        <f t="shared" si="1"/>
        <v>142.49340000000001</v>
      </c>
      <c r="V19" s="69"/>
      <c r="W19" s="63"/>
      <c r="X19" s="63">
        <v>142016</v>
      </c>
      <c r="Y19" s="42"/>
      <c r="Z19" s="70"/>
      <c r="AA19" s="70"/>
    </row>
    <row r="20" spans="1:27" s="46" customFormat="1" x14ac:dyDescent="0.2">
      <c r="B20" s="42" t="s">
        <v>110</v>
      </c>
      <c r="C20" s="64" t="s">
        <v>32</v>
      </c>
      <c r="D20" s="64" t="s">
        <v>20</v>
      </c>
      <c r="E20" s="65">
        <v>35855</v>
      </c>
      <c r="F20" s="65">
        <v>36830</v>
      </c>
      <c r="G20" s="71" t="s">
        <v>104</v>
      </c>
      <c r="H20" s="42" t="s">
        <v>112</v>
      </c>
      <c r="I20" s="64" t="s">
        <v>105</v>
      </c>
      <c r="J20" s="56">
        <f t="shared" si="2"/>
        <v>0.23397931034482758</v>
      </c>
      <c r="K20" s="66">
        <v>1.12E-2</v>
      </c>
      <c r="L20" s="66">
        <v>2.2000000000000001E-3</v>
      </c>
      <c r="M20" s="66">
        <v>7.1999999999999998E-3</v>
      </c>
      <c r="N20" s="66">
        <v>0</v>
      </c>
      <c r="O20" s="67">
        <v>1.11E-2</v>
      </c>
      <c r="P20" s="66">
        <f t="shared" si="0"/>
        <v>0.25457931034482756</v>
      </c>
      <c r="Q20" s="68"/>
      <c r="R20" s="68">
        <v>770734</v>
      </c>
      <c r="S20" s="104">
        <v>23</v>
      </c>
      <c r="T20" s="42"/>
      <c r="U20" s="69">
        <f t="shared" si="1"/>
        <v>156.0642</v>
      </c>
      <c r="V20" s="69"/>
      <c r="W20" s="63"/>
      <c r="X20" s="63">
        <v>142018</v>
      </c>
      <c r="Y20" s="42"/>
      <c r="Z20" s="70"/>
      <c r="AA20" s="70"/>
    </row>
    <row r="21" spans="1:27" s="46" customFormat="1" x14ac:dyDescent="0.2">
      <c r="B21" s="42" t="s">
        <v>110</v>
      </c>
      <c r="C21" s="64" t="s">
        <v>32</v>
      </c>
      <c r="D21" s="64" t="s">
        <v>20</v>
      </c>
      <c r="E21" s="65">
        <v>36465</v>
      </c>
      <c r="F21" s="65">
        <v>36830</v>
      </c>
      <c r="G21" s="71" t="s">
        <v>104</v>
      </c>
      <c r="H21" s="71" t="s">
        <v>115</v>
      </c>
      <c r="I21" s="64" t="s">
        <v>27</v>
      </c>
      <c r="J21" s="56">
        <f t="shared" si="2"/>
        <v>0.23397931034482758</v>
      </c>
      <c r="K21" s="66">
        <v>1.12E-2</v>
      </c>
      <c r="L21" s="66">
        <v>2.2000000000000001E-3</v>
      </c>
      <c r="M21" s="66">
        <v>7.1999999999999998E-3</v>
      </c>
      <c r="N21" s="66">
        <v>0</v>
      </c>
      <c r="O21" s="67">
        <v>1.11E-2</v>
      </c>
      <c r="P21" s="66">
        <f t="shared" si="0"/>
        <v>0.25457931034482756</v>
      </c>
      <c r="Q21" s="68"/>
      <c r="R21" s="68">
        <v>770990</v>
      </c>
      <c r="S21" s="64">
        <v>11</v>
      </c>
      <c r="T21" s="42"/>
      <c r="U21" s="69">
        <f t="shared" si="1"/>
        <v>74.639399999999995</v>
      </c>
      <c r="V21" s="69">
        <v>70</v>
      </c>
      <c r="W21" s="63"/>
      <c r="X21" s="63">
        <v>142020</v>
      </c>
      <c r="Y21" s="42"/>
      <c r="Z21" s="70"/>
      <c r="AA21" s="70"/>
    </row>
    <row r="22" spans="1:27" s="46" customFormat="1" x14ac:dyDescent="0.2">
      <c r="B22" s="42" t="s">
        <v>110</v>
      </c>
      <c r="C22" s="64" t="s">
        <v>32</v>
      </c>
      <c r="D22" s="64" t="s">
        <v>20</v>
      </c>
      <c r="E22" s="65">
        <v>36465</v>
      </c>
      <c r="F22" s="65">
        <v>39021</v>
      </c>
      <c r="G22" s="71" t="s">
        <v>104</v>
      </c>
      <c r="H22" s="71" t="s">
        <v>116</v>
      </c>
      <c r="I22" s="64" t="s">
        <v>27</v>
      </c>
      <c r="J22" s="56">
        <f t="shared" si="2"/>
        <v>0.23397931034482758</v>
      </c>
      <c r="K22" s="66">
        <v>1.12E-2</v>
      </c>
      <c r="L22" s="66">
        <v>2.2000000000000001E-3</v>
      </c>
      <c r="M22" s="66">
        <v>7.1999999999999998E-3</v>
      </c>
      <c r="N22" s="66">
        <v>0</v>
      </c>
      <c r="O22" s="67">
        <v>1.11E-2</v>
      </c>
      <c r="P22" s="66">
        <f t="shared" si="0"/>
        <v>0.25457931034482756</v>
      </c>
      <c r="Q22" s="68"/>
      <c r="R22" s="68">
        <v>770991</v>
      </c>
      <c r="S22" s="64">
        <v>73</v>
      </c>
      <c r="T22" s="42"/>
      <c r="U22" s="69">
        <f t="shared" si="1"/>
        <v>495.33420000000001</v>
      </c>
      <c r="V22" s="69"/>
      <c r="W22" s="63"/>
      <c r="X22" s="63">
        <v>142022</v>
      </c>
      <c r="Y22" s="42"/>
      <c r="Z22" s="70"/>
      <c r="AA22" s="70"/>
    </row>
    <row r="23" spans="1:27" s="46" customFormat="1" x14ac:dyDescent="0.2">
      <c r="B23" s="42" t="s">
        <v>110</v>
      </c>
      <c r="C23" s="64" t="s">
        <v>32</v>
      </c>
      <c r="D23" s="64" t="s">
        <v>20</v>
      </c>
      <c r="E23" s="65">
        <v>36465</v>
      </c>
      <c r="F23" s="65">
        <v>38656</v>
      </c>
      <c r="G23" s="71" t="s">
        <v>190</v>
      </c>
      <c r="H23" s="71" t="s">
        <v>117</v>
      </c>
      <c r="I23" s="64" t="s">
        <v>27</v>
      </c>
      <c r="J23" s="56">
        <f t="shared" si="2"/>
        <v>0.23397931034482758</v>
      </c>
      <c r="K23" s="66">
        <v>1.12E-2</v>
      </c>
      <c r="L23" s="66">
        <v>2.2000000000000001E-3</v>
      </c>
      <c r="M23" s="66">
        <v>7.1999999999999998E-3</v>
      </c>
      <c r="N23" s="66">
        <v>0</v>
      </c>
      <c r="O23" s="67">
        <v>1.11E-2</v>
      </c>
      <c r="P23" s="66">
        <f t="shared" si="0"/>
        <v>0.25457931034482756</v>
      </c>
      <c r="Q23" s="68"/>
      <c r="R23" s="68">
        <v>770992</v>
      </c>
      <c r="S23" s="64">
        <v>158</v>
      </c>
      <c r="T23" s="42"/>
      <c r="U23" s="69">
        <f t="shared" si="1"/>
        <v>1072.0932</v>
      </c>
      <c r="V23" s="69"/>
      <c r="W23" s="63"/>
      <c r="X23" s="63">
        <v>142024</v>
      </c>
      <c r="Y23" s="42"/>
      <c r="Z23" s="70"/>
      <c r="AA23" s="70"/>
    </row>
    <row r="24" spans="1:27" s="46" customFormat="1" x14ac:dyDescent="0.2">
      <c r="B24" s="42" t="s">
        <v>110</v>
      </c>
      <c r="C24" s="64" t="s">
        <v>32</v>
      </c>
      <c r="D24" s="64" t="s">
        <v>20</v>
      </c>
      <c r="E24" s="65">
        <v>36465</v>
      </c>
      <c r="F24" s="65">
        <v>38656</v>
      </c>
      <c r="G24" s="71" t="s">
        <v>104</v>
      </c>
      <c r="H24" s="42" t="s">
        <v>112</v>
      </c>
      <c r="I24" s="64" t="s">
        <v>27</v>
      </c>
      <c r="J24" s="56">
        <f t="shared" si="2"/>
        <v>0.23397931034482758</v>
      </c>
      <c r="K24" s="66">
        <v>1.12E-2</v>
      </c>
      <c r="L24" s="66">
        <v>2.2000000000000001E-3</v>
      </c>
      <c r="M24" s="66">
        <v>7.1999999999999998E-3</v>
      </c>
      <c r="N24" s="66">
        <v>0</v>
      </c>
      <c r="O24" s="67">
        <v>1.11E-2</v>
      </c>
      <c r="P24" s="66">
        <f t="shared" si="0"/>
        <v>0.25457931034482756</v>
      </c>
      <c r="Q24" s="68"/>
      <c r="R24" s="68">
        <v>770993</v>
      </c>
      <c r="S24" s="64">
        <v>264</v>
      </c>
      <c r="T24" s="42"/>
      <c r="U24" s="69">
        <f t="shared" si="1"/>
        <v>1791.3456000000001</v>
      </c>
      <c r="V24" s="69">
        <v>1681</v>
      </c>
      <c r="W24" s="63"/>
      <c r="X24" s="63">
        <v>142025</v>
      </c>
      <c r="Y24" s="42"/>
      <c r="Z24" s="70"/>
      <c r="AA24" s="70"/>
    </row>
    <row r="25" spans="1:27" s="46" customFormat="1" x14ac:dyDescent="0.2">
      <c r="A25" s="89" t="e">
        <f>#REF!*#REF!*#REF!</f>
        <v>#REF!</v>
      </c>
      <c r="B25" s="42" t="s">
        <v>110</v>
      </c>
      <c r="C25" s="64" t="s">
        <v>32</v>
      </c>
      <c r="D25" s="64" t="s">
        <v>106</v>
      </c>
      <c r="E25" s="65">
        <v>36479</v>
      </c>
      <c r="F25" s="65">
        <v>36676</v>
      </c>
      <c r="G25" s="71" t="s">
        <v>107</v>
      </c>
      <c r="H25" s="71" t="s">
        <v>108</v>
      </c>
      <c r="I25" s="64" t="s">
        <v>109</v>
      </c>
      <c r="J25" s="56">
        <f t="shared" si="2"/>
        <v>0.23397931034482758</v>
      </c>
      <c r="K25" s="66">
        <v>1.12E-2</v>
      </c>
      <c r="L25" s="66">
        <v>2.2000000000000001E-3</v>
      </c>
      <c r="M25" s="66">
        <v>7.1999999999999998E-3</v>
      </c>
      <c r="N25" s="66">
        <v>0</v>
      </c>
      <c r="O25" s="67">
        <v>1.11E-2</v>
      </c>
      <c r="P25" s="66">
        <f t="shared" si="0"/>
        <v>0.25457931034482756</v>
      </c>
      <c r="Q25" s="68">
        <v>771013</v>
      </c>
      <c r="R25" s="68">
        <v>771013</v>
      </c>
      <c r="S25" s="64">
        <v>69</v>
      </c>
      <c r="T25" s="42">
        <v>69</v>
      </c>
      <c r="U25" s="69">
        <f t="shared" si="1"/>
        <v>468.19260000000003</v>
      </c>
      <c r="V25" s="69"/>
      <c r="W25" s="63"/>
      <c r="X25" s="63">
        <v>142030</v>
      </c>
      <c r="Y25" s="42"/>
      <c r="Z25" s="70"/>
      <c r="AA25" s="70"/>
    </row>
    <row r="26" spans="1:27" x14ac:dyDescent="0.2">
      <c r="B26" s="10" t="s">
        <v>3</v>
      </c>
      <c r="C26" s="11" t="s">
        <v>3</v>
      </c>
      <c r="D26" s="12" t="s">
        <v>3</v>
      </c>
      <c r="E26" s="13" t="s">
        <v>3</v>
      </c>
      <c r="F26" s="13"/>
      <c r="G26" s="10" t="s">
        <v>3</v>
      </c>
      <c r="H26" s="30" t="s">
        <v>3</v>
      </c>
      <c r="I26" s="11" t="s">
        <v>3</v>
      </c>
      <c r="J26" s="14"/>
      <c r="K26" s="15"/>
      <c r="L26" s="15"/>
      <c r="M26" s="15"/>
      <c r="N26" s="15"/>
      <c r="O26" s="49"/>
      <c r="P26" s="15"/>
      <c r="Q26" s="26" t="s">
        <v>3</v>
      </c>
      <c r="R26" s="26" t="s">
        <v>3</v>
      </c>
      <c r="S26" s="11">
        <f>SUM(S12:S25)</f>
        <v>844</v>
      </c>
      <c r="T26" s="10" t="s">
        <v>3</v>
      </c>
      <c r="U26" s="22">
        <f>SUM(U12:U25)</f>
        <v>5726.8776000000016</v>
      </c>
      <c r="V26" s="22">
        <f>SUM(V12:V25)</f>
        <v>1751</v>
      </c>
      <c r="W26" s="60"/>
      <c r="X26" s="60"/>
      <c r="Y26" s="10"/>
      <c r="Z26" s="36"/>
      <c r="AA26" s="36"/>
    </row>
    <row r="27" spans="1:27" x14ac:dyDescent="0.2">
      <c r="B27" s="16" t="s">
        <v>4</v>
      </c>
      <c r="C27" s="17" t="s">
        <v>5</v>
      </c>
      <c r="D27" s="17" t="s">
        <v>103</v>
      </c>
      <c r="E27" s="18" t="s">
        <v>7</v>
      </c>
      <c r="F27" s="18"/>
      <c r="G27" s="16" t="s">
        <v>8</v>
      </c>
      <c r="H27" s="16" t="s">
        <v>9</v>
      </c>
      <c r="I27" s="17" t="s">
        <v>56</v>
      </c>
      <c r="J27" s="19" t="s">
        <v>10</v>
      </c>
      <c r="K27" s="17" t="s">
        <v>11</v>
      </c>
      <c r="L27" s="17" t="s">
        <v>12</v>
      </c>
      <c r="M27" s="17" t="s">
        <v>13</v>
      </c>
      <c r="N27" s="17" t="s">
        <v>14</v>
      </c>
      <c r="O27" s="48" t="s">
        <v>15</v>
      </c>
      <c r="P27" s="17" t="s">
        <v>16</v>
      </c>
      <c r="Q27" s="20" t="s">
        <v>255</v>
      </c>
      <c r="R27" s="20" t="s">
        <v>254</v>
      </c>
      <c r="S27" s="17" t="s">
        <v>17</v>
      </c>
      <c r="T27" s="16" t="s">
        <v>18</v>
      </c>
      <c r="U27" s="21" t="s">
        <v>55</v>
      </c>
      <c r="V27" s="21" t="s">
        <v>54</v>
      </c>
      <c r="W27" s="59" t="s">
        <v>256</v>
      </c>
      <c r="X27" s="59" t="s">
        <v>257</v>
      </c>
      <c r="Y27" s="73" t="s">
        <v>43</v>
      </c>
      <c r="Z27" s="36"/>
      <c r="AA27" s="36"/>
    </row>
    <row r="28" spans="1:27" s="46" customFormat="1" x14ac:dyDescent="0.2">
      <c r="B28" s="42" t="s">
        <v>258</v>
      </c>
      <c r="C28" s="64" t="s">
        <v>26</v>
      </c>
      <c r="D28" s="64" t="s">
        <v>130</v>
      </c>
      <c r="E28" s="65">
        <v>22</v>
      </c>
      <c r="F28" s="65">
        <v>36585</v>
      </c>
      <c r="G28" s="42" t="s">
        <v>123</v>
      </c>
      <c r="H28" s="42" t="s">
        <v>274</v>
      </c>
      <c r="I28" s="64" t="s">
        <v>120</v>
      </c>
      <c r="J28" s="56">
        <f>5.7114/J$1</f>
        <v>0.19694482758620691</v>
      </c>
      <c r="K28" s="66">
        <v>4.3400000000000001E-2</v>
      </c>
      <c r="L28" s="66">
        <v>2.2000000000000001E-3</v>
      </c>
      <c r="M28" s="66">
        <v>0</v>
      </c>
      <c r="N28" s="66">
        <v>0</v>
      </c>
      <c r="O28" s="67">
        <v>2.2800000000000001E-2</v>
      </c>
      <c r="P28" s="66">
        <f t="shared" ref="P28:P36" si="3">SUM(J28:N28)</f>
        <v>0.24254482758620691</v>
      </c>
      <c r="Q28" s="68" t="s">
        <v>279</v>
      </c>
      <c r="R28" s="68" t="s">
        <v>218</v>
      </c>
      <c r="S28" s="64">
        <v>422</v>
      </c>
      <c r="T28" s="42" t="s">
        <v>276</v>
      </c>
      <c r="U28" s="69">
        <f t="shared" ref="U28:U33" si="4">J28*J$1*S28</f>
        <v>2410.2108000000003</v>
      </c>
      <c r="V28" s="69"/>
      <c r="W28" s="63">
        <v>156543</v>
      </c>
      <c r="X28" s="63">
        <v>144296</v>
      </c>
      <c r="Y28" s="42" t="s">
        <v>282</v>
      </c>
      <c r="Z28" s="70"/>
      <c r="AA28" s="70"/>
    </row>
    <row r="29" spans="1:27" s="46" customFormat="1" x14ac:dyDescent="0.2">
      <c r="B29" s="42" t="s">
        <v>258</v>
      </c>
      <c r="C29" s="64" t="s">
        <v>26</v>
      </c>
      <c r="D29" s="64" t="s">
        <v>130</v>
      </c>
      <c r="E29" s="65">
        <v>36557</v>
      </c>
      <c r="F29" s="65">
        <v>36585</v>
      </c>
      <c r="G29" s="42" t="s">
        <v>123</v>
      </c>
      <c r="H29" s="42" t="s">
        <v>275</v>
      </c>
      <c r="I29" s="64" t="s">
        <v>120</v>
      </c>
      <c r="J29" s="56">
        <f>5.7114/J$1</f>
        <v>0.19694482758620691</v>
      </c>
      <c r="K29" s="66">
        <v>4.3400000000000001E-2</v>
      </c>
      <c r="L29" s="66">
        <v>2.2000000000000001E-3</v>
      </c>
      <c r="M29" s="66">
        <v>0</v>
      </c>
      <c r="N29" s="66">
        <v>0</v>
      </c>
      <c r="O29" s="67">
        <v>2.2800000000000001E-2</v>
      </c>
      <c r="P29" s="66">
        <f t="shared" si="3"/>
        <v>0.24254482758620691</v>
      </c>
      <c r="Q29" s="68" t="s">
        <v>278</v>
      </c>
      <c r="R29" s="68" t="s">
        <v>219</v>
      </c>
      <c r="S29" s="64">
        <v>476</v>
      </c>
      <c r="T29" s="42" t="s">
        <v>280</v>
      </c>
      <c r="U29" s="69">
        <f t="shared" si="4"/>
        <v>2718.6264000000001</v>
      </c>
      <c r="V29" s="69"/>
      <c r="W29" s="63">
        <v>156545</v>
      </c>
      <c r="X29" s="63">
        <v>144297</v>
      </c>
      <c r="Y29" s="42" t="s">
        <v>281</v>
      </c>
      <c r="Z29" s="70"/>
      <c r="AA29" s="70"/>
    </row>
    <row r="30" spans="1:27" s="46" customFormat="1" x14ac:dyDescent="0.2">
      <c r="B30" s="42" t="s">
        <v>258</v>
      </c>
      <c r="C30" s="64" t="s">
        <v>26</v>
      </c>
      <c r="D30" s="64" t="s">
        <v>20</v>
      </c>
      <c r="E30" s="65">
        <v>36220</v>
      </c>
      <c r="F30" s="65">
        <v>37711</v>
      </c>
      <c r="G30" s="71" t="s">
        <v>118</v>
      </c>
      <c r="H30" s="71" t="s">
        <v>119</v>
      </c>
      <c r="I30" s="64" t="s">
        <v>120</v>
      </c>
      <c r="J30" s="56">
        <f>5.5884/J$1</f>
        <v>0.19270344827586208</v>
      </c>
      <c r="K30" s="66">
        <v>4.3400000000000001E-2</v>
      </c>
      <c r="L30" s="66">
        <v>2.2000000000000001E-3</v>
      </c>
      <c r="M30" s="66">
        <v>0</v>
      </c>
      <c r="N30" s="66">
        <v>0</v>
      </c>
      <c r="O30" s="67">
        <v>2.2800000000000001E-2</v>
      </c>
      <c r="P30" s="66">
        <f t="shared" si="3"/>
        <v>0.23830344827586208</v>
      </c>
      <c r="Q30" s="68" t="s">
        <v>291</v>
      </c>
      <c r="R30" s="68" t="s">
        <v>121</v>
      </c>
      <c r="S30" s="64">
        <v>12</v>
      </c>
      <c r="T30" s="42" t="s">
        <v>372</v>
      </c>
      <c r="U30" s="69">
        <f t="shared" si="4"/>
        <v>67.0608</v>
      </c>
      <c r="V30" s="69"/>
      <c r="W30" s="63">
        <v>157024</v>
      </c>
      <c r="X30" s="63">
        <v>142039</v>
      </c>
      <c r="Y30" s="42"/>
      <c r="Z30" s="70"/>
      <c r="AA30" s="70"/>
    </row>
    <row r="31" spans="1:27" s="46" customFormat="1" x14ac:dyDescent="0.2">
      <c r="B31" s="42" t="s">
        <v>258</v>
      </c>
      <c r="C31" s="64" t="s">
        <v>26</v>
      </c>
      <c r="D31" s="64" t="s">
        <v>20</v>
      </c>
      <c r="E31" s="65">
        <v>36220</v>
      </c>
      <c r="F31" s="65">
        <v>37711</v>
      </c>
      <c r="G31" s="71" t="s">
        <v>122</v>
      </c>
      <c r="H31" s="71" t="s">
        <v>119</v>
      </c>
      <c r="I31" s="64" t="s">
        <v>120</v>
      </c>
      <c r="J31" s="56">
        <f>5.5884/J$1</f>
        <v>0.19270344827586208</v>
      </c>
      <c r="K31" s="66">
        <v>4.3400000000000001E-2</v>
      </c>
      <c r="L31" s="66">
        <v>2.2000000000000001E-3</v>
      </c>
      <c r="M31" s="66">
        <v>0</v>
      </c>
      <c r="N31" s="66">
        <v>0</v>
      </c>
      <c r="O31" s="67">
        <v>2.2800000000000001E-2</v>
      </c>
      <c r="P31" s="66">
        <f t="shared" si="3"/>
        <v>0.23830344827586208</v>
      </c>
      <c r="Q31" s="68" t="s">
        <v>291</v>
      </c>
      <c r="R31" s="68" t="s">
        <v>121</v>
      </c>
      <c r="S31" s="64">
        <v>16</v>
      </c>
      <c r="T31" s="42" t="s">
        <v>372</v>
      </c>
      <c r="U31" s="69">
        <f t="shared" si="4"/>
        <v>89.414400000000001</v>
      </c>
      <c r="V31" s="69"/>
      <c r="W31" s="63">
        <v>157024</v>
      </c>
      <c r="X31" s="63">
        <v>142039</v>
      </c>
      <c r="Y31" s="42"/>
      <c r="Z31" s="70"/>
      <c r="AA31" s="70"/>
    </row>
    <row r="32" spans="1:27" s="46" customFormat="1" x14ac:dyDescent="0.2">
      <c r="B32" s="42" t="s">
        <v>258</v>
      </c>
      <c r="C32" s="64" t="s">
        <v>26</v>
      </c>
      <c r="D32" s="64" t="s">
        <v>20</v>
      </c>
      <c r="E32" s="65">
        <v>36220</v>
      </c>
      <c r="F32" s="65">
        <v>37711</v>
      </c>
      <c r="G32" s="71" t="s">
        <v>123</v>
      </c>
      <c r="H32" s="71" t="s">
        <v>119</v>
      </c>
      <c r="I32" s="64" t="s">
        <v>120</v>
      </c>
      <c r="J32" s="56">
        <f>5.5884/J$1</f>
        <v>0.19270344827586208</v>
      </c>
      <c r="K32" s="66">
        <v>4.3400000000000001E-2</v>
      </c>
      <c r="L32" s="66">
        <v>2.2000000000000001E-3</v>
      </c>
      <c r="M32" s="66">
        <v>0</v>
      </c>
      <c r="N32" s="66">
        <v>0</v>
      </c>
      <c r="O32" s="67">
        <v>2.2800000000000001E-2</v>
      </c>
      <c r="P32" s="66">
        <f t="shared" si="3"/>
        <v>0.23830344827586208</v>
      </c>
      <c r="Q32" s="68" t="s">
        <v>291</v>
      </c>
      <c r="R32" s="68" t="s">
        <v>121</v>
      </c>
      <c r="S32" s="64">
        <v>46</v>
      </c>
      <c r="T32" s="42" t="s">
        <v>372</v>
      </c>
      <c r="U32" s="69">
        <f t="shared" si="4"/>
        <v>257.06639999999999</v>
      </c>
      <c r="V32" s="69"/>
      <c r="W32" s="63">
        <v>157024</v>
      </c>
      <c r="X32" s="63">
        <v>142039</v>
      </c>
      <c r="Y32" s="42"/>
      <c r="Z32" s="70"/>
      <c r="AA32" s="70"/>
    </row>
    <row r="33" spans="1:27" s="46" customFormat="1" x14ac:dyDescent="0.2">
      <c r="B33" s="42" t="s">
        <v>258</v>
      </c>
      <c r="C33" s="64" t="s">
        <v>26</v>
      </c>
      <c r="D33" s="64" t="s">
        <v>20</v>
      </c>
      <c r="E33" s="65">
        <v>36220</v>
      </c>
      <c r="F33" s="65">
        <v>38807</v>
      </c>
      <c r="G33" s="42" t="s">
        <v>128</v>
      </c>
      <c r="H33" s="71"/>
      <c r="I33" s="64" t="s">
        <v>127</v>
      </c>
      <c r="J33" s="56">
        <f>1.8533/J$1</f>
        <v>6.3906896551724129E-2</v>
      </c>
      <c r="K33" s="66">
        <v>0</v>
      </c>
      <c r="L33" s="66">
        <v>0</v>
      </c>
      <c r="M33" s="66">
        <v>0</v>
      </c>
      <c r="N33" s="66">
        <v>0</v>
      </c>
      <c r="O33" s="67">
        <v>0</v>
      </c>
      <c r="P33" s="66">
        <f t="shared" si="3"/>
        <v>6.3906896551724129E-2</v>
      </c>
      <c r="Q33" s="68">
        <v>560092</v>
      </c>
      <c r="R33" s="68">
        <v>560042</v>
      </c>
      <c r="S33" s="64">
        <v>147</v>
      </c>
      <c r="T33" s="42" t="s">
        <v>292</v>
      </c>
      <c r="U33" s="96">
        <f t="shared" si="4"/>
        <v>272.43509999999998</v>
      </c>
      <c r="V33" s="69"/>
      <c r="W33" s="63">
        <v>157045</v>
      </c>
      <c r="X33" s="63">
        <v>142434</v>
      </c>
      <c r="Y33" s="42"/>
      <c r="Z33" s="70"/>
      <c r="AA33" s="70"/>
    </row>
    <row r="34" spans="1:27" s="46" customFormat="1" x14ac:dyDescent="0.2">
      <c r="B34" s="42" t="s">
        <v>258</v>
      </c>
      <c r="C34" s="64" t="s">
        <v>26</v>
      </c>
      <c r="D34" s="64" t="s">
        <v>20</v>
      </c>
      <c r="E34" s="65">
        <v>36220</v>
      </c>
      <c r="F34" s="65">
        <v>38807</v>
      </c>
      <c r="G34" s="42" t="s">
        <v>129</v>
      </c>
      <c r="H34" s="71"/>
      <c r="I34" s="64" t="s">
        <v>127</v>
      </c>
      <c r="J34" s="56">
        <v>1.37E-2</v>
      </c>
      <c r="K34" s="66">
        <v>0</v>
      </c>
      <c r="L34" s="66">
        <v>0</v>
      </c>
      <c r="M34" s="66">
        <v>0</v>
      </c>
      <c r="N34" s="66">
        <v>0</v>
      </c>
      <c r="O34" s="67">
        <v>0</v>
      </c>
      <c r="P34" s="66">
        <f t="shared" si="3"/>
        <v>1.37E-2</v>
      </c>
      <c r="Q34" s="68">
        <v>560092</v>
      </c>
      <c r="R34" s="68">
        <v>560042</v>
      </c>
      <c r="S34" s="64">
        <v>16275</v>
      </c>
      <c r="T34" s="42" t="s">
        <v>292</v>
      </c>
      <c r="U34" s="96">
        <f>+S34*J34</f>
        <v>222.9675</v>
      </c>
      <c r="V34" s="69"/>
      <c r="W34" s="63">
        <v>157045</v>
      </c>
      <c r="X34" s="63">
        <v>142434</v>
      </c>
      <c r="Y34" s="42"/>
      <c r="Z34" s="70"/>
      <c r="AA34" s="70"/>
    </row>
    <row r="35" spans="1:27" s="46" customFormat="1" x14ac:dyDescent="0.2">
      <c r="B35" s="42" t="s">
        <v>258</v>
      </c>
      <c r="C35" s="64" t="s">
        <v>26</v>
      </c>
      <c r="D35" s="64" t="s">
        <v>106</v>
      </c>
      <c r="E35" s="65">
        <v>36557</v>
      </c>
      <c r="F35" s="65">
        <v>36677</v>
      </c>
      <c r="G35" s="71" t="s">
        <v>123</v>
      </c>
      <c r="H35" s="71" t="s">
        <v>125</v>
      </c>
      <c r="I35" s="64" t="s">
        <v>120</v>
      </c>
      <c r="J35" s="56">
        <f>5.7114/J$1</f>
        <v>0.19694482758620691</v>
      </c>
      <c r="K35" s="66">
        <v>4.3400000000000001E-2</v>
      </c>
      <c r="L35" s="66">
        <v>2.2000000000000001E-3</v>
      </c>
      <c r="M35" s="66">
        <v>0</v>
      </c>
      <c r="N35" s="66">
        <v>0</v>
      </c>
      <c r="O35" s="67">
        <v>2.2800000000000001E-2</v>
      </c>
      <c r="P35" s="66">
        <f t="shared" si="3"/>
        <v>0.24254482758620691</v>
      </c>
      <c r="Q35" s="68" t="s">
        <v>269</v>
      </c>
      <c r="R35" s="68" t="s">
        <v>124</v>
      </c>
      <c r="S35" s="64">
        <v>186</v>
      </c>
      <c r="T35" s="42" t="s">
        <v>271</v>
      </c>
      <c r="U35" s="69">
        <f>J35*J$1*S35</f>
        <v>1062.3204000000001</v>
      </c>
      <c r="V35" s="69"/>
      <c r="W35" s="63">
        <v>156559</v>
      </c>
      <c r="X35" s="63">
        <v>142040</v>
      </c>
      <c r="Y35" s="42"/>
      <c r="Z35" s="70"/>
      <c r="AA35" s="70"/>
    </row>
    <row r="36" spans="1:27" s="46" customFormat="1" x14ac:dyDescent="0.2">
      <c r="B36" s="42" t="s">
        <v>258</v>
      </c>
      <c r="C36" s="64" t="s">
        <v>26</v>
      </c>
      <c r="D36" s="64" t="s">
        <v>106</v>
      </c>
      <c r="E36" s="65">
        <v>36557</v>
      </c>
      <c r="F36" s="65">
        <v>36616</v>
      </c>
      <c r="G36" s="71" t="s">
        <v>123</v>
      </c>
      <c r="H36" s="71" t="s">
        <v>125</v>
      </c>
      <c r="I36" s="64" t="s">
        <v>120</v>
      </c>
      <c r="J36" s="56">
        <f>5.7114/J$1</f>
        <v>0.19694482758620691</v>
      </c>
      <c r="K36" s="66">
        <v>4.3400000000000001E-2</v>
      </c>
      <c r="L36" s="66">
        <v>2.2000000000000001E-3</v>
      </c>
      <c r="M36" s="66">
        <v>0</v>
      </c>
      <c r="N36" s="66">
        <v>0</v>
      </c>
      <c r="O36" s="67">
        <v>2.2800000000000001E-2</v>
      </c>
      <c r="P36" s="66">
        <f t="shared" si="3"/>
        <v>0.24254482758620691</v>
      </c>
      <c r="Q36" s="68" t="s">
        <v>270</v>
      </c>
      <c r="R36" s="68" t="s">
        <v>126</v>
      </c>
      <c r="S36" s="64">
        <v>11</v>
      </c>
      <c r="T36" s="42" t="s">
        <v>272</v>
      </c>
      <c r="U36" s="69">
        <f>J36*J$1*S36</f>
        <v>62.825400000000002</v>
      </c>
      <c r="V36" s="69"/>
      <c r="W36" s="63">
        <v>156561</v>
      </c>
      <c r="X36" s="63">
        <v>142041</v>
      </c>
      <c r="Y36" s="42"/>
      <c r="Z36" s="70"/>
      <c r="AA36" s="70"/>
    </row>
    <row r="37" spans="1:27" s="46" customFormat="1" x14ac:dyDescent="0.2">
      <c r="A37" s="46" t="s">
        <v>233</v>
      </c>
      <c r="B37" s="42" t="s">
        <v>258</v>
      </c>
      <c r="C37" s="64" t="s">
        <v>26</v>
      </c>
      <c r="D37" s="64" t="s">
        <v>149</v>
      </c>
      <c r="E37" s="65">
        <v>36526</v>
      </c>
      <c r="F37" s="65">
        <v>36556</v>
      </c>
      <c r="G37" s="94">
        <v>10001</v>
      </c>
      <c r="H37" s="94">
        <v>10001</v>
      </c>
      <c r="I37" s="64" t="s">
        <v>127</v>
      </c>
      <c r="J37" s="56">
        <v>1.37E-2</v>
      </c>
      <c r="K37" s="66"/>
      <c r="L37" s="66"/>
      <c r="M37" s="66"/>
      <c r="N37" s="66"/>
      <c r="O37" s="67"/>
      <c r="P37" s="66"/>
      <c r="Q37" s="68">
        <v>530562</v>
      </c>
      <c r="R37" s="68">
        <v>530529</v>
      </c>
      <c r="S37" s="64">
        <v>14134</v>
      </c>
      <c r="T37" s="42" t="s">
        <v>277</v>
      </c>
      <c r="U37" s="69">
        <f>J37*1*S37</f>
        <v>193.63580000000002</v>
      </c>
      <c r="V37" s="69"/>
      <c r="W37" s="63">
        <v>156563</v>
      </c>
      <c r="X37" s="63">
        <v>153939</v>
      </c>
      <c r="Y37" s="42"/>
      <c r="Z37" s="70"/>
      <c r="AA37" s="70"/>
    </row>
    <row r="38" spans="1:27" s="46" customFormat="1" x14ac:dyDescent="0.2">
      <c r="A38" s="46" t="s">
        <v>233</v>
      </c>
      <c r="B38" s="42" t="s">
        <v>258</v>
      </c>
      <c r="C38" s="64" t="s">
        <v>26</v>
      </c>
      <c r="D38" s="64" t="s">
        <v>149</v>
      </c>
      <c r="E38" s="65">
        <v>36526</v>
      </c>
      <c r="F38" s="65">
        <v>36556</v>
      </c>
      <c r="G38" s="94">
        <v>10001</v>
      </c>
      <c r="H38" s="94">
        <v>10001</v>
      </c>
      <c r="I38" s="64" t="s">
        <v>127</v>
      </c>
      <c r="J38" s="56">
        <v>1.8532999999999999</v>
      </c>
      <c r="K38" s="66"/>
      <c r="L38" s="66"/>
      <c r="M38" s="66"/>
      <c r="N38" s="66"/>
      <c r="O38" s="67"/>
      <c r="P38" s="66"/>
      <c r="Q38" s="68">
        <v>530562</v>
      </c>
      <c r="R38" s="68">
        <v>530529</v>
      </c>
      <c r="S38" s="64">
        <v>231</v>
      </c>
      <c r="T38" s="42" t="s">
        <v>277</v>
      </c>
      <c r="U38" s="69">
        <f>J38*1*S38</f>
        <v>428.1123</v>
      </c>
      <c r="V38" s="69"/>
      <c r="W38" s="63">
        <v>156563</v>
      </c>
      <c r="X38" s="63">
        <v>153939</v>
      </c>
      <c r="Y38" s="42"/>
      <c r="Z38" s="70"/>
      <c r="AA38" s="70"/>
    </row>
    <row r="39" spans="1:27" x14ac:dyDescent="0.2">
      <c r="B39" s="10" t="s">
        <v>3</v>
      </c>
      <c r="C39" s="11" t="s">
        <v>3</v>
      </c>
      <c r="D39" s="12" t="s">
        <v>3</v>
      </c>
      <c r="E39" s="13" t="s">
        <v>3</v>
      </c>
      <c r="F39" s="13"/>
      <c r="G39" s="10" t="s">
        <v>3</v>
      </c>
      <c r="H39" s="30" t="s">
        <v>3</v>
      </c>
      <c r="I39" s="11" t="s">
        <v>3</v>
      </c>
      <c r="J39" s="14"/>
      <c r="K39" s="15"/>
      <c r="L39" s="15"/>
      <c r="M39" s="15"/>
      <c r="N39" s="15"/>
      <c r="O39" s="49"/>
      <c r="P39" s="15"/>
      <c r="Q39" s="26" t="s">
        <v>3</v>
      </c>
      <c r="R39" s="26" t="s">
        <v>3</v>
      </c>
      <c r="S39" s="11">
        <f>SUM(S28:S36)</f>
        <v>17591</v>
      </c>
      <c r="T39" s="10" t="s">
        <v>3</v>
      </c>
      <c r="U39" s="22">
        <f>SUM(U28:U38)</f>
        <v>7784.6752999999981</v>
      </c>
      <c r="V39" s="22">
        <f>SUM(V28:V36)</f>
        <v>0</v>
      </c>
      <c r="W39" s="60"/>
      <c r="X39" s="60"/>
      <c r="Y39" s="10"/>
      <c r="Z39" s="36"/>
      <c r="AA39" s="36"/>
    </row>
    <row r="40" spans="1:27" x14ac:dyDescent="0.2">
      <c r="B40" s="16" t="s">
        <v>4</v>
      </c>
      <c r="C40" s="17" t="s">
        <v>5</v>
      </c>
      <c r="D40" s="17" t="s">
        <v>6</v>
      </c>
      <c r="E40" s="18" t="s">
        <v>7</v>
      </c>
      <c r="F40" s="18"/>
      <c r="G40" s="16" t="s">
        <v>8</v>
      </c>
      <c r="H40" s="16" t="s">
        <v>9</v>
      </c>
      <c r="I40" s="17" t="s">
        <v>56</v>
      </c>
      <c r="J40" s="19" t="s">
        <v>10</v>
      </c>
      <c r="K40" s="17" t="s">
        <v>11</v>
      </c>
      <c r="L40" s="17" t="s">
        <v>12</v>
      </c>
      <c r="M40" s="17" t="s">
        <v>13</v>
      </c>
      <c r="N40" s="17" t="s">
        <v>14</v>
      </c>
      <c r="O40" s="48" t="s">
        <v>15</v>
      </c>
      <c r="P40" s="17" t="s">
        <v>16</v>
      </c>
      <c r="Q40" s="20" t="s">
        <v>255</v>
      </c>
      <c r="R40" s="20" t="s">
        <v>254</v>
      </c>
      <c r="S40" s="17" t="s">
        <v>17</v>
      </c>
      <c r="T40" s="16" t="s">
        <v>18</v>
      </c>
      <c r="U40" s="21" t="s">
        <v>55</v>
      </c>
      <c r="V40" s="21" t="s">
        <v>54</v>
      </c>
      <c r="W40" s="59" t="s">
        <v>256</v>
      </c>
      <c r="X40" s="59" t="s">
        <v>257</v>
      </c>
      <c r="Y40" s="73" t="str">
        <f>+Y27</f>
        <v>Questions</v>
      </c>
      <c r="Z40" s="36"/>
      <c r="AA40" s="36"/>
    </row>
    <row r="41" spans="1:27" s="78" customFormat="1" x14ac:dyDescent="0.2">
      <c r="B41" s="1" t="s">
        <v>258</v>
      </c>
      <c r="C41" s="3" t="s">
        <v>46</v>
      </c>
      <c r="D41" s="3" t="s">
        <v>37</v>
      </c>
      <c r="E41" s="4">
        <v>36526</v>
      </c>
      <c r="F41" s="4">
        <v>36646</v>
      </c>
      <c r="G41" s="1" t="s">
        <v>231</v>
      </c>
      <c r="H41" s="1" t="s">
        <v>132</v>
      </c>
      <c r="I41" s="3" t="s">
        <v>60</v>
      </c>
      <c r="J41" s="8">
        <f>6.449/J$1</f>
        <v>0.22237931034482758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7">
        <v>2.1160000000000002E-2</v>
      </c>
      <c r="P41" s="5">
        <f>SUM(J41:N41)</f>
        <v>0.24527931034482758</v>
      </c>
      <c r="Q41" s="24">
        <v>37956</v>
      </c>
      <c r="R41" s="24">
        <v>37956</v>
      </c>
      <c r="S41" s="3">
        <v>600</v>
      </c>
      <c r="T41" s="1" t="s">
        <v>53</v>
      </c>
      <c r="U41" s="9">
        <f>J41*J$1*S41</f>
        <v>3869.4</v>
      </c>
      <c r="V41" s="9">
        <v>3869</v>
      </c>
      <c r="W41" s="61">
        <v>156567</v>
      </c>
      <c r="X41" s="61">
        <v>140439</v>
      </c>
      <c r="Y41" s="9"/>
      <c r="Z41" s="36"/>
      <c r="AA41" s="36"/>
    </row>
    <row r="42" spans="1:27" s="78" customFormat="1" x14ac:dyDescent="0.2">
      <c r="B42" s="1" t="s">
        <v>258</v>
      </c>
      <c r="C42" s="3" t="s">
        <v>46</v>
      </c>
      <c r="D42" s="3" t="s">
        <v>68</v>
      </c>
      <c r="E42" s="4">
        <v>36251</v>
      </c>
      <c r="F42" s="4">
        <v>36616</v>
      </c>
      <c r="G42" s="1" t="s">
        <v>69</v>
      </c>
      <c r="H42" s="1" t="s">
        <v>71</v>
      </c>
      <c r="I42" s="3" t="s">
        <v>70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47">
        <v>0</v>
      </c>
      <c r="P42" s="5">
        <f t="shared" ref="P42:P81" si="5">SUM(J42:N42)</f>
        <v>0</v>
      </c>
      <c r="Q42" s="24">
        <v>51407</v>
      </c>
      <c r="R42" s="24">
        <v>51407</v>
      </c>
      <c r="S42" s="3">
        <v>0</v>
      </c>
      <c r="T42" s="1" t="s">
        <v>73</v>
      </c>
      <c r="U42" s="9">
        <f>J42*S42</f>
        <v>0</v>
      </c>
      <c r="V42" s="9"/>
      <c r="W42" s="61">
        <v>156569</v>
      </c>
      <c r="X42" s="61">
        <v>151880</v>
      </c>
      <c r="Y42" s="1"/>
      <c r="Z42" s="36"/>
      <c r="AA42" s="36"/>
    </row>
    <row r="43" spans="1:27" s="78" customFormat="1" x14ac:dyDescent="0.2">
      <c r="B43" s="1" t="s">
        <v>258</v>
      </c>
      <c r="C43" s="3" t="s">
        <v>46</v>
      </c>
      <c r="D43" s="3" t="s">
        <v>68</v>
      </c>
      <c r="E43" s="4">
        <v>36251</v>
      </c>
      <c r="F43" s="4">
        <v>36616</v>
      </c>
      <c r="G43" s="1" t="s">
        <v>69</v>
      </c>
      <c r="H43" s="1" t="s">
        <v>72</v>
      </c>
      <c r="I43" s="3" t="s">
        <v>70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47">
        <v>0</v>
      </c>
      <c r="P43" s="5">
        <f t="shared" si="5"/>
        <v>0</v>
      </c>
      <c r="Q43" s="24">
        <v>51407</v>
      </c>
      <c r="R43" s="24">
        <v>51407</v>
      </c>
      <c r="S43" s="3">
        <v>0</v>
      </c>
      <c r="T43" s="1" t="s">
        <v>73</v>
      </c>
      <c r="U43" s="9">
        <f>J43*J$1*S43</f>
        <v>0</v>
      </c>
      <c r="V43" s="9"/>
      <c r="W43" s="61">
        <v>156569</v>
      </c>
      <c r="X43" s="61">
        <v>151880</v>
      </c>
      <c r="Y43" s="1"/>
      <c r="Z43" s="36"/>
      <c r="AA43" s="36"/>
    </row>
    <row r="44" spans="1:27" s="78" customFormat="1" x14ac:dyDescent="0.2">
      <c r="B44" s="1" t="s">
        <v>258</v>
      </c>
      <c r="C44" s="3" t="s">
        <v>46</v>
      </c>
      <c r="D44" s="3"/>
      <c r="E44" s="4">
        <v>36100</v>
      </c>
      <c r="F44" s="4">
        <v>36830</v>
      </c>
      <c r="G44" s="29" t="s">
        <v>131</v>
      </c>
      <c r="H44" s="1" t="s">
        <v>132</v>
      </c>
      <c r="I44" s="3" t="s">
        <v>60</v>
      </c>
      <c r="J44" s="56">
        <f t="shared" ref="J44:J49" si="6">4.56/J$1</f>
        <v>0.15724137931034482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7">
        <v>2.1160000000000002E-2</v>
      </c>
      <c r="P44" s="5">
        <f t="shared" si="5"/>
        <v>0.17984137931034483</v>
      </c>
      <c r="Q44" s="24">
        <v>61822</v>
      </c>
      <c r="R44" s="24">
        <v>61822</v>
      </c>
      <c r="S44" s="3">
        <v>4000</v>
      </c>
      <c r="T44" s="1" t="s">
        <v>133</v>
      </c>
      <c r="U44" s="9">
        <f t="shared" ref="U44:U56" si="7">J44*J$1*S44</f>
        <v>18240</v>
      </c>
      <c r="V44" s="9">
        <v>18240</v>
      </c>
      <c r="W44" s="61">
        <v>162284</v>
      </c>
      <c r="X44" s="61">
        <v>142752</v>
      </c>
      <c r="Y44" s="1"/>
      <c r="Z44" s="36"/>
      <c r="AA44" s="36"/>
    </row>
    <row r="45" spans="1:27" s="78" customFormat="1" x14ac:dyDescent="0.2">
      <c r="B45" s="1" t="s">
        <v>258</v>
      </c>
      <c r="C45" s="3" t="s">
        <v>46</v>
      </c>
      <c r="D45" s="3" t="s">
        <v>37</v>
      </c>
      <c r="E45" s="4">
        <v>36526</v>
      </c>
      <c r="F45" s="4">
        <v>36830</v>
      </c>
      <c r="G45" s="1" t="s">
        <v>134</v>
      </c>
      <c r="H45" s="1" t="s">
        <v>239</v>
      </c>
      <c r="I45" s="3" t="s">
        <v>60</v>
      </c>
      <c r="J45" s="56">
        <f t="shared" si="6"/>
        <v>0.15724137931034482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7">
        <v>2.1160000000000002E-2</v>
      </c>
      <c r="P45" s="5">
        <f>SUM(J45:N45)</f>
        <v>0.18014137931034482</v>
      </c>
      <c r="Q45" s="24">
        <v>61825</v>
      </c>
      <c r="R45" s="24">
        <v>61825</v>
      </c>
      <c r="S45" s="3">
        <v>2000</v>
      </c>
      <c r="T45" s="29" t="s">
        <v>237</v>
      </c>
      <c r="U45" s="9">
        <f t="shared" si="7"/>
        <v>9120</v>
      </c>
      <c r="V45" s="9">
        <v>9120</v>
      </c>
      <c r="W45" s="61">
        <v>156570</v>
      </c>
      <c r="X45" s="61">
        <v>140437</v>
      </c>
      <c r="Y45" s="9"/>
      <c r="Z45" s="36"/>
      <c r="AA45" s="36"/>
    </row>
    <row r="46" spans="1:27" s="78" customFormat="1" x14ac:dyDescent="0.2">
      <c r="B46" s="1" t="s">
        <v>258</v>
      </c>
      <c r="C46" s="3" t="s">
        <v>46</v>
      </c>
      <c r="D46" s="3" t="s">
        <v>37</v>
      </c>
      <c r="E46" s="4">
        <v>36526</v>
      </c>
      <c r="F46" s="4">
        <v>36830</v>
      </c>
      <c r="G46" s="1" t="s">
        <v>140</v>
      </c>
      <c r="H46" s="1" t="s">
        <v>239</v>
      </c>
      <c r="I46" s="3" t="s">
        <v>60</v>
      </c>
      <c r="J46" s="56">
        <f t="shared" si="6"/>
        <v>0.15724137931034482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7">
        <v>2.1160000000000002E-2</v>
      </c>
      <c r="P46" s="5">
        <f>SUM(J46:N46)</f>
        <v>0.18014137931034482</v>
      </c>
      <c r="Q46" s="24">
        <v>61825</v>
      </c>
      <c r="R46" s="24">
        <v>61825</v>
      </c>
      <c r="S46" s="3">
        <v>5000</v>
      </c>
      <c r="T46" s="29" t="s">
        <v>237</v>
      </c>
      <c r="U46" s="9">
        <f t="shared" si="7"/>
        <v>22799.999999999996</v>
      </c>
      <c r="V46" s="9">
        <v>22800</v>
      </c>
      <c r="W46" s="61">
        <v>156570</v>
      </c>
      <c r="X46" s="61">
        <v>140437</v>
      </c>
      <c r="Y46" s="9"/>
      <c r="Z46" s="36"/>
      <c r="AA46" s="36"/>
    </row>
    <row r="47" spans="1:27" s="78" customFormat="1" x14ac:dyDescent="0.2">
      <c r="B47" s="1" t="s">
        <v>258</v>
      </c>
      <c r="C47" s="3" t="s">
        <v>46</v>
      </c>
      <c r="D47" s="3" t="s">
        <v>37</v>
      </c>
      <c r="E47" s="4">
        <v>36526</v>
      </c>
      <c r="F47" s="4">
        <v>36830</v>
      </c>
      <c r="G47" s="1" t="s">
        <v>238</v>
      </c>
      <c r="H47" s="1" t="s">
        <v>239</v>
      </c>
      <c r="I47" s="3" t="s">
        <v>60</v>
      </c>
      <c r="J47" s="56">
        <f t="shared" si="6"/>
        <v>0.15724137931034482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7">
        <v>2.1160000000000002E-2</v>
      </c>
      <c r="P47" s="5">
        <f>SUM(J47:N47)</f>
        <v>0.18014137931034482</v>
      </c>
      <c r="Q47" s="24">
        <v>61825</v>
      </c>
      <c r="R47" s="24">
        <v>61825</v>
      </c>
      <c r="S47" s="3">
        <v>1000</v>
      </c>
      <c r="T47" s="29" t="s">
        <v>237</v>
      </c>
      <c r="U47" s="9">
        <f t="shared" si="7"/>
        <v>4560</v>
      </c>
      <c r="V47" s="9">
        <v>4560</v>
      </c>
      <c r="W47" s="61">
        <v>156570</v>
      </c>
      <c r="X47" s="61">
        <v>140437</v>
      </c>
      <c r="Y47" s="9"/>
      <c r="Z47" s="36"/>
      <c r="AA47" s="36"/>
    </row>
    <row r="48" spans="1:27" s="78" customFormat="1" x14ac:dyDescent="0.2">
      <c r="B48" s="1" t="s">
        <v>258</v>
      </c>
      <c r="C48" s="3" t="s">
        <v>46</v>
      </c>
      <c r="D48" s="3"/>
      <c r="E48" s="4">
        <v>36100</v>
      </c>
      <c r="F48" s="4">
        <v>36830</v>
      </c>
      <c r="G48" s="1" t="s">
        <v>134</v>
      </c>
      <c r="H48" s="29" t="s">
        <v>135</v>
      </c>
      <c r="I48" s="3" t="s">
        <v>60</v>
      </c>
      <c r="J48" s="56">
        <f t="shared" si="6"/>
        <v>0.15724137931034482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7">
        <v>2.1160000000000002E-2</v>
      </c>
      <c r="P48" s="5">
        <f t="shared" si="5"/>
        <v>0.17984137931034483</v>
      </c>
      <c r="Q48" s="24">
        <v>61838</v>
      </c>
      <c r="R48" s="24">
        <v>61838</v>
      </c>
      <c r="S48" s="3">
        <v>1000</v>
      </c>
      <c r="T48" s="1" t="s">
        <v>136</v>
      </c>
      <c r="U48" s="9">
        <f t="shared" si="7"/>
        <v>4560</v>
      </c>
      <c r="V48" s="9">
        <v>4560</v>
      </c>
      <c r="W48" s="61">
        <v>156571</v>
      </c>
      <c r="X48" s="61">
        <v>142768</v>
      </c>
      <c r="Y48" s="1"/>
      <c r="Z48" s="36"/>
      <c r="AA48" s="36"/>
    </row>
    <row r="49" spans="2:27" s="78" customFormat="1" x14ac:dyDescent="0.2">
      <c r="B49" s="1" t="s">
        <v>258</v>
      </c>
      <c r="C49" s="3" t="s">
        <v>46</v>
      </c>
      <c r="D49" s="3" t="s">
        <v>37</v>
      </c>
      <c r="E49" s="4">
        <v>36526</v>
      </c>
      <c r="F49" s="4">
        <v>36830</v>
      </c>
      <c r="G49" s="1" t="s">
        <v>134</v>
      </c>
      <c r="H49" s="1" t="s">
        <v>241</v>
      </c>
      <c r="I49" s="3" t="s">
        <v>60</v>
      </c>
      <c r="J49" s="56">
        <f t="shared" si="6"/>
        <v>0.15724137931034482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7">
        <v>2.1160000000000002E-2</v>
      </c>
      <c r="P49" s="5">
        <f>SUM(J49:N49)</f>
        <v>0.18014137931034482</v>
      </c>
      <c r="Q49" s="24">
        <v>61990</v>
      </c>
      <c r="R49" s="24">
        <v>61990</v>
      </c>
      <c r="S49" s="3">
        <v>2000</v>
      </c>
      <c r="T49" s="29" t="s">
        <v>240</v>
      </c>
      <c r="U49" s="9">
        <f t="shared" si="7"/>
        <v>9120</v>
      </c>
      <c r="V49" s="9">
        <v>9120</v>
      </c>
      <c r="W49" s="61">
        <v>156573</v>
      </c>
      <c r="X49" s="61">
        <v>140438</v>
      </c>
      <c r="Y49" s="9"/>
      <c r="Z49" s="36"/>
      <c r="AA49" s="36"/>
    </row>
    <row r="50" spans="2:27" s="144" customFormat="1" x14ac:dyDescent="0.2">
      <c r="B50" s="43" t="s">
        <v>258</v>
      </c>
      <c r="C50" s="134" t="s">
        <v>46</v>
      </c>
      <c r="D50" s="134" t="s">
        <v>51</v>
      </c>
      <c r="E50" s="135">
        <v>36130</v>
      </c>
      <c r="F50" s="135">
        <v>36891</v>
      </c>
      <c r="G50" s="43" t="s">
        <v>374</v>
      </c>
      <c r="H50" s="43" t="s">
        <v>375</v>
      </c>
      <c r="I50" s="134" t="s">
        <v>60</v>
      </c>
      <c r="J50" s="136">
        <f>3.0417/J$1</f>
        <v>0.10488620689655173</v>
      </c>
      <c r="K50" s="137"/>
      <c r="L50" s="137"/>
      <c r="M50" s="137"/>
      <c r="N50" s="137"/>
      <c r="O50" s="138"/>
      <c r="P50" s="137"/>
      <c r="Q50" s="139">
        <v>62164</v>
      </c>
      <c r="R50" s="139">
        <v>62164</v>
      </c>
      <c r="S50" s="134">
        <v>2000</v>
      </c>
      <c r="T50" s="140" t="s">
        <v>376</v>
      </c>
      <c r="U50" s="141">
        <v>2000</v>
      </c>
      <c r="V50" s="141">
        <v>6083</v>
      </c>
      <c r="W50" s="142"/>
      <c r="X50" s="142"/>
      <c r="Y50" s="141"/>
      <c r="Z50" s="143"/>
      <c r="AA50" s="143"/>
    </row>
    <row r="51" spans="2:27" s="78" customFormat="1" x14ac:dyDescent="0.2">
      <c r="B51" s="1" t="s">
        <v>258</v>
      </c>
      <c r="C51" s="3" t="s">
        <v>46</v>
      </c>
      <c r="D51" s="3" t="s">
        <v>37</v>
      </c>
      <c r="E51" s="4">
        <v>36526</v>
      </c>
      <c r="F51" s="4">
        <v>36616</v>
      </c>
      <c r="G51" s="1" t="s">
        <v>47</v>
      </c>
      <c r="H51" s="1" t="s">
        <v>48</v>
      </c>
      <c r="I51" s="3" t="s">
        <v>60</v>
      </c>
      <c r="J51" s="8">
        <f>1.521/J$1</f>
        <v>5.244827586206896E-2</v>
      </c>
      <c r="K51" s="5">
        <v>1.32E-2</v>
      </c>
      <c r="L51" s="5">
        <v>2.2000000000000001E-3</v>
      </c>
      <c r="M51" s="5">
        <v>7.4999999999999997E-3</v>
      </c>
      <c r="N51" s="5">
        <v>0</v>
      </c>
      <c r="O51" s="47">
        <v>2.1160000000000002E-2</v>
      </c>
      <c r="P51" s="5">
        <f>SUM(J51:N51)</f>
        <v>7.5348275862068964E-2</v>
      </c>
      <c r="Q51" s="24">
        <v>62978</v>
      </c>
      <c r="R51" s="24">
        <v>62978</v>
      </c>
      <c r="S51" s="3">
        <v>8000</v>
      </c>
      <c r="T51" s="29" t="s">
        <v>377</v>
      </c>
      <c r="U51" s="9">
        <f t="shared" si="7"/>
        <v>12168</v>
      </c>
      <c r="V51" s="9">
        <v>12168</v>
      </c>
      <c r="W51" s="61">
        <v>156574</v>
      </c>
      <c r="X51" s="61">
        <v>139318</v>
      </c>
      <c r="Y51" s="9"/>
      <c r="Z51" s="36"/>
      <c r="AA51" s="36"/>
    </row>
    <row r="52" spans="2:27" s="78" customFormat="1" x14ac:dyDescent="0.2">
      <c r="B52" s="1" t="s">
        <v>258</v>
      </c>
      <c r="C52" s="3" t="s">
        <v>46</v>
      </c>
      <c r="D52" s="3" t="s">
        <v>58</v>
      </c>
      <c r="E52" s="4">
        <v>36220</v>
      </c>
      <c r="F52" s="4">
        <v>36585</v>
      </c>
      <c r="G52" s="1" t="s">
        <v>59</v>
      </c>
      <c r="H52" s="1" t="s">
        <v>62</v>
      </c>
      <c r="I52" s="3" t="s">
        <v>60</v>
      </c>
      <c r="J52" s="8">
        <f>6.449/J$1</f>
        <v>0.22237931034482758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7">
        <v>2.1160000000000002E-2</v>
      </c>
      <c r="P52" s="5">
        <f t="shared" si="5"/>
        <v>0.24497931034482759</v>
      </c>
      <c r="Q52" s="24">
        <v>62982</v>
      </c>
      <c r="R52" s="24">
        <v>62982</v>
      </c>
      <c r="S52" s="3">
        <v>2</v>
      </c>
      <c r="T52" s="1" t="s">
        <v>63</v>
      </c>
      <c r="U52" s="9">
        <f t="shared" si="7"/>
        <v>12.898</v>
      </c>
      <c r="V52" s="9">
        <v>13</v>
      </c>
      <c r="W52" s="61">
        <v>156575</v>
      </c>
      <c r="X52" s="61">
        <v>140914</v>
      </c>
      <c r="Y52" s="1"/>
      <c r="Z52" s="36"/>
      <c r="AA52" s="36"/>
    </row>
    <row r="53" spans="2:27" s="78" customFormat="1" x14ac:dyDescent="0.2">
      <c r="B53" s="1" t="s">
        <v>258</v>
      </c>
      <c r="C53" s="3" t="s">
        <v>46</v>
      </c>
      <c r="D53" s="3" t="s">
        <v>57</v>
      </c>
      <c r="E53" s="4">
        <v>36220</v>
      </c>
      <c r="F53" s="4">
        <v>36585</v>
      </c>
      <c r="G53" s="1" t="s">
        <v>59</v>
      </c>
      <c r="H53" s="1" t="s">
        <v>61</v>
      </c>
      <c r="I53" s="3" t="s">
        <v>60</v>
      </c>
      <c r="J53" s="8">
        <f>6.449/J$1</f>
        <v>0.22237931034482758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7">
        <v>2.1160000000000002E-2</v>
      </c>
      <c r="P53" s="5">
        <f t="shared" si="5"/>
        <v>0.24497931034482759</v>
      </c>
      <c r="Q53" s="24">
        <v>62983</v>
      </c>
      <c r="R53" s="24">
        <v>62983</v>
      </c>
      <c r="S53" s="3">
        <v>2</v>
      </c>
      <c r="T53" s="1" t="s">
        <v>64</v>
      </c>
      <c r="U53" s="9">
        <f t="shared" si="7"/>
        <v>12.898</v>
      </c>
      <c r="V53" s="9">
        <v>13</v>
      </c>
      <c r="W53" s="61">
        <v>156576</v>
      </c>
      <c r="X53" s="61">
        <v>140916</v>
      </c>
      <c r="Y53" s="1"/>
      <c r="Z53" s="36"/>
      <c r="AA53" s="36"/>
    </row>
    <row r="54" spans="2:27" s="78" customFormat="1" x14ac:dyDescent="0.2">
      <c r="B54" s="1" t="s">
        <v>258</v>
      </c>
      <c r="C54" s="3" t="s">
        <v>46</v>
      </c>
      <c r="D54" s="3" t="s">
        <v>68</v>
      </c>
      <c r="E54" s="4">
        <v>36434</v>
      </c>
      <c r="F54" s="4">
        <v>36616</v>
      </c>
      <c r="G54" s="1" t="s">
        <v>69</v>
      </c>
      <c r="H54" s="1" t="s">
        <v>97</v>
      </c>
      <c r="I54" s="3" t="s">
        <v>95</v>
      </c>
      <c r="J54" s="8">
        <f>6.329/J$1</f>
        <v>0.21824137931034482</v>
      </c>
      <c r="K54" s="5">
        <v>1.2999999999999999E-2</v>
      </c>
      <c r="L54" s="5">
        <v>2.2000000000000001E-3</v>
      </c>
      <c r="M54" s="5">
        <v>7.1999999999999998E-3</v>
      </c>
      <c r="N54" s="5">
        <v>0</v>
      </c>
      <c r="O54" s="47">
        <v>2.1160000000000002E-2</v>
      </c>
      <c r="P54" s="5">
        <f t="shared" si="5"/>
        <v>0.24064137931034485</v>
      </c>
      <c r="Q54" s="24">
        <v>63281</v>
      </c>
      <c r="R54" s="24">
        <v>63281</v>
      </c>
      <c r="S54" s="3">
        <v>134710</v>
      </c>
      <c r="T54" s="1" t="s">
        <v>98</v>
      </c>
      <c r="U54" s="9">
        <f t="shared" si="7"/>
        <v>852579.59</v>
      </c>
      <c r="V54" s="9">
        <v>818633</v>
      </c>
      <c r="W54" s="61">
        <v>156577</v>
      </c>
      <c r="X54" s="61">
        <v>141177</v>
      </c>
      <c r="Y54" s="1"/>
      <c r="Z54" s="36"/>
      <c r="AA54" s="36"/>
    </row>
    <row r="55" spans="2:27" s="78" customFormat="1" x14ac:dyDescent="0.2">
      <c r="B55" s="1" t="s">
        <v>258</v>
      </c>
      <c r="C55" s="3" t="s">
        <v>46</v>
      </c>
      <c r="D55" s="3" t="s">
        <v>58</v>
      </c>
      <c r="E55" s="4">
        <v>36251</v>
      </c>
      <c r="F55" s="4">
        <v>36616</v>
      </c>
      <c r="G55" s="1" t="s">
        <v>59</v>
      </c>
      <c r="H55" s="1" t="s">
        <v>62</v>
      </c>
      <c r="I55" s="3" t="s">
        <v>60</v>
      </c>
      <c r="J55" s="8">
        <f>6.449/J$1</f>
        <v>0.22237931034482758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7">
        <v>2.1160000000000002E-2</v>
      </c>
      <c r="P55" s="5">
        <f t="shared" si="5"/>
        <v>0.24497931034482759</v>
      </c>
      <c r="Q55" s="24">
        <v>63282</v>
      </c>
      <c r="R55" s="24">
        <v>63282</v>
      </c>
      <c r="S55" s="3">
        <v>6</v>
      </c>
      <c r="T55" s="1" t="s">
        <v>65</v>
      </c>
      <c r="U55" s="9">
        <f t="shared" si="7"/>
        <v>38.694000000000003</v>
      </c>
      <c r="V55" s="9">
        <v>39</v>
      </c>
      <c r="W55" s="61">
        <v>156578</v>
      </c>
      <c r="X55" s="61">
        <v>140965</v>
      </c>
      <c r="Y55" s="1"/>
      <c r="Z55" s="36"/>
      <c r="AA55" s="36"/>
    </row>
    <row r="56" spans="2:27" s="78" customFormat="1" x14ac:dyDescent="0.2">
      <c r="B56" s="1" t="s">
        <v>258</v>
      </c>
      <c r="C56" s="3" t="s">
        <v>46</v>
      </c>
      <c r="D56" s="3" t="s">
        <v>57</v>
      </c>
      <c r="E56" s="4">
        <v>36251</v>
      </c>
      <c r="F56" s="4">
        <v>36616</v>
      </c>
      <c r="G56" s="1" t="s">
        <v>59</v>
      </c>
      <c r="H56" s="1" t="s">
        <v>66</v>
      </c>
      <c r="I56" s="3" t="s">
        <v>60</v>
      </c>
      <c r="J56" s="8">
        <f>6.449/J$1</f>
        <v>0.22237931034482758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7">
        <v>2.1160000000000002E-2</v>
      </c>
      <c r="P56" s="5">
        <f t="shared" si="5"/>
        <v>0.24497931034482759</v>
      </c>
      <c r="Q56" s="24">
        <v>63283</v>
      </c>
      <c r="R56" s="24">
        <v>63283</v>
      </c>
      <c r="S56" s="3">
        <v>46</v>
      </c>
      <c r="T56" s="1" t="s">
        <v>67</v>
      </c>
      <c r="U56" s="9">
        <f t="shared" si="7"/>
        <v>296.654</v>
      </c>
      <c r="V56" s="9">
        <v>297</v>
      </c>
      <c r="W56" s="61">
        <v>156579</v>
      </c>
      <c r="X56" s="61">
        <v>140968</v>
      </c>
      <c r="Y56" s="1"/>
      <c r="Z56" s="36"/>
      <c r="AA56" s="36"/>
    </row>
    <row r="57" spans="2:27" s="78" customFormat="1" x14ac:dyDescent="0.2">
      <c r="B57" s="1" t="s">
        <v>258</v>
      </c>
      <c r="C57" s="3" t="s">
        <v>46</v>
      </c>
      <c r="D57" s="3" t="s">
        <v>68</v>
      </c>
      <c r="E57" s="4">
        <v>36251</v>
      </c>
      <c r="F57" s="4">
        <v>36616</v>
      </c>
      <c r="G57" s="1" t="s">
        <v>69</v>
      </c>
      <c r="H57" s="1" t="s">
        <v>71</v>
      </c>
      <c r="I57" s="3" t="s">
        <v>70</v>
      </c>
      <c r="J57" s="8">
        <v>2.9100000000000001E-2</v>
      </c>
      <c r="K57" s="5">
        <v>0</v>
      </c>
      <c r="L57" s="5">
        <v>0</v>
      </c>
      <c r="M57" s="5">
        <v>0</v>
      </c>
      <c r="N57" s="5">
        <v>0</v>
      </c>
      <c r="O57" s="47">
        <v>0</v>
      </c>
      <c r="P57" s="5">
        <f t="shared" si="5"/>
        <v>2.9100000000000001E-2</v>
      </c>
      <c r="Q57" s="24">
        <v>63304</v>
      </c>
      <c r="R57" s="24">
        <v>63304</v>
      </c>
      <c r="S57" s="3">
        <v>7503838</v>
      </c>
      <c r="T57" s="1" t="s">
        <v>232</v>
      </c>
      <c r="U57" s="9">
        <f>J57*S57</f>
        <v>218361.68580000001</v>
      </c>
      <c r="V57" s="9">
        <v>219862</v>
      </c>
      <c r="W57" s="61">
        <v>156580</v>
      </c>
      <c r="X57" s="61">
        <v>151879</v>
      </c>
      <c r="Y57" s="1"/>
      <c r="Z57" s="36"/>
      <c r="AA57" s="36"/>
    </row>
    <row r="58" spans="2:27" s="78" customFormat="1" x14ac:dyDescent="0.2">
      <c r="B58" s="1" t="s">
        <v>258</v>
      </c>
      <c r="C58" s="3" t="s">
        <v>46</v>
      </c>
      <c r="D58" s="3" t="s">
        <v>68</v>
      </c>
      <c r="E58" s="4">
        <v>36251</v>
      </c>
      <c r="F58" s="4">
        <v>36616</v>
      </c>
      <c r="G58" s="1" t="s">
        <v>69</v>
      </c>
      <c r="H58" s="1" t="s">
        <v>72</v>
      </c>
      <c r="I58" s="3" t="s">
        <v>70</v>
      </c>
      <c r="J58" s="8">
        <v>1.512</v>
      </c>
      <c r="K58" s="5">
        <v>0</v>
      </c>
      <c r="L58" s="5">
        <v>0</v>
      </c>
      <c r="M58" s="5">
        <v>0</v>
      </c>
      <c r="N58" s="5">
        <v>0</v>
      </c>
      <c r="O58" s="47">
        <v>0</v>
      </c>
      <c r="P58" s="5">
        <f t="shared" si="5"/>
        <v>1.512</v>
      </c>
      <c r="Q58" s="24">
        <v>63304</v>
      </c>
      <c r="R58" s="24">
        <v>63304</v>
      </c>
      <c r="S58" s="3">
        <v>134743</v>
      </c>
      <c r="T58" s="1" t="s">
        <v>232</v>
      </c>
      <c r="U58" s="9">
        <f>J58*S58</f>
        <v>203731.416</v>
      </c>
      <c r="V58" s="9">
        <v>205348</v>
      </c>
      <c r="W58" s="61">
        <v>156580</v>
      </c>
      <c r="X58" s="61">
        <v>151879</v>
      </c>
      <c r="Y58" s="1"/>
      <c r="Z58" s="36"/>
      <c r="AA58" s="36"/>
    </row>
    <row r="59" spans="2:27" s="78" customFormat="1" x14ac:dyDescent="0.2">
      <c r="B59" s="1" t="s">
        <v>258</v>
      </c>
      <c r="C59" s="3" t="s">
        <v>46</v>
      </c>
      <c r="D59" s="3" t="s">
        <v>58</v>
      </c>
      <c r="E59" s="4">
        <v>36281</v>
      </c>
      <c r="F59" s="4">
        <v>36646</v>
      </c>
      <c r="G59" s="1" t="s">
        <v>59</v>
      </c>
      <c r="H59" s="1" t="s">
        <v>62</v>
      </c>
      <c r="I59" s="3" t="s">
        <v>60</v>
      </c>
      <c r="J59" s="8">
        <f>6.449/J$1</f>
        <v>0.22237931034482758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7">
        <v>2.1160000000000002E-2</v>
      </c>
      <c r="P59" s="5">
        <f t="shared" si="5"/>
        <v>0.24497931034482759</v>
      </c>
      <c r="Q59" s="24">
        <v>63557</v>
      </c>
      <c r="R59" s="24">
        <v>63557</v>
      </c>
      <c r="S59" s="3">
        <v>33</v>
      </c>
      <c r="T59" s="1" t="s">
        <v>74</v>
      </c>
      <c r="U59" s="9">
        <f t="shared" ref="U59:U81" si="8">J59*J$1*S59</f>
        <v>212.81700000000001</v>
      </c>
      <c r="V59" s="9">
        <v>213</v>
      </c>
      <c r="W59" s="61">
        <v>156581</v>
      </c>
      <c r="X59" s="61">
        <v>140974</v>
      </c>
      <c r="Y59" s="1"/>
      <c r="Z59" s="36"/>
      <c r="AA59" s="36"/>
    </row>
    <row r="60" spans="2:27" s="78" customFormat="1" x14ac:dyDescent="0.2">
      <c r="B60" s="1" t="s">
        <v>258</v>
      </c>
      <c r="C60" s="3" t="s">
        <v>46</v>
      </c>
      <c r="D60" s="3" t="s">
        <v>37</v>
      </c>
      <c r="E60" s="4">
        <v>36526</v>
      </c>
      <c r="F60" s="4">
        <v>36616</v>
      </c>
      <c r="G60" s="1" t="s">
        <v>47</v>
      </c>
      <c r="H60" s="1" t="s">
        <v>48</v>
      </c>
      <c r="I60" s="3" t="s">
        <v>60</v>
      </c>
      <c r="J60" s="8">
        <v>4.4999999999999998E-2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7">
        <v>2.1160000000000002E-2</v>
      </c>
      <c r="P60" s="5">
        <f>SUM(J60:N60)</f>
        <v>6.7900000000000002E-2</v>
      </c>
      <c r="Q60" s="24">
        <v>63764</v>
      </c>
      <c r="R60" s="24">
        <v>63764</v>
      </c>
      <c r="S60" s="3">
        <v>10000</v>
      </c>
      <c r="T60" s="1" t="s">
        <v>49</v>
      </c>
      <c r="U60" s="9">
        <f>J60*J$1*S60</f>
        <v>13050</v>
      </c>
      <c r="V60" s="9">
        <v>13687</v>
      </c>
      <c r="W60" s="61">
        <v>156582</v>
      </c>
      <c r="X60" s="61">
        <v>139469</v>
      </c>
      <c r="Y60" s="9"/>
      <c r="Z60" s="36"/>
      <c r="AA60" s="36"/>
    </row>
    <row r="61" spans="2:27" s="78" customFormat="1" x14ac:dyDescent="0.2">
      <c r="B61" s="1" t="s">
        <v>258</v>
      </c>
      <c r="C61" s="3" t="s">
        <v>46</v>
      </c>
      <c r="D61" s="3" t="s">
        <v>58</v>
      </c>
      <c r="E61" s="4">
        <v>36312</v>
      </c>
      <c r="F61" s="4">
        <v>36677</v>
      </c>
      <c r="G61" s="1" t="s">
        <v>59</v>
      </c>
      <c r="H61" s="1" t="s">
        <v>62</v>
      </c>
      <c r="I61" s="3" t="s">
        <v>60</v>
      </c>
      <c r="J61" s="8">
        <f t="shared" ref="J61:J68" si="9">6.449/J$1</f>
        <v>0.22237931034482758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7">
        <v>2.1160000000000002E-2</v>
      </c>
      <c r="P61" s="5">
        <f t="shared" si="5"/>
        <v>0.24497931034482759</v>
      </c>
      <c r="Q61" s="24">
        <v>63822</v>
      </c>
      <c r="R61" s="24">
        <v>63822</v>
      </c>
      <c r="S61" s="3">
        <v>303</v>
      </c>
      <c r="T61" s="1" t="s">
        <v>75</v>
      </c>
      <c r="U61" s="9">
        <f t="shared" si="8"/>
        <v>1954.047</v>
      </c>
      <c r="V61" s="9">
        <v>1954</v>
      </c>
      <c r="W61" s="61">
        <v>156583</v>
      </c>
      <c r="X61" s="61">
        <v>141146</v>
      </c>
      <c r="Y61" s="1"/>
      <c r="Z61" s="36"/>
      <c r="AA61" s="36"/>
    </row>
    <row r="62" spans="2:27" s="78" customFormat="1" x14ac:dyDescent="0.2">
      <c r="B62" s="1" t="s">
        <v>258</v>
      </c>
      <c r="C62" s="3" t="s">
        <v>46</v>
      </c>
      <c r="D62" s="3" t="s">
        <v>57</v>
      </c>
      <c r="E62" s="4">
        <v>36312</v>
      </c>
      <c r="F62" s="4">
        <v>36677</v>
      </c>
      <c r="G62" s="1" t="s">
        <v>59</v>
      </c>
      <c r="H62" s="1" t="s">
        <v>66</v>
      </c>
      <c r="I62" s="3" t="s">
        <v>60</v>
      </c>
      <c r="J62" s="8">
        <f t="shared" si="9"/>
        <v>0.22237931034482758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7">
        <v>2.1160000000000002E-2</v>
      </c>
      <c r="P62" s="5">
        <f t="shared" si="5"/>
        <v>0.24497931034482759</v>
      </c>
      <c r="Q62" s="24">
        <v>63825</v>
      </c>
      <c r="R62" s="24">
        <v>63825</v>
      </c>
      <c r="S62" s="3">
        <v>213</v>
      </c>
      <c r="T62" s="1" t="s">
        <v>76</v>
      </c>
      <c r="U62" s="9">
        <f t="shared" si="8"/>
        <v>1373.6369999999999</v>
      </c>
      <c r="V62" s="9">
        <v>1374</v>
      </c>
      <c r="W62" s="61">
        <v>156584</v>
      </c>
      <c r="X62" s="61">
        <v>141148</v>
      </c>
      <c r="Y62" s="1"/>
      <c r="Z62" s="36"/>
      <c r="AA62" s="36"/>
    </row>
    <row r="63" spans="2:27" s="78" customFormat="1" x14ac:dyDescent="0.2">
      <c r="B63" s="1" t="s">
        <v>258</v>
      </c>
      <c r="C63" s="3" t="s">
        <v>46</v>
      </c>
      <c r="D63" s="3" t="s">
        <v>58</v>
      </c>
      <c r="E63" s="4">
        <v>36342</v>
      </c>
      <c r="F63" s="4">
        <v>36707</v>
      </c>
      <c r="G63" s="1" t="s">
        <v>59</v>
      </c>
      <c r="H63" s="1" t="s">
        <v>62</v>
      </c>
      <c r="I63" s="3" t="s">
        <v>60</v>
      </c>
      <c r="J63" s="8">
        <f t="shared" si="9"/>
        <v>0.22237931034482758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7">
        <v>2.1160000000000002E-2</v>
      </c>
      <c r="P63" s="5">
        <f t="shared" si="5"/>
        <v>0.24497931034482759</v>
      </c>
      <c r="Q63" s="24">
        <v>64034</v>
      </c>
      <c r="R63" s="24">
        <v>64034</v>
      </c>
      <c r="S63" s="3">
        <v>911</v>
      </c>
      <c r="T63" s="1" t="s">
        <v>77</v>
      </c>
      <c r="U63" s="9">
        <f t="shared" si="8"/>
        <v>5875.0389999999998</v>
      </c>
      <c r="V63" s="9">
        <v>5875</v>
      </c>
      <c r="W63" s="61">
        <v>156585</v>
      </c>
      <c r="X63" s="61">
        <v>141150</v>
      </c>
      <c r="Y63" s="1"/>
      <c r="Z63" s="36"/>
      <c r="AA63" s="36"/>
    </row>
    <row r="64" spans="2:27" s="78" customFormat="1" x14ac:dyDescent="0.2">
      <c r="B64" s="1" t="s">
        <v>258</v>
      </c>
      <c r="C64" s="3" t="s">
        <v>46</v>
      </c>
      <c r="D64" s="3" t="s">
        <v>57</v>
      </c>
      <c r="E64" s="4">
        <v>36342</v>
      </c>
      <c r="F64" s="4">
        <v>36707</v>
      </c>
      <c r="G64" s="1" t="s">
        <v>59</v>
      </c>
      <c r="H64" s="1" t="s">
        <v>61</v>
      </c>
      <c r="I64" s="3" t="s">
        <v>60</v>
      </c>
      <c r="J64" s="8">
        <f t="shared" si="9"/>
        <v>0.22237931034482758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7">
        <v>2.1160000000000002E-2</v>
      </c>
      <c r="P64" s="5">
        <f t="shared" si="5"/>
        <v>0.24497931034482759</v>
      </c>
      <c r="Q64" s="24">
        <v>64036</v>
      </c>
      <c r="R64" s="24">
        <v>64036</v>
      </c>
      <c r="S64" s="3">
        <v>1</v>
      </c>
      <c r="T64" s="1" t="s">
        <v>78</v>
      </c>
      <c r="U64" s="9">
        <f t="shared" si="8"/>
        <v>6.4489999999999998</v>
      </c>
      <c r="V64" s="9">
        <v>6</v>
      </c>
      <c r="W64" s="61">
        <v>156586</v>
      </c>
      <c r="X64" s="61">
        <v>141151</v>
      </c>
      <c r="Y64" s="1"/>
      <c r="Z64" s="36"/>
      <c r="AA64" s="36"/>
    </row>
    <row r="65" spans="2:27" s="78" customFormat="1" x14ac:dyDescent="0.2">
      <c r="B65" s="1" t="s">
        <v>258</v>
      </c>
      <c r="C65" s="3" t="s">
        <v>46</v>
      </c>
      <c r="D65" s="3" t="s">
        <v>58</v>
      </c>
      <c r="E65" s="4">
        <v>36373</v>
      </c>
      <c r="F65" s="4">
        <v>36738</v>
      </c>
      <c r="G65" s="1" t="s">
        <v>59</v>
      </c>
      <c r="H65" s="1" t="s">
        <v>62</v>
      </c>
      <c r="I65" s="3" t="s">
        <v>60</v>
      </c>
      <c r="J65" s="8">
        <f t="shared" si="9"/>
        <v>0.22237931034482758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7">
        <v>2.1160000000000002E-2</v>
      </c>
      <c r="P65" s="5">
        <f t="shared" si="5"/>
        <v>0.24497931034482759</v>
      </c>
      <c r="Q65" s="24">
        <v>64328</v>
      </c>
      <c r="R65" s="24">
        <v>64328</v>
      </c>
      <c r="S65" s="3">
        <v>51</v>
      </c>
      <c r="T65" s="1" t="s">
        <v>79</v>
      </c>
      <c r="U65" s="9">
        <f t="shared" si="8"/>
        <v>328.899</v>
      </c>
      <c r="V65" s="9">
        <v>329</v>
      </c>
      <c r="W65" s="61">
        <v>156588</v>
      </c>
      <c r="X65" s="61">
        <v>141152</v>
      </c>
      <c r="Y65" s="1"/>
      <c r="Z65" s="36"/>
      <c r="AA65" s="36"/>
    </row>
    <row r="66" spans="2:27" s="78" customFormat="1" x14ac:dyDescent="0.2">
      <c r="B66" s="1" t="s">
        <v>258</v>
      </c>
      <c r="C66" s="3" t="s">
        <v>46</v>
      </c>
      <c r="D66" s="3" t="s">
        <v>57</v>
      </c>
      <c r="E66" s="4">
        <v>36373</v>
      </c>
      <c r="F66" s="4">
        <v>36738</v>
      </c>
      <c r="G66" s="1" t="s">
        <v>59</v>
      </c>
      <c r="H66" s="1" t="s">
        <v>66</v>
      </c>
      <c r="I66" s="3" t="s">
        <v>60</v>
      </c>
      <c r="J66" s="8">
        <f t="shared" si="9"/>
        <v>0.22237931034482758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7">
        <v>2.1160000000000002E-2</v>
      </c>
      <c r="P66" s="5">
        <f t="shared" si="5"/>
        <v>0.24497931034482759</v>
      </c>
      <c r="Q66" s="24">
        <v>64329</v>
      </c>
      <c r="R66" s="24">
        <v>64329</v>
      </c>
      <c r="S66" s="3">
        <v>12</v>
      </c>
      <c r="T66" s="1" t="s">
        <v>80</v>
      </c>
      <c r="U66" s="9">
        <f t="shared" si="8"/>
        <v>77.388000000000005</v>
      </c>
      <c r="V66" s="9">
        <v>77</v>
      </c>
      <c r="W66" s="61">
        <v>156590</v>
      </c>
      <c r="X66" s="61">
        <v>141153</v>
      </c>
      <c r="Y66" s="1"/>
      <c r="Z66" s="36"/>
      <c r="AA66" s="36"/>
    </row>
    <row r="67" spans="2:27" s="78" customFormat="1" x14ac:dyDescent="0.2">
      <c r="B67" s="1" t="s">
        <v>258</v>
      </c>
      <c r="C67" s="3" t="s">
        <v>46</v>
      </c>
      <c r="D67" s="3" t="s">
        <v>57</v>
      </c>
      <c r="E67" s="4">
        <v>36404</v>
      </c>
      <c r="F67" s="4">
        <v>36769</v>
      </c>
      <c r="G67" s="1" t="s">
        <v>59</v>
      </c>
      <c r="H67" s="1" t="s">
        <v>66</v>
      </c>
      <c r="I67" s="3" t="s">
        <v>60</v>
      </c>
      <c r="J67" s="8">
        <f t="shared" si="9"/>
        <v>0.22237931034482758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7">
        <v>2.1160000000000002E-2</v>
      </c>
      <c r="P67" s="5">
        <f t="shared" si="5"/>
        <v>0.24497931034482759</v>
      </c>
      <c r="Q67" s="24">
        <v>64651</v>
      </c>
      <c r="R67" s="24">
        <v>64651</v>
      </c>
      <c r="S67" s="3">
        <v>64</v>
      </c>
      <c r="T67" s="1" t="s">
        <v>81</v>
      </c>
      <c r="U67" s="9">
        <f t="shared" si="8"/>
        <v>412.73599999999999</v>
      </c>
      <c r="V67" s="9">
        <v>413</v>
      </c>
      <c r="W67" s="61">
        <v>156591</v>
      </c>
      <c r="X67" s="61">
        <v>141155</v>
      </c>
      <c r="Y67" s="1"/>
      <c r="Z67" s="36"/>
      <c r="AA67" s="36"/>
    </row>
    <row r="68" spans="2:27" s="78" customFormat="1" x14ac:dyDescent="0.2">
      <c r="B68" s="1" t="s">
        <v>258</v>
      </c>
      <c r="C68" s="3" t="s">
        <v>46</v>
      </c>
      <c r="D68" s="3" t="s">
        <v>57</v>
      </c>
      <c r="E68" s="4">
        <v>36434</v>
      </c>
      <c r="F68" s="4">
        <v>36799</v>
      </c>
      <c r="G68" s="1" t="s">
        <v>59</v>
      </c>
      <c r="H68" s="1" t="s">
        <v>61</v>
      </c>
      <c r="I68" s="3" t="s">
        <v>60</v>
      </c>
      <c r="J68" s="8">
        <f t="shared" si="9"/>
        <v>0.22237931034482758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7">
        <v>2.1160000000000002E-2</v>
      </c>
      <c r="P68" s="5">
        <f t="shared" si="5"/>
        <v>0.24497931034482759</v>
      </c>
      <c r="Q68" s="24">
        <v>64862</v>
      </c>
      <c r="R68" s="24">
        <v>64862</v>
      </c>
      <c r="S68" s="3">
        <v>13</v>
      </c>
      <c r="T68" s="1" t="s">
        <v>82</v>
      </c>
      <c r="U68" s="9">
        <f t="shared" si="8"/>
        <v>83.837000000000003</v>
      </c>
      <c r="V68" s="9">
        <v>84</v>
      </c>
      <c r="W68" s="61">
        <v>156592</v>
      </c>
      <c r="X68" s="61">
        <v>141157</v>
      </c>
      <c r="Y68" s="1"/>
      <c r="Z68" s="36"/>
      <c r="AA68" s="36"/>
    </row>
    <row r="69" spans="2:27" s="78" customFormat="1" x14ac:dyDescent="0.2">
      <c r="B69" s="1" t="s">
        <v>258</v>
      </c>
      <c r="C69" s="3" t="s">
        <v>46</v>
      </c>
      <c r="D69" s="3" t="s">
        <v>68</v>
      </c>
      <c r="E69" s="4">
        <v>36434</v>
      </c>
      <c r="F69" s="4">
        <v>36799</v>
      </c>
      <c r="G69" s="1" t="s">
        <v>59</v>
      </c>
      <c r="H69" s="1" t="s">
        <v>83</v>
      </c>
      <c r="I69" s="3" t="s">
        <v>60</v>
      </c>
      <c r="J69" s="8">
        <f>6.372/J$1</f>
        <v>0.21972413793103449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7">
        <v>2.1160000000000002E-2</v>
      </c>
      <c r="P69" s="5">
        <f t="shared" si="5"/>
        <v>0.24232413793103449</v>
      </c>
      <c r="Q69" s="24">
        <v>64939</v>
      </c>
      <c r="R69" s="24">
        <v>64939</v>
      </c>
      <c r="S69" s="3">
        <v>2300</v>
      </c>
      <c r="T69" s="1" t="s">
        <v>84</v>
      </c>
      <c r="U69" s="9">
        <f t="shared" si="8"/>
        <v>14655.6</v>
      </c>
      <c r="V69" s="9">
        <v>14656</v>
      </c>
      <c r="W69" s="61">
        <v>156593</v>
      </c>
      <c r="X69" s="61">
        <v>141158</v>
      </c>
      <c r="Y69" s="1"/>
      <c r="Z69" s="36"/>
      <c r="AA69" s="36"/>
    </row>
    <row r="70" spans="2:27" s="78" customFormat="1" x14ac:dyDescent="0.2">
      <c r="B70" s="1" t="s">
        <v>258</v>
      </c>
      <c r="C70" s="3" t="s">
        <v>46</v>
      </c>
      <c r="D70" s="3" t="s">
        <v>57</v>
      </c>
      <c r="E70" s="4">
        <v>36465</v>
      </c>
      <c r="F70" s="4">
        <v>36830</v>
      </c>
      <c r="G70" s="1" t="s">
        <v>59</v>
      </c>
      <c r="H70" s="1" t="s">
        <v>66</v>
      </c>
      <c r="I70" s="3" t="s">
        <v>60</v>
      </c>
      <c r="J70" s="8">
        <f>6.449/J$1</f>
        <v>0.22237931034482758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7">
        <v>2.1160000000000002E-2</v>
      </c>
      <c r="P70" s="5">
        <f t="shared" si="5"/>
        <v>0.24497931034482759</v>
      </c>
      <c r="Q70" s="24">
        <v>65026</v>
      </c>
      <c r="R70" s="24">
        <v>65026</v>
      </c>
      <c r="S70" s="3">
        <v>128</v>
      </c>
      <c r="T70" s="1" t="s">
        <v>85</v>
      </c>
      <c r="U70" s="9">
        <f t="shared" si="8"/>
        <v>825.47199999999998</v>
      </c>
      <c r="V70" s="9">
        <v>825</v>
      </c>
      <c r="W70" s="61">
        <v>162286</v>
      </c>
      <c r="X70" s="90" t="s">
        <v>100</v>
      </c>
      <c r="Y70" s="1"/>
      <c r="Z70" s="36"/>
      <c r="AA70" s="36"/>
    </row>
    <row r="71" spans="2:27" s="78" customFormat="1" x14ac:dyDescent="0.2">
      <c r="B71" s="1" t="s">
        <v>258</v>
      </c>
      <c r="C71" s="3" t="s">
        <v>46</v>
      </c>
      <c r="D71" s="3" t="s">
        <v>86</v>
      </c>
      <c r="E71" s="4">
        <v>36465</v>
      </c>
      <c r="F71" s="4">
        <v>36830</v>
      </c>
      <c r="G71" s="1" t="s">
        <v>59</v>
      </c>
      <c r="H71" s="1" t="s">
        <v>87</v>
      </c>
      <c r="I71" s="3" t="s">
        <v>60</v>
      </c>
      <c r="J71" s="8">
        <f>6.449/J$1</f>
        <v>0.22237931034482758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7">
        <v>2.1160000000000002E-2</v>
      </c>
      <c r="P71" s="5">
        <f t="shared" si="5"/>
        <v>0.24497931034482759</v>
      </c>
      <c r="Q71" s="24">
        <v>65041</v>
      </c>
      <c r="R71" s="24">
        <v>65041</v>
      </c>
      <c r="S71" s="3">
        <v>9619</v>
      </c>
      <c r="T71" s="1" t="s">
        <v>88</v>
      </c>
      <c r="U71" s="9">
        <f t="shared" si="8"/>
        <v>62032.930999999997</v>
      </c>
      <c r="V71" s="9">
        <v>62033</v>
      </c>
      <c r="W71" s="61">
        <v>162285</v>
      </c>
      <c r="X71" s="90" t="s">
        <v>99</v>
      </c>
      <c r="Y71" s="1"/>
      <c r="Z71" s="36"/>
      <c r="AA71" s="36"/>
    </row>
    <row r="72" spans="2:27" s="78" customFormat="1" x14ac:dyDescent="0.2">
      <c r="B72" s="1" t="s">
        <v>258</v>
      </c>
      <c r="C72" s="3" t="s">
        <v>46</v>
      </c>
      <c r="D72" s="3" t="s">
        <v>86</v>
      </c>
      <c r="E72" s="4">
        <v>36465</v>
      </c>
      <c r="F72" s="4">
        <v>36830</v>
      </c>
      <c r="G72" s="1" t="s">
        <v>59</v>
      </c>
      <c r="H72" s="1" t="s">
        <v>90</v>
      </c>
      <c r="I72" s="3" t="s">
        <v>60</v>
      </c>
      <c r="J72" s="8">
        <f>6.449/J$1</f>
        <v>0.22237931034482758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7">
        <v>2.1160000000000002E-2</v>
      </c>
      <c r="P72" s="5">
        <f t="shared" si="5"/>
        <v>0.24497931034482759</v>
      </c>
      <c r="Q72" s="24">
        <v>65042</v>
      </c>
      <c r="R72" s="24">
        <v>65042</v>
      </c>
      <c r="S72" s="3">
        <v>4427</v>
      </c>
      <c r="T72" s="1" t="s">
        <v>89</v>
      </c>
      <c r="U72" s="9">
        <f t="shared" si="8"/>
        <v>28549.722999999998</v>
      </c>
      <c r="V72" s="9">
        <v>28550</v>
      </c>
      <c r="W72" s="61">
        <v>162287</v>
      </c>
      <c r="X72" s="90" t="s">
        <v>101</v>
      </c>
      <c r="Y72" s="1"/>
      <c r="Z72" s="36"/>
      <c r="AA72" s="36"/>
    </row>
    <row r="73" spans="2:27" s="78" customFormat="1" x14ac:dyDescent="0.2">
      <c r="B73" s="1" t="s">
        <v>258</v>
      </c>
      <c r="C73" s="3" t="s">
        <v>46</v>
      </c>
      <c r="D73" s="3" t="s">
        <v>91</v>
      </c>
      <c r="E73" s="4">
        <v>36465</v>
      </c>
      <c r="F73" s="4">
        <v>37011</v>
      </c>
      <c r="G73" s="1" t="s">
        <v>59</v>
      </c>
      <c r="H73" s="1" t="s">
        <v>92</v>
      </c>
      <c r="I73" s="3" t="s">
        <v>60</v>
      </c>
      <c r="J73" s="8">
        <f>6.449/J$1</f>
        <v>0.22237931034482758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7">
        <v>2.1160000000000002E-2</v>
      </c>
      <c r="P73" s="5">
        <f t="shared" si="5"/>
        <v>0.24497931034482759</v>
      </c>
      <c r="Q73" s="24">
        <v>65108</v>
      </c>
      <c r="R73" s="24">
        <v>65108</v>
      </c>
      <c r="S73" s="3">
        <v>5000</v>
      </c>
      <c r="T73" s="1"/>
      <c r="U73" s="9">
        <f t="shared" si="8"/>
        <v>32245</v>
      </c>
      <c r="V73" s="9">
        <v>32245</v>
      </c>
      <c r="W73" s="61">
        <v>163001</v>
      </c>
      <c r="X73" s="90" t="s">
        <v>102</v>
      </c>
      <c r="Y73" s="1"/>
      <c r="Z73" s="36"/>
      <c r="AA73" s="36"/>
    </row>
    <row r="74" spans="2:27" s="78" customFormat="1" x14ac:dyDescent="0.2">
      <c r="B74" s="1" t="s">
        <v>258</v>
      </c>
      <c r="C74" s="3" t="s">
        <v>46</v>
      </c>
      <c r="D74" s="3" t="s">
        <v>37</v>
      </c>
      <c r="E74" s="4">
        <v>36465</v>
      </c>
      <c r="F74" s="4">
        <v>36830</v>
      </c>
      <c r="G74" s="1" t="s">
        <v>50</v>
      </c>
      <c r="H74" s="1" t="s">
        <v>51</v>
      </c>
      <c r="I74" s="3" t="s">
        <v>60</v>
      </c>
      <c r="J74" s="56">
        <f>3.65/J$1</f>
        <v>0.12586206896551724</v>
      </c>
      <c r="K74" s="5">
        <v>1.32E-2</v>
      </c>
      <c r="L74" s="5">
        <v>2.2000000000000001E-3</v>
      </c>
      <c r="M74" s="5">
        <v>7.4999999999999997E-3</v>
      </c>
      <c r="N74" s="5">
        <v>0</v>
      </c>
      <c r="O74" s="47">
        <v>2.1160000000000002E-2</v>
      </c>
      <c r="P74" s="5">
        <f>SUM(J74:N74)</f>
        <v>0.14876206896551725</v>
      </c>
      <c r="Q74" s="24">
        <v>65402</v>
      </c>
      <c r="R74" s="24">
        <v>65402</v>
      </c>
      <c r="S74" s="3">
        <v>20000</v>
      </c>
      <c r="T74" s="29" t="s">
        <v>378</v>
      </c>
      <c r="U74" s="9">
        <f t="shared" si="8"/>
        <v>73000</v>
      </c>
      <c r="V74" s="9">
        <v>73000</v>
      </c>
      <c r="W74" s="61"/>
      <c r="X74" s="61"/>
      <c r="Y74" s="1"/>
      <c r="Z74" s="36"/>
      <c r="AA74" s="36"/>
    </row>
    <row r="75" spans="2:27" s="144" customFormat="1" x14ac:dyDescent="0.2">
      <c r="B75" s="43" t="s">
        <v>34</v>
      </c>
      <c r="C75" s="134" t="s">
        <v>46</v>
      </c>
      <c r="D75" s="134"/>
      <c r="E75" s="135">
        <v>36465</v>
      </c>
      <c r="F75" s="135">
        <v>37011</v>
      </c>
      <c r="G75" s="43"/>
      <c r="H75" s="43"/>
      <c r="I75" s="134" t="s">
        <v>60</v>
      </c>
      <c r="J75" s="136">
        <f>4.8621/J$1</f>
        <v>0.16765862068965517</v>
      </c>
      <c r="K75" s="137"/>
      <c r="L75" s="137"/>
      <c r="M75" s="137"/>
      <c r="N75" s="137"/>
      <c r="O75" s="138"/>
      <c r="P75" s="137"/>
      <c r="Q75" s="139">
        <v>65403</v>
      </c>
      <c r="R75" s="139">
        <v>65403</v>
      </c>
      <c r="S75" s="134">
        <v>19293</v>
      </c>
      <c r="T75" s="43"/>
      <c r="U75" s="9">
        <f t="shared" si="8"/>
        <v>93804.495299999995</v>
      </c>
      <c r="V75" s="141">
        <v>93804</v>
      </c>
      <c r="W75" s="142"/>
      <c r="X75" s="142"/>
      <c r="Y75" s="43"/>
      <c r="Z75" s="143"/>
      <c r="AA75" s="143"/>
    </row>
    <row r="76" spans="2:27" s="78" customFormat="1" x14ac:dyDescent="0.2">
      <c r="B76" s="1" t="s">
        <v>258</v>
      </c>
      <c r="C76" s="3" t="s">
        <v>46</v>
      </c>
      <c r="D76" s="3" t="s">
        <v>106</v>
      </c>
      <c r="E76" s="4">
        <v>36557</v>
      </c>
      <c r="F76" s="4">
        <v>36677</v>
      </c>
      <c r="G76" s="1" t="s">
        <v>137</v>
      </c>
      <c r="H76" s="1" t="s">
        <v>138</v>
      </c>
      <c r="I76" s="3" t="s">
        <v>60</v>
      </c>
      <c r="J76" s="8">
        <f>6.449/J$1</f>
        <v>0.22237931034482758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7">
        <v>2.1160000000000002E-2</v>
      </c>
      <c r="P76" s="5">
        <f t="shared" si="5"/>
        <v>0.24497931034482759</v>
      </c>
      <c r="Q76" s="24">
        <v>65404</v>
      </c>
      <c r="R76" s="24">
        <v>65404</v>
      </c>
      <c r="S76" s="3">
        <v>34</v>
      </c>
      <c r="T76" s="1" t="s">
        <v>139</v>
      </c>
      <c r="U76" s="9">
        <f t="shared" si="8"/>
        <v>219.26599999999999</v>
      </c>
      <c r="V76" s="9">
        <v>217</v>
      </c>
      <c r="W76" s="61">
        <v>156597</v>
      </c>
      <c r="X76" s="61">
        <v>142774</v>
      </c>
      <c r="Y76" s="1"/>
      <c r="Z76" s="36"/>
      <c r="AA76" s="36"/>
    </row>
    <row r="77" spans="2:27" s="78" customFormat="1" x14ac:dyDescent="0.2">
      <c r="B77" s="1" t="s">
        <v>258</v>
      </c>
      <c r="C77" s="3" t="s">
        <v>46</v>
      </c>
      <c r="D77" s="3"/>
      <c r="E77" s="4">
        <v>36557</v>
      </c>
      <c r="F77" s="4">
        <v>36830</v>
      </c>
      <c r="G77" s="1" t="s">
        <v>140</v>
      </c>
      <c r="H77" s="1" t="s">
        <v>132</v>
      </c>
      <c r="I77" s="3" t="s">
        <v>60</v>
      </c>
      <c r="J77" s="8">
        <f>4.563/J$1</f>
        <v>0.15734482758620688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7">
        <v>2.1160000000000002E-2</v>
      </c>
      <c r="P77" s="5">
        <f t="shared" si="5"/>
        <v>0.17994482758620689</v>
      </c>
      <c r="Q77" s="24">
        <v>65418</v>
      </c>
      <c r="R77" s="24">
        <v>65418</v>
      </c>
      <c r="S77" s="3">
        <v>500</v>
      </c>
      <c r="T77" s="1" t="s">
        <v>141</v>
      </c>
      <c r="U77" s="9">
        <f t="shared" si="8"/>
        <v>2281.5</v>
      </c>
      <c r="V77" s="9">
        <v>2282</v>
      </c>
      <c r="W77" s="61">
        <v>156599</v>
      </c>
      <c r="X77" s="61">
        <v>142790</v>
      </c>
      <c r="Y77" s="1"/>
      <c r="Z77" s="36"/>
      <c r="AA77" s="36"/>
    </row>
    <row r="78" spans="2:27" s="78" customFormat="1" x14ac:dyDescent="0.2">
      <c r="B78" s="1" t="s">
        <v>258</v>
      </c>
      <c r="C78" s="3" t="s">
        <v>46</v>
      </c>
      <c r="D78" s="3" t="s">
        <v>68</v>
      </c>
      <c r="E78" s="4">
        <v>36557</v>
      </c>
      <c r="F78" s="4">
        <v>36616</v>
      </c>
      <c r="G78" s="1" t="s">
        <v>69</v>
      </c>
      <c r="H78" s="1" t="s">
        <v>94</v>
      </c>
      <c r="I78" s="3" t="s">
        <v>95</v>
      </c>
      <c r="J78" s="8">
        <f>6.077/J$1</f>
        <v>0.20955172413793102</v>
      </c>
      <c r="K78" s="5">
        <v>1.2999999999999999E-2</v>
      </c>
      <c r="L78" s="5">
        <v>2.2000000000000001E-3</v>
      </c>
      <c r="M78" s="5">
        <v>7.1999999999999998E-3</v>
      </c>
      <c r="N78" s="5">
        <v>0</v>
      </c>
      <c r="O78" s="47">
        <v>2.1160000000000002E-2</v>
      </c>
      <c r="P78" s="5">
        <f t="shared" si="5"/>
        <v>0.23195172413793105</v>
      </c>
      <c r="Q78" s="24">
        <v>65458</v>
      </c>
      <c r="R78" s="24">
        <v>65458</v>
      </c>
      <c r="S78" s="3">
        <v>33</v>
      </c>
      <c r="T78" s="1" t="s">
        <v>96</v>
      </c>
      <c r="U78" s="9">
        <f t="shared" si="8"/>
        <v>200.541</v>
      </c>
      <c r="V78" s="9">
        <v>201</v>
      </c>
      <c r="W78" s="61">
        <v>156600</v>
      </c>
      <c r="X78" s="61">
        <v>141176</v>
      </c>
      <c r="Y78" s="1"/>
      <c r="Z78" s="36"/>
      <c r="AA78" s="36"/>
    </row>
    <row r="79" spans="2:27" s="78" customFormat="1" x14ac:dyDescent="0.2">
      <c r="B79" s="1" t="s">
        <v>258</v>
      </c>
      <c r="C79" s="3" t="s">
        <v>46</v>
      </c>
      <c r="D79" s="3"/>
      <c r="E79" s="4">
        <v>36557</v>
      </c>
      <c r="F79" s="4">
        <v>36677</v>
      </c>
      <c r="G79" s="1" t="s">
        <v>137</v>
      </c>
      <c r="H79" s="1" t="s">
        <v>138</v>
      </c>
      <c r="I79" s="3" t="s">
        <v>60</v>
      </c>
      <c r="J79" s="8">
        <f>6.372/J$1</f>
        <v>0.21972413793103449</v>
      </c>
      <c r="K79" s="5"/>
      <c r="L79" s="5"/>
      <c r="M79" s="5"/>
      <c r="N79" s="5"/>
      <c r="O79" s="47"/>
      <c r="P79" s="5"/>
      <c r="Q79" s="24">
        <v>65534</v>
      </c>
      <c r="R79" s="24">
        <v>65534</v>
      </c>
      <c r="S79" s="3">
        <v>3</v>
      </c>
      <c r="T79" s="1"/>
      <c r="U79" s="9">
        <f t="shared" si="8"/>
        <v>19.116</v>
      </c>
      <c r="V79" s="9">
        <v>19</v>
      </c>
      <c r="W79" s="61">
        <v>214906</v>
      </c>
      <c r="X79" s="61">
        <v>149349</v>
      </c>
      <c r="Y79" s="1"/>
      <c r="Z79" s="36"/>
      <c r="AA79" s="36"/>
    </row>
    <row r="80" spans="2:27" s="78" customFormat="1" x14ac:dyDescent="0.2">
      <c r="B80" s="1" t="s">
        <v>258</v>
      </c>
      <c r="C80" s="3" t="s">
        <v>46</v>
      </c>
      <c r="D80" s="3" t="s">
        <v>57</v>
      </c>
      <c r="E80" s="4">
        <v>36557</v>
      </c>
      <c r="F80" s="4">
        <v>36860</v>
      </c>
      <c r="G80" s="1" t="s">
        <v>59</v>
      </c>
      <c r="H80" s="1" t="s">
        <v>66</v>
      </c>
      <c r="I80" s="3" t="s">
        <v>60</v>
      </c>
      <c r="J80" s="8">
        <f>6.449/J$1</f>
        <v>0.22237931034482758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7">
        <v>2.1160000000000002E-2</v>
      </c>
      <c r="P80" s="5">
        <f t="shared" si="5"/>
        <v>0.24497931034482759</v>
      </c>
      <c r="Q80" s="24">
        <v>65556</v>
      </c>
      <c r="R80" s="24">
        <v>65556</v>
      </c>
      <c r="S80" s="3">
        <v>3</v>
      </c>
      <c r="T80" s="1" t="s">
        <v>93</v>
      </c>
      <c r="U80" s="9">
        <f t="shared" si="8"/>
        <v>19.347000000000001</v>
      </c>
      <c r="V80" s="9">
        <v>19</v>
      </c>
      <c r="W80" s="61">
        <v>156602</v>
      </c>
      <c r="X80" s="61">
        <v>141175</v>
      </c>
      <c r="Y80" s="1"/>
      <c r="Z80" s="36"/>
      <c r="AA80" s="36"/>
    </row>
    <row r="81" spans="2:27" s="78" customFormat="1" x14ac:dyDescent="0.2">
      <c r="B81" s="1" t="s">
        <v>258</v>
      </c>
      <c r="C81" s="3" t="s">
        <v>46</v>
      </c>
      <c r="D81" s="3" t="s">
        <v>106</v>
      </c>
      <c r="E81" s="4">
        <v>36557</v>
      </c>
      <c r="F81" s="4">
        <v>36616</v>
      </c>
      <c r="G81" s="1" t="s">
        <v>137</v>
      </c>
      <c r="H81" s="1" t="s">
        <v>138</v>
      </c>
      <c r="I81" s="3" t="s">
        <v>60</v>
      </c>
      <c r="J81" s="8">
        <f>6.372/J$1</f>
        <v>0.21972413793103449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7">
        <v>2.1160000000000002E-2</v>
      </c>
      <c r="P81" s="5">
        <f t="shared" si="5"/>
        <v>0.24232413793103449</v>
      </c>
      <c r="Q81" s="24">
        <v>65659</v>
      </c>
      <c r="R81" s="24">
        <v>65659</v>
      </c>
      <c r="S81" s="3">
        <v>3</v>
      </c>
      <c r="T81" s="1" t="s">
        <v>142</v>
      </c>
      <c r="U81" s="9">
        <f t="shared" si="8"/>
        <v>19.116</v>
      </c>
      <c r="V81" s="9">
        <v>19</v>
      </c>
      <c r="W81" s="61">
        <v>156605</v>
      </c>
      <c r="X81" s="61">
        <v>142812</v>
      </c>
      <c r="Y81" s="1"/>
      <c r="Z81" s="36"/>
      <c r="AA81" s="36"/>
    </row>
    <row r="82" spans="2:27" s="46" customFormat="1" x14ac:dyDescent="0.2">
      <c r="B82" s="42" t="s">
        <v>258</v>
      </c>
      <c r="C82" s="64" t="s">
        <v>46</v>
      </c>
      <c r="D82" s="64" t="s">
        <v>221</v>
      </c>
      <c r="E82" s="65">
        <v>36557</v>
      </c>
      <c r="F82" s="65">
        <v>36585</v>
      </c>
      <c r="G82" s="71" t="s">
        <v>222</v>
      </c>
      <c r="H82" s="71" t="s">
        <v>223</v>
      </c>
      <c r="I82" s="64"/>
      <c r="J82" s="56">
        <f>3.48/J$1</f>
        <v>0.12</v>
      </c>
      <c r="K82" s="66">
        <v>1.32E-2</v>
      </c>
      <c r="L82" s="66">
        <v>2.2000000000000001E-3</v>
      </c>
      <c r="M82" s="66">
        <v>7.4999999999999997E-3</v>
      </c>
      <c r="N82" s="66">
        <v>0</v>
      </c>
      <c r="O82" s="67">
        <v>2.1160000000000002E-2</v>
      </c>
      <c r="P82" s="66">
        <f>SUM(J82:N82)</f>
        <v>0.1429</v>
      </c>
      <c r="Q82" s="68">
        <v>66391</v>
      </c>
      <c r="R82" s="68">
        <v>65997</v>
      </c>
      <c r="S82" s="64">
        <v>2200</v>
      </c>
      <c r="T82" s="42" t="s">
        <v>373</v>
      </c>
      <c r="U82" s="69">
        <f>J82*J$1*S82</f>
        <v>7656</v>
      </c>
      <c r="V82" s="69">
        <v>7656</v>
      </c>
      <c r="W82" s="63">
        <v>158493</v>
      </c>
      <c r="X82" s="63">
        <v>144624</v>
      </c>
      <c r="Y82" s="42"/>
      <c r="Z82" s="70"/>
      <c r="AA82" s="70"/>
    </row>
    <row r="83" spans="2:27" s="46" customFormat="1" x14ac:dyDescent="0.2">
      <c r="B83" s="42" t="s">
        <v>258</v>
      </c>
      <c r="C83" s="64" t="s">
        <v>46</v>
      </c>
      <c r="D83" s="64" t="s">
        <v>52</v>
      </c>
      <c r="E83" s="65">
        <v>36557</v>
      </c>
      <c r="F83" s="65">
        <v>36922</v>
      </c>
      <c r="G83" s="42" t="s">
        <v>285</v>
      </c>
      <c r="H83" s="42" t="s">
        <v>286</v>
      </c>
      <c r="I83" s="64" t="s">
        <v>60</v>
      </c>
      <c r="J83" s="56">
        <f>6.449/J$1</f>
        <v>0.22237931034482758</v>
      </c>
      <c r="K83" s="66"/>
      <c r="L83" s="66"/>
      <c r="M83" s="66"/>
      <c r="N83" s="66"/>
      <c r="O83" s="67"/>
      <c r="P83" s="66"/>
      <c r="Q83" s="68">
        <v>66280</v>
      </c>
      <c r="R83" s="68">
        <v>66280</v>
      </c>
      <c r="S83" s="64">
        <v>1</v>
      </c>
      <c r="T83" s="42" t="s">
        <v>288</v>
      </c>
      <c r="U83" s="69">
        <f>J83*J$1*S83</f>
        <v>6.4489999999999998</v>
      </c>
      <c r="V83" s="69">
        <v>6</v>
      </c>
      <c r="W83" s="63">
        <v>156606</v>
      </c>
      <c r="X83" s="63"/>
      <c r="Y83" s="42"/>
      <c r="Z83" s="70"/>
      <c r="AA83" s="70"/>
    </row>
    <row r="84" spans="2:27" s="46" customFormat="1" x14ac:dyDescent="0.2">
      <c r="B84" s="42" t="s">
        <v>258</v>
      </c>
      <c r="C84" s="64" t="s">
        <v>46</v>
      </c>
      <c r="D84" s="64" t="s">
        <v>52</v>
      </c>
      <c r="E84" s="65">
        <v>36557</v>
      </c>
      <c r="F84" s="65">
        <v>36922</v>
      </c>
      <c r="G84" s="42" t="s">
        <v>285</v>
      </c>
      <c r="H84" s="42" t="s">
        <v>287</v>
      </c>
      <c r="I84" s="64" t="s">
        <v>60</v>
      </c>
      <c r="J84" s="56">
        <f>6.449/J$1</f>
        <v>0.22237931034482758</v>
      </c>
      <c r="K84" s="66"/>
      <c r="L84" s="66"/>
      <c r="M84" s="66"/>
      <c r="N84" s="66"/>
      <c r="O84" s="67"/>
      <c r="P84" s="66"/>
      <c r="Q84" s="68">
        <v>66280</v>
      </c>
      <c r="R84" s="68">
        <v>66280</v>
      </c>
      <c r="S84" s="64">
        <v>4</v>
      </c>
      <c r="T84" s="42" t="s">
        <v>288</v>
      </c>
      <c r="U84" s="69">
        <f>J84*J$1*S84</f>
        <v>25.795999999999999</v>
      </c>
      <c r="V84" s="69">
        <v>26</v>
      </c>
      <c r="W84" s="63">
        <v>156606</v>
      </c>
      <c r="X84" s="63"/>
      <c r="Y84" s="42"/>
      <c r="Z84" s="70"/>
      <c r="AA84" s="70"/>
    </row>
    <row r="85" spans="2:27" s="46" customFormat="1" x14ac:dyDescent="0.2">
      <c r="B85" s="42" t="s">
        <v>258</v>
      </c>
      <c r="C85" s="64" t="s">
        <v>46</v>
      </c>
      <c r="D85" s="64" t="s">
        <v>143</v>
      </c>
      <c r="E85" s="65">
        <v>36557</v>
      </c>
      <c r="F85" s="65">
        <v>36585</v>
      </c>
      <c r="G85" s="42" t="s">
        <v>285</v>
      </c>
      <c r="H85" s="42">
        <v>54</v>
      </c>
      <c r="I85" s="64" t="s">
        <v>60</v>
      </c>
      <c r="J85" s="56">
        <f>6.449/J$1</f>
        <v>0.22237931034482758</v>
      </c>
      <c r="K85" s="66"/>
      <c r="L85" s="66"/>
      <c r="M85" s="66"/>
      <c r="N85" s="66"/>
      <c r="O85" s="67"/>
      <c r="P85" s="66"/>
      <c r="Q85" s="68">
        <v>66392</v>
      </c>
      <c r="R85" s="68"/>
      <c r="S85" s="64">
        <v>176</v>
      </c>
      <c r="T85" s="42" t="s">
        <v>319</v>
      </c>
      <c r="U85" s="69">
        <f>J85*J$1*S85</f>
        <v>1135.0239999999999</v>
      </c>
      <c r="V85" s="69">
        <v>1135</v>
      </c>
      <c r="W85" s="63">
        <v>158527</v>
      </c>
      <c r="X85" s="63"/>
      <c r="Y85" s="42"/>
      <c r="Z85" s="70"/>
      <c r="AA85" s="70"/>
    </row>
    <row r="86" spans="2:27" s="46" customFormat="1" x14ac:dyDescent="0.2">
      <c r="B86" s="42" t="s">
        <v>258</v>
      </c>
      <c r="C86" s="64" t="s">
        <v>46</v>
      </c>
      <c r="D86" s="64" t="s">
        <v>106</v>
      </c>
      <c r="E86" s="65">
        <v>36557</v>
      </c>
      <c r="F86" s="65">
        <v>36616</v>
      </c>
      <c r="G86" s="42" t="s">
        <v>436</v>
      </c>
      <c r="H86" s="42" t="s">
        <v>437</v>
      </c>
      <c r="I86" s="64" t="s">
        <v>60</v>
      </c>
      <c r="J86" s="56">
        <f>6.372/J$1</f>
        <v>0.21972413793103449</v>
      </c>
      <c r="K86" s="66"/>
      <c r="L86" s="66"/>
      <c r="M86" s="66"/>
      <c r="N86" s="66"/>
      <c r="O86" s="67"/>
      <c r="P86" s="66"/>
      <c r="Q86" s="68">
        <v>66444</v>
      </c>
      <c r="R86" s="68"/>
      <c r="S86" s="64">
        <v>7</v>
      </c>
      <c r="T86" s="42"/>
      <c r="U86" s="69">
        <f>J86*J$1*S86</f>
        <v>44.603999999999999</v>
      </c>
      <c r="V86" s="69">
        <v>45</v>
      </c>
      <c r="W86" s="63">
        <v>159995</v>
      </c>
      <c r="X86" s="63"/>
      <c r="Y86" s="42"/>
      <c r="Z86" s="70"/>
      <c r="AA86" s="70"/>
    </row>
    <row r="87" spans="2:27" x14ac:dyDescent="0.2">
      <c r="B87" s="10" t="s">
        <v>3</v>
      </c>
      <c r="C87" s="11" t="s">
        <v>3</v>
      </c>
      <c r="D87" s="11" t="s">
        <v>3</v>
      </c>
      <c r="E87" s="13" t="s">
        <v>3</v>
      </c>
      <c r="F87" s="13" t="s">
        <v>3</v>
      </c>
      <c r="G87" s="10" t="s">
        <v>3</v>
      </c>
      <c r="H87" s="30" t="s">
        <v>3</v>
      </c>
      <c r="I87" s="11" t="s">
        <v>3</v>
      </c>
      <c r="J87" s="14"/>
      <c r="K87" s="15"/>
      <c r="L87" s="15"/>
      <c r="M87" s="15"/>
      <c r="N87" s="15"/>
      <c r="O87" s="49"/>
      <c r="P87" s="15"/>
      <c r="Q87" s="26" t="s">
        <v>3</v>
      </c>
      <c r="R87" s="26" t="s">
        <v>3</v>
      </c>
      <c r="S87" s="11">
        <f>SUM(S55:S82)</f>
        <v>7713777</v>
      </c>
      <c r="T87" s="10" t="s">
        <v>3</v>
      </c>
      <c r="U87" s="22">
        <f>SUM(U41:U86)</f>
        <v>1701586.0651000007</v>
      </c>
      <c r="V87" s="22">
        <f>SUM(V55:V55)</f>
        <v>39</v>
      </c>
      <c r="W87" s="60"/>
      <c r="X87" s="60"/>
      <c r="Y87" s="30"/>
      <c r="Z87" s="36"/>
      <c r="AA87" s="36"/>
    </row>
    <row r="88" spans="2:27" x14ac:dyDescent="0.2">
      <c r="B88" s="16" t="s">
        <v>4</v>
      </c>
      <c r="C88" s="17" t="s">
        <v>5</v>
      </c>
      <c r="D88" s="17" t="s">
        <v>6</v>
      </c>
      <c r="E88" s="18" t="s">
        <v>7</v>
      </c>
      <c r="F88" s="18"/>
      <c r="G88" s="16" t="s">
        <v>8</v>
      </c>
      <c r="H88" s="16" t="s">
        <v>9</v>
      </c>
      <c r="I88" s="17" t="s">
        <v>56</v>
      </c>
      <c r="J88" s="19" t="s">
        <v>10</v>
      </c>
      <c r="K88" s="17" t="s">
        <v>11</v>
      </c>
      <c r="L88" s="17" t="s">
        <v>12</v>
      </c>
      <c r="M88" s="17" t="s">
        <v>13</v>
      </c>
      <c r="N88" s="17" t="s">
        <v>14</v>
      </c>
      <c r="O88" s="48" t="s">
        <v>15</v>
      </c>
      <c r="P88" s="17" t="s">
        <v>16</v>
      </c>
      <c r="Q88" s="20" t="s">
        <v>254</v>
      </c>
      <c r="R88" s="20" t="s">
        <v>254</v>
      </c>
      <c r="S88" s="17" t="s">
        <v>17</v>
      </c>
      <c r="T88" s="16" t="s">
        <v>18</v>
      </c>
      <c r="U88" s="21" t="s">
        <v>55</v>
      </c>
      <c r="V88" s="21" t="s">
        <v>54</v>
      </c>
      <c r="W88" s="59" t="s">
        <v>256</v>
      </c>
      <c r="X88" s="59" t="s">
        <v>257</v>
      </c>
      <c r="Y88" s="73">
        <f>+Y62</f>
        <v>0</v>
      </c>
      <c r="Z88" s="36"/>
      <c r="AA88" s="36"/>
    </row>
    <row r="89" spans="2:27" s="78" customFormat="1" x14ac:dyDescent="0.2">
      <c r="B89" s="1" t="s">
        <v>258</v>
      </c>
      <c r="C89" s="3" t="s">
        <v>38</v>
      </c>
      <c r="D89" s="3" t="s">
        <v>52</v>
      </c>
      <c r="E89" s="4">
        <v>36192</v>
      </c>
      <c r="F89" s="4">
        <v>36556</v>
      </c>
      <c r="G89" s="1" t="s">
        <v>39</v>
      </c>
      <c r="H89" s="1" t="s">
        <v>31</v>
      </c>
      <c r="I89" s="3" t="s">
        <v>155</v>
      </c>
      <c r="J89" s="8">
        <f t="shared" ref="J89:J103" si="10">3.145/J$1</f>
        <v>0.10844827586206897</v>
      </c>
      <c r="K89" s="5">
        <v>1.32E-2</v>
      </c>
      <c r="L89" s="5">
        <v>2.2000000000000001E-3</v>
      </c>
      <c r="M89" s="5">
        <v>0</v>
      </c>
      <c r="N89" s="5">
        <v>0</v>
      </c>
      <c r="O89" s="47">
        <v>2.1160000000000002E-2</v>
      </c>
      <c r="P89" s="5">
        <f t="shared" ref="P89:P103" si="11">SUM(J89:N89)</f>
        <v>0.12384827586206897</v>
      </c>
      <c r="Q89" s="24">
        <v>62741</v>
      </c>
      <c r="R89" s="24">
        <v>62741</v>
      </c>
      <c r="S89" s="3">
        <v>2</v>
      </c>
      <c r="T89" s="1"/>
      <c r="U89" s="9">
        <f t="shared" ref="U89:U104" si="12">J89*J$1*S89</f>
        <v>6.29</v>
      </c>
      <c r="V89" s="9"/>
      <c r="W89" s="61"/>
      <c r="X89" s="61">
        <v>140449</v>
      </c>
      <c r="Y89" s="1" t="s">
        <v>290</v>
      </c>
      <c r="Z89" s="36"/>
      <c r="AA89" s="36"/>
    </row>
    <row r="90" spans="2:27" s="78" customFormat="1" x14ac:dyDescent="0.2">
      <c r="B90" s="1" t="s">
        <v>258</v>
      </c>
      <c r="C90" s="3" t="s">
        <v>38</v>
      </c>
      <c r="D90" s="3" t="s">
        <v>52</v>
      </c>
      <c r="E90" s="4">
        <v>36220</v>
      </c>
      <c r="F90" s="4">
        <v>36584</v>
      </c>
      <c r="G90" s="1" t="s">
        <v>39</v>
      </c>
      <c r="H90" s="1" t="s">
        <v>31</v>
      </c>
      <c r="I90" s="3" t="s">
        <v>155</v>
      </c>
      <c r="J90" s="8">
        <f t="shared" si="10"/>
        <v>0.10844827586206897</v>
      </c>
      <c r="K90" s="5">
        <v>1.32E-2</v>
      </c>
      <c r="L90" s="5">
        <v>2.2000000000000001E-3</v>
      </c>
      <c r="M90" s="5">
        <v>0</v>
      </c>
      <c r="N90" s="5">
        <v>0</v>
      </c>
      <c r="O90" s="47">
        <v>2.1160000000000002E-2</v>
      </c>
      <c r="P90" s="5">
        <f t="shared" si="11"/>
        <v>0.12384827586206897</v>
      </c>
      <c r="Q90" s="24">
        <v>62979</v>
      </c>
      <c r="R90" s="24">
        <v>62979</v>
      </c>
      <c r="S90" s="3">
        <v>2</v>
      </c>
      <c r="T90" s="1"/>
      <c r="U90" s="9">
        <f t="shared" si="12"/>
        <v>6.29</v>
      </c>
      <c r="V90" s="9">
        <v>6</v>
      </c>
      <c r="W90" s="61">
        <v>156607</v>
      </c>
      <c r="X90" s="61">
        <v>140450</v>
      </c>
      <c r="Y90" s="1"/>
      <c r="Z90" s="36"/>
      <c r="AA90" s="36"/>
    </row>
    <row r="91" spans="2:27" s="78" customFormat="1" x14ac:dyDescent="0.2">
      <c r="B91" s="1" t="s">
        <v>258</v>
      </c>
      <c r="C91" s="3" t="s">
        <v>38</v>
      </c>
      <c r="D91" s="3" t="s">
        <v>156</v>
      </c>
      <c r="E91" s="4">
        <v>36220</v>
      </c>
      <c r="F91" s="4">
        <v>36585</v>
      </c>
      <c r="G91" s="1" t="s">
        <v>39</v>
      </c>
      <c r="H91" s="1" t="s">
        <v>31</v>
      </c>
      <c r="I91" s="3" t="s">
        <v>155</v>
      </c>
      <c r="J91" s="8">
        <f t="shared" si="10"/>
        <v>0.10844827586206897</v>
      </c>
      <c r="K91" s="5">
        <v>1.32E-2</v>
      </c>
      <c r="L91" s="5">
        <v>2.2000000000000001E-3</v>
      </c>
      <c r="M91" s="5">
        <v>0</v>
      </c>
      <c r="N91" s="5">
        <v>0</v>
      </c>
      <c r="O91" s="47">
        <v>2.1160000000000002E-2</v>
      </c>
      <c r="P91" s="5">
        <f t="shared" si="11"/>
        <v>0.12384827586206897</v>
      </c>
      <c r="Q91" s="24">
        <v>62981</v>
      </c>
      <c r="R91" s="24">
        <v>62981</v>
      </c>
      <c r="S91" s="3">
        <v>2</v>
      </c>
      <c r="T91" s="1"/>
      <c r="U91" s="9">
        <f t="shared" si="12"/>
        <v>6.29</v>
      </c>
      <c r="V91" s="9">
        <v>6</v>
      </c>
      <c r="W91" s="61">
        <v>156609</v>
      </c>
      <c r="X91" s="61">
        <v>140451</v>
      </c>
      <c r="Y91" s="1"/>
      <c r="Z91" s="36"/>
      <c r="AA91" s="36"/>
    </row>
    <row r="92" spans="2:27" s="78" customFormat="1" x14ac:dyDescent="0.2">
      <c r="B92" s="1" t="s">
        <v>258</v>
      </c>
      <c r="C92" s="3" t="s">
        <v>38</v>
      </c>
      <c r="D92" s="3" t="s">
        <v>156</v>
      </c>
      <c r="E92" s="4">
        <v>36251</v>
      </c>
      <c r="F92" s="4">
        <v>36616</v>
      </c>
      <c r="G92" s="1" t="s">
        <v>39</v>
      </c>
      <c r="H92" s="1" t="s">
        <v>31</v>
      </c>
      <c r="I92" s="3" t="s">
        <v>155</v>
      </c>
      <c r="J92" s="8">
        <f t="shared" si="10"/>
        <v>0.10844827586206897</v>
      </c>
      <c r="K92" s="5">
        <v>1.32E-2</v>
      </c>
      <c r="L92" s="5">
        <v>2.2000000000000001E-3</v>
      </c>
      <c r="M92" s="5">
        <v>0</v>
      </c>
      <c r="N92" s="5">
        <v>0</v>
      </c>
      <c r="O92" s="47">
        <v>2.1160000000000002E-2</v>
      </c>
      <c r="P92" s="5">
        <f t="shared" si="11"/>
        <v>0.12384827586206897</v>
      </c>
      <c r="Q92" s="24">
        <v>63285</v>
      </c>
      <c r="R92" s="24">
        <v>63285</v>
      </c>
      <c r="S92" s="3">
        <v>6</v>
      </c>
      <c r="T92" s="1"/>
      <c r="U92" s="9">
        <f t="shared" si="12"/>
        <v>18.87</v>
      </c>
      <c r="V92" s="9">
        <v>19</v>
      </c>
      <c r="W92" s="61">
        <v>156610</v>
      </c>
      <c r="X92" s="61">
        <v>140452</v>
      </c>
      <c r="Y92" s="1"/>
      <c r="Z92" s="36"/>
      <c r="AA92" s="36"/>
    </row>
    <row r="93" spans="2:27" s="78" customFormat="1" x14ac:dyDescent="0.2">
      <c r="B93" s="1" t="s">
        <v>258</v>
      </c>
      <c r="C93" s="3" t="s">
        <v>38</v>
      </c>
      <c r="D93" s="3" t="s">
        <v>52</v>
      </c>
      <c r="E93" s="4">
        <v>36251</v>
      </c>
      <c r="F93" s="4">
        <v>36616</v>
      </c>
      <c r="G93" s="1" t="s">
        <v>39</v>
      </c>
      <c r="H93" s="1" t="s">
        <v>31</v>
      </c>
      <c r="I93" s="3" t="s">
        <v>155</v>
      </c>
      <c r="J93" s="8">
        <f t="shared" si="10"/>
        <v>0.10844827586206897</v>
      </c>
      <c r="K93" s="5">
        <v>1.32E-2</v>
      </c>
      <c r="L93" s="5">
        <v>2.2000000000000001E-3</v>
      </c>
      <c r="M93" s="5">
        <v>0</v>
      </c>
      <c r="N93" s="5">
        <v>0</v>
      </c>
      <c r="O93" s="47">
        <v>2.1160000000000002E-2</v>
      </c>
      <c r="P93" s="5">
        <f t="shared" si="11"/>
        <v>0.12384827586206897</v>
      </c>
      <c r="Q93" s="24">
        <v>63287</v>
      </c>
      <c r="R93" s="24">
        <v>63287</v>
      </c>
      <c r="S93" s="3">
        <v>47</v>
      </c>
      <c r="T93" s="1"/>
      <c r="U93" s="9">
        <f t="shared" si="12"/>
        <v>147.815</v>
      </c>
      <c r="V93" s="9">
        <v>148</v>
      </c>
      <c r="W93" s="61">
        <v>156612</v>
      </c>
      <c r="X93" s="61">
        <v>140453</v>
      </c>
      <c r="Y93" s="1"/>
      <c r="Z93" s="36"/>
      <c r="AA93" s="36"/>
    </row>
    <row r="94" spans="2:27" s="78" customFormat="1" x14ac:dyDescent="0.2">
      <c r="B94" s="1" t="s">
        <v>258</v>
      </c>
      <c r="C94" s="3" t="s">
        <v>38</v>
      </c>
      <c r="D94" s="3" t="s">
        <v>156</v>
      </c>
      <c r="E94" s="4">
        <v>36281</v>
      </c>
      <c r="F94" s="4">
        <v>36646</v>
      </c>
      <c r="G94" s="1" t="s">
        <v>39</v>
      </c>
      <c r="H94" s="1" t="s">
        <v>31</v>
      </c>
      <c r="I94" s="3" t="s">
        <v>155</v>
      </c>
      <c r="J94" s="8">
        <f t="shared" si="10"/>
        <v>0.10844827586206897</v>
      </c>
      <c r="K94" s="5">
        <v>1.32E-2</v>
      </c>
      <c r="L94" s="5">
        <v>2.2000000000000001E-3</v>
      </c>
      <c r="M94" s="5">
        <v>0</v>
      </c>
      <c r="N94" s="5">
        <v>0</v>
      </c>
      <c r="O94" s="47">
        <v>2.1160000000000002E-2</v>
      </c>
      <c r="P94" s="5">
        <f t="shared" si="11"/>
        <v>0.12384827586206897</v>
      </c>
      <c r="Q94" s="24">
        <v>63562</v>
      </c>
      <c r="R94" s="24">
        <v>63562</v>
      </c>
      <c r="S94" s="3">
        <v>34</v>
      </c>
      <c r="T94" s="1"/>
      <c r="U94" s="9">
        <f t="shared" si="12"/>
        <v>106.93</v>
      </c>
      <c r="V94" s="9">
        <v>107</v>
      </c>
      <c r="W94" s="61">
        <v>156613</v>
      </c>
      <c r="X94" s="61">
        <v>140474</v>
      </c>
      <c r="Y94" s="1"/>
      <c r="Z94" s="36"/>
      <c r="AA94" s="36"/>
    </row>
    <row r="95" spans="2:27" s="78" customFormat="1" x14ac:dyDescent="0.2">
      <c r="B95" s="1" t="s">
        <v>258</v>
      </c>
      <c r="C95" s="3" t="s">
        <v>38</v>
      </c>
      <c r="D95" s="3" t="s">
        <v>156</v>
      </c>
      <c r="E95" s="4">
        <v>36312</v>
      </c>
      <c r="F95" s="4">
        <v>36677</v>
      </c>
      <c r="G95" s="1" t="s">
        <v>39</v>
      </c>
      <c r="H95" s="1" t="s">
        <v>31</v>
      </c>
      <c r="I95" s="3" t="s">
        <v>155</v>
      </c>
      <c r="J95" s="8">
        <f t="shared" si="10"/>
        <v>0.10844827586206897</v>
      </c>
      <c r="K95" s="5">
        <v>1.32E-2</v>
      </c>
      <c r="L95" s="5">
        <v>2.2000000000000001E-3</v>
      </c>
      <c r="M95" s="5">
        <v>0</v>
      </c>
      <c r="N95" s="5">
        <v>0</v>
      </c>
      <c r="O95" s="47">
        <v>2.1160000000000002E-2</v>
      </c>
      <c r="P95" s="5">
        <f t="shared" si="11"/>
        <v>0.12384827586206897</v>
      </c>
      <c r="Q95" s="24">
        <v>63823</v>
      </c>
      <c r="R95" s="24">
        <v>63823</v>
      </c>
      <c r="S95" s="3">
        <v>310</v>
      </c>
      <c r="T95" s="1"/>
      <c r="U95" s="9">
        <f t="shared" si="12"/>
        <v>974.95</v>
      </c>
      <c r="V95" s="9">
        <v>975</v>
      </c>
      <c r="W95" s="61">
        <v>156615</v>
      </c>
      <c r="X95" s="61">
        <v>140475</v>
      </c>
      <c r="Y95" s="1"/>
      <c r="Z95" s="36"/>
      <c r="AA95" s="36"/>
    </row>
    <row r="96" spans="2:27" s="78" customFormat="1" x14ac:dyDescent="0.2">
      <c r="B96" s="1" t="s">
        <v>258</v>
      </c>
      <c r="C96" s="3" t="s">
        <v>38</v>
      </c>
      <c r="D96" s="3" t="s">
        <v>52</v>
      </c>
      <c r="E96" s="4">
        <v>36312</v>
      </c>
      <c r="F96" s="4">
        <v>36677</v>
      </c>
      <c r="G96" s="1" t="s">
        <v>39</v>
      </c>
      <c r="H96" s="1" t="s">
        <v>31</v>
      </c>
      <c r="I96" s="3" t="s">
        <v>155</v>
      </c>
      <c r="J96" s="8">
        <f t="shared" si="10"/>
        <v>0.10844827586206897</v>
      </c>
      <c r="K96" s="5">
        <v>1.32E-2</v>
      </c>
      <c r="L96" s="5">
        <v>2.2000000000000001E-3</v>
      </c>
      <c r="M96" s="5">
        <v>0</v>
      </c>
      <c r="N96" s="5">
        <v>0</v>
      </c>
      <c r="O96" s="47">
        <v>2.1160000000000002E-2</v>
      </c>
      <c r="P96" s="5">
        <f t="shared" si="11"/>
        <v>0.12384827586206897</v>
      </c>
      <c r="Q96" s="24">
        <v>63826</v>
      </c>
      <c r="R96" s="24">
        <v>63826</v>
      </c>
      <c r="S96" s="3">
        <v>218</v>
      </c>
      <c r="T96" s="1"/>
      <c r="U96" s="9">
        <f t="shared" si="12"/>
        <v>685.61</v>
      </c>
      <c r="V96" s="9">
        <v>686</v>
      </c>
      <c r="W96" s="61">
        <v>156617</v>
      </c>
      <c r="X96" s="61">
        <v>140476</v>
      </c>
      <c r="Y96" s="1"/>
      <c r="Z96" s="36"/>
      <c r="AA96" s="36"/>
    </row>
    <row r="97" spans="2:27" s="78" customFormat="1" x14ac:dyDescent="0.2">
      <c r="B97" s="1" t="s">
        <v>258</v>
      </c>
      <c r="C97" s="3" t="s">
        <v>38</v>
      </c>
      <c r="D97" s="3" t="s">
        <v>52</v>
      </c>
      <c r="E97" s="4">
        <v>36342</v>
      </c>
      <c r="F97" s="4">
        <v>36707</v>
      </c>
      <c r="G97" s="1" t="s">
        <v>39</v>
      </c>
      <c r="H97" s="1" t="s">
        <v>31</v>
      </c>
      <c r="I97" s="3" t="s">
        <v>155</v>
      </c>
      <c r="J97" s="8">
        <f t="shared" si="10"/>
        <v>0.10844827586206897</v>
      </c>
      <c r="K97" s="5">
        <v>1.32E-2</v>
      </c>
      <c r="L97" s="5">
        <v>2.2000000000000001E-3</v>
      </c>
      <c r="M97" s="5">
        <v>0</v>
      </c>
      <c r="N97" s="5">
        <v>0</v>
      </c>
      <c r="O97" s="47">
        <v>2.1160000000000002E-2</v>
      </c>
      <c r="P97" s="5">
        <f t="shared" si="11"/>
        <v>0.12384827586206897</v>
      </c>
      <c r="Q97" s="24">
        <v>64033</v>
      </c>
      <c r="R97" s="24">
        <v>64033</v>
      </c>
      <c r="S97" s="3">
        <v>1</v>
      </c>
      <c r="T97" s="1"/>
      <c r="U97" s="9">
        <f t="shared" si="12"/>
        <v>3.145</v>
      </c>
      <c r="V97" s="9">
        <v>3</v>
      </c>
      <c r="W97" s="61">
        <v>156618</v>
      </c>
      <c r="X97" s="61">
        <v>140477</v>
      </c>
      <c r="Y97" s="1"/>
      <c r="Z97" s="36"/>
      <c r="AA97" s="36"/>
    </row>
    <row r="98" spans="2:27" s="78" customFormat="1" x14ac:dyDescent="0.2">
      <c r="B98" s="1" t="s">
        <v>258</v>
      </c>
      <c r="C98" s="3" t="s">
        <v>38</v>
      </c>
      <c r="D98" s="3" t="s">
        <v>156</v>
      </c>
      <c r="E98" s="4">
        <v>36342</v>
      </c>
      <c r="F98" s="4">
        <v>36707</v>
      </c>
      <c r="G98" s="1" t="s">
        <v>39</v>
      </c>
      <c r="H98" s="1" t="s">
        <v>31</v>
      </c>
      <c r="I98" s="3" t="s">
        <v>155</v>
      </c>
      <c r="J98" s="8">
        <f t="shared" si="10"/>
        <v>0.10844827586206897</v>
      </c>
      <c r="K98" s="5">
        <v>1.32E-2</v>
      </c>
      <c r="L98" s="5">
        <v>2.2000000000000001E-3</v>
      </c>
      <c r="M98" s="5">
        <v>0</v>
      </c>
      <c r="N98" s="5">
        <v>0</v>
      </c>
      <c r="O98" s="47">
        <v>2.1160000000000002E-2</v>
      </c>
      <c r="P98" s="5">
        <f t="shared" si="11"/>
        <v>0.12384827586206897</v>
      </c>
      <c r="Q98" s="24">
        <v>64035</v>
      </c>
      <c r="R98" s="24">
        <v>64035</v>
      </c>
      <c r="S98" s="3">
        <v>931</v>
      </c>
      <c r="T98" s="1"/>
      <c r="U98" s="9">
        <f t="shared" si="12"/>
        <v>2927.9949999999999</v>
      </c>
      <c r="V98" s="9">
        <v>2928</v>
      </c>
      <c r="W98" s="61">
        <v>156620</v>
      </c>
      <c r="X98" s="61">
        <v>140478</v>
      </c>
      <c r="Y98" s="1"/>
      <c r="Z98" s="36"/>
      <c r="AA98" s="36"/>
    </row>
    <row r="99" spans="2:27" s="78" customFormat="1" x14ac:dyDescent="0.2">
      <c r="B99" s="1" t="s">
        <v>258</v>
      </c>
      <c r="C99" s="3" t="s">
        <v>38</v>
      </c>
      <c r="D99" s="3" t="s">
        <v>52</v>
      </c>
      <c r="E99" s="4">
        <v>36373</v>
      </c>
      <c r="F99" s="4">
        <v>36738</v>
      </c>
      <c r="G99" s="1" t="s">
        <v>39</v>
      </c>
      <c r="H99" s="1" t="s">
        <v>31</v>
      </c>
      <c r="I99" s="3" t="s">
        <v>155</v>
      </c>
      <c r="J99" s="8">
        <f t="shared" si="10"/>
        <v>0.10844827586206897</v>
      </c>
      <c r="K99" s="5">
        <v>1.32E-2</v>
      </c>
      <c r="L99" s="5">
        <v>2.2000000000000001E-3</v>
      </c>
      <c r="M99" s="5">
        <v>0</v>
      </c>
      <c r="N99" s="5">
        <v>0</v>
      </c>
      <c r="O99" s="47">
        <v>2.1160000000000002E-2</v>
      </c>
      <c r="P99" s="5">
        <f t="shared" si="11"/>
        <v>0.12384827586206897</v>
      </c>
      <c r="Q99" s="24">
        <v>64332</v>
      </c>
      <c r="R99" s="24">
        <v>64332</v>
      </c>
      <c r="S99" s="3">
        <v>12</v>
      </c>
      <c r="T99" s="1"/>
      <c r="U99" s="9">
        <f t="shared" si="12"/>
        <v>37.74</v>
      </c>
      <c r="V99" s="9">
        <v>38</v>
      </c>
      <c r="W99" s="61">
        <v>156621</v>
      </c>
      <c r="X99" s="61">
        <v>140479</v>
      </c>
      <c r="Y99" s="1"/>
      <c r="Z99" s="36"/>
      <c r="AA99" s="36"/>
    </row>
    <row r="100" spans="2:27" s="78" customFormat="1" x14ac:dyDescent="0.2">
      <c r="B100" s="1" t="s">
        <v>258</v>
      </c>
      <c r="C100" s="3" t="s">
        <v>38</v>
      </c>
      <c r="D100" s="3" t="s">
        <v>156</v>
      </c>
      <c r="E100" s="4">
        <v>36373</v>
      </c>
      <c r="F100" s="4">
        <v>36738</v>
      </c>
      <c r="G100" s="1" t="s">
        <v>39</v>
      </c>
      <c r="H100" s="1" t="s">
        <v>31</v>
      </c>
      <c r="I100" s="3" t="s">
        <v>155</v>
      </c>
      <c r="J100" s="8">
        <f t="shared" si="10"/>
        <v>0.10844827586206897</v>
      </c>
      <c r="K100" s="5">
        <v>1.32E-2</v>
      </c>
      <c r="L100" s="5">
        <v>2.2000000000000001E-3</v>
      </c>
      <c r="M100" s="5">
        <v>0</v>
      </c>
      <c r="N100" s="5">
        <v>0</v>
      </c>
      <c r="O100" s="47">
        <v>2.1160000000000002E-2</v>
      </c>
      <c r="P100" s="5">
        <f t="shared" si="11"/>
        <v>0.12384827586206897</v>
      </c>
      <c r="Q100" s="24">
        <v>64334</v>
      </c>
      <c r="R100" s="24">
        <v>64334</v>
      </c>
      <c r="S100" s="3">
        <v>52</v>
      </c>
      <c r="T100" s="1"/>
      <c r="U100" s="9">
        <f t="shared" si="12"/>
        <v>163.54</v>
      </c>
      <c r="V100" s="9">
        <v>164</v>
      </c>
      <c r="W100" s="61">
        <v>140480</v>
      </c>
      <c r="X100" s="61">
        <v>140480</v>
      </c>
      <c r="Y100" s="1"/>
      <c r="Z100" s="36"/>
      <c r="AA100" s="36"/>
    </row>
    <row r="101" spans="2:27" s="78" customFormat="1" x14ac:dyDescent="0.2">
      <c r="B101" s="1" t="s">
        <v>258</v>
      </c>
      <c r="C101" s="3" t="s">
        <v>38</v>
      </c>
      <c r="D101" s="3" t="s">
        <v>156</v>
      </c>
      <c r="E101" s="4">
        <v>36373</v>
      </c>
      <c r="F101" s="4">
        <v>36738</v>
      </c>
      <c r="G101" s="1" t="s">
        <v>39</v>
      </c>
      <c r="H101" s="1" t="s">
        <v>31</v>
      </c>
      <c r="I101" s="3" t="s">
        <v>155</v>
      </c>
      <c r="J101" s="8">
        <f t="shared" si="10"/>
        <v>0.10844827586206897</v>
      </c>
      <c r="K101" s="5">
        <v>1.32E-2</v>
      </c>
      <c r="L101" s="5">
        <v>2.2000000000000001E-3</v>
      </c>
      <c r="M101" s="5">
        <v>0</v>
      </c>
      <c r="N101" s="5">
        <v>0</v>
      </c>
      <c r="O101" s="47">
        <v>2.1160000000000002E-2</v>
      </c>
      <c r="P101" s="5">
        <f>SUM(J101:N101)</f>
        <v>0.12384827586206897</v>
      </c>
      <c r="Q101" s="24">
        <v>64446</v>
      </c>
      <c r="R101" s="24"/>
      <c r="S101" s="3">
        <v>142</v>
      </c>
      <c r="T101" s="1"/>
      <c r="U101" s="9">
        <f>J101*J$1*S101</f>
        <v>446.59</v>
      </c>
      <c r="V101" s="9">
        <v>447</v>
      </c>
      <c r="W101" s="61">
        <v>169037</v>
      </c>
      <c r="X101" s="61"/>
      <c r="Y101" s="1"/>
      <c r="Z101" s="36"/>
      <c r="AA101" s="36"/>
    </row>
    <row r="102" spans="2:27" s="78" customFormat="1" x14ac:dyDescent="0.2">
      <c r="B102" s="1" t="s">
        <v>258</v>
      </c>
      <c r="C102" s="3" t="s">
        <v>38</v>
      </c>
      <c r="D102" s="3" t="s">
        <v>52</v>
      </c>
      <c r="E102" s="4">
        <v>36404</v>
      </c>
      <c r="F102" s="4">
        <v>36769</v>
      </c>
      <c r="G102" s="1" t="s">
        <v>39</v>
      </c>
      <c r="H102" s="1" t="s">
        <v>31</v>
      </c>
      <c r="I102" s="3" t="s">
        <v>155</v>
      </c>
      <c r="J102" s="8">
        <f t="shared" si="10"/>
        <v>0.10844827586206897</v>
      </c>
      <c r="K102" s="5">
        <v>1.32E-2</v>
      </c>
      <c r="L102" s="5">
        <v>2.2000000000000001E-3</v>
      </c>
      <c r="M102" s="5">
        <v>0</v>
      </c>
      <c r="N102" s="5">
        <v>0</v>
      </c>
      <c r="O102" s="47">
        <v>2.1160000000000002E-2</v>
      </c>
      <c r="P102" s="5">
        <f t="shared" si="11"/>
        <v>0.12384827586206897</v>
      </c>
      <c r="Q102" s="24">
        <v>64652</v>
      </c>
      <c r="R102" s="24">
        <v>64652</v>
      </c>
      <c r="S102" s="3">
        <v>65</v>
      </c>
      <c r="T102" s="1"/>
      <c r="U102" s="9">
        <f t="shared" si="12"/>
        <v>204.42500000000001</v>
      </c>
      <c r="V102" s="9">
        <v>204</v>
      </c>
      <c r="W102" s="61">
        <v>156623</v>
      </c>
      <c r="X102" s="61">
        <v>140481</v>
      </c>
      <c r="Y102" s="1"/>
      <c r="Z102" s="36"/>
      <c r="AA102" s="36"/>
    </row>
    <row r="103" spans="2:27" s="78" customFormat="1" x14ac:dyDescent="0.2">
      <c r="B103" s="1" t="s">
        <v>258</v>
      </c>
      <c r="C103" s="3" t="s">
        <v>38</v>
      </c>
      <c r="D103" s="3" t="s">
        <v>52</v>
      </c>
      <c r="E103" s="4">
        <v>36434</v>
      </c>
      <c r="F103" s="4">
        <v>36799</v>
      </c>
      <c r="G103" s="1" t="s">
        <v>39</v>
      </c>
      <c r="H103" s="1" t="s">
        <v>31</v>
      </c>
      <c r="I103" s="3" t="s">
        <v>155</v>
      </c>
      <c r="J103" s="8">
        <f t="shared" si="10"/>
        <v>0.10844827586206897</v>
      </c>
      <c r="K103" s="5">
        <v>1.32E-2</v>
      </c>
      <c r="L103" s="5">
        <v>2.2000000000000001E-3</v>
      </c>
      <c r="M103" s="5">
        <v>0</v>
      </c>
      <c r="N103" s="5">
        <v>0</v>
      </c>
      <c r="O103" s="47">
        <v>2.1160000000000002E-2</v>
      </c>
      <c r="P103" s="5">
        <f t="shared" si="11"/>
        <v>0.12384827586206897</v>
      </c>
      <c r="Q103" s="24">
        <v>64863</v>
      </c>
      <c r="R103" s="24">
        <v>64863</v>
      </c>
      <c r="S103" s="3">
        <v>13</v>
      </c>
      <c r="T103" s="1"/>
      <c r="U103" s="9">
        <f t="shared" si="12"/>
        <v>40.884999999999998</v>
      </c>
      <c r="V103" s="9">
        <v>41</v>
      </c>
      <c r="W103" s="61">
        <v>156625</v>
      </c>
      <c r="X103" s="61">
        <v>140482</v>
      </c>
      <c r="Y103" s="1"/>
      <c r="Z103" s="36"/>
      <c r="AA103" s="36"/>
    </row>
    <row r="104" spans="2:27" s="78" customFormat="1" x14ac:dyDescent="0.2">
      <c r="B104" s="1" t="s">
        <v>258</v>
      </c>
      <c r="C104" s="3" t="s">
        <v>38</v>
      </c>
      <c r="D104" s="3" t="s">
        <v>52</v>
      </c>
      <c r="E104" s="4">
        <v>36465</v>
      </c>
      <c r="F104" s="4">
        <v>36830</v>
      </c>
      <c r="G104" s="1" t="s">
        <v>39</v>
      </c>
      <c r="H104" s="1" t="s">
        <v>31</v>
      </c>
      <c r="I104" s="3"/>
      <c r="J104" s="8">
        <f>3.145/J$1</f>
        <v>0.10844827586206897</v>
      </c>
      <c r="K104" s="5">
        <v>1.32E-2</v>
      </c>
      <c r="L104" s="5">
        <v>2.2000000000000001E-3</v>
      </c>
      <c r="M104" s="5">
        <v>0</v>
      </c>
      <c r="N104" s="5">
        <v>0</v>
      </c>
      <c r="O104" s="47">
        <v>2.1160000000000002E-2</v>
      </c>
      <c r="P104" s="5">
        <f>SUM(J104:N104)</f>
        <v>0.12384827586206897</v>
      </c>
      <c r="Q104" s="24">
        <v>65027</v>
      </c>
      <c r="R104" s="24">
        <v>65027</v>
      </c>
      <c r="S104" s="3">
        <v>131</v>
      </c>
      <c r="T104" s="1" t="s">
        <v>45</v>
      </c>
      <c r="U104" s="9">
        <f t="shared" si="12"/>
        <v>411.995</v>
      </c>
      <c r="V104" s="9">
        <v>412</v>
      </c>
      <c r="W104" s="61">
        <v>156666</v>
      </c>
      <c r="X104" s="61">
        <v>140441</v>
      </c>
      <c r="Y104" s="1" t="s">
        <v>44</v>
      </c>
      <c r="Z104" s="36"/>
      <c r="AA104" s="36"/>
    </row>
    <row r="105" spans="2:27" s="78" customFormat="1" x14ac:dyDescent="0.2">
      <c r="B105" s="1" t="s">
        <v>258</v>
      </c>
      <c r="C105" s="3" t="s">
        <v>38</v>
      </c>
      <c r="D105" s="3" t="s">
        <v>52</v>
      </c>
      <c r="E105" s="4">
        <v>36495</v>
      </c>
      <c r="F105" s="4">
        <v>36860</v>
      </c>
      <c r="G105" s="1" t="s">
        <v>39</v>
      </c>
      <c r="H105" s="1" t="s">
        <v>31</v>
      </c>
      <c r="I105" s="3" t="s">
        <v>155</v>
      </c>
      <c r="J105" s="8">
        <f>3.145/J$1</f>
        <v>0.10844827586206897</v>
      </c>
      <c r="K105" s="5">
        <v>1.32E-2</v>
      </c>
      <c r="L105" s="5">
        <v>2.2000000000000001E-3</v>
      </c>
      <c r="M105" s="5">
        <v>0</v>
      </c>
      <c r="N105" s="5">
        <v>0</v>
      </c>
      <c r="O105" s="47">
        <v>2.1160000000000002E-2</v>
      </c>
      <c r="P105" s="5">
        <f>SUM(J105:N105)</f>
        <v>0.12384827586206897</v>
      </c>
      <c r="Q105" s="24">
        <v>65557</v>
      </c>
      <c r="R105" s="24">
        <v>65557</v>
      </c>
      <c r="S105" s="3">
        <v>3</v>
      </c>
      <c r="T105" s="1"/>
      <c r="U105" s="9">
        <f>J105*J$1*S105</f>
        <v>9.4350000000000005</v>
      </c>
      <c r="V105" s="9">
        <v>9</v>
      </c>
      <c r="W105" s="61">
        <v>156669</v>
      </c>
      <c r="X105" s="61">
        <v>140483</v>
      </c>
      <c r="Y105" s="1"/>
      <c r="Z105" s="36"/>
      <c r="AA105" s="36"/>
    </row>
    <row r="106" spans="2:27" s="46" customFormat="1" x14ac:dyDescent="0.2">
      <c r="B106" s="42" t="s">
        <v>258</v>
      </c>
      <c r="C106" s="64" t="s">
        <v>38</v>
      </c>
      <c r="D106" s="64" t="s">
        <v>143</v>
      </c>
      <c r="E106" s="65">
        <v>36557</v>
      </c>
      <c r="F106" s="65">
        <v>36585</v>
      </c>
      <c r="G106" s="42" t="s">
        <v>320</v>
      </c>
      <c r="H106" s="42" t="s">
        <v>321</v>
      </c>
      <c r="I106" s="64" t="s">
        <v>157</v>
      </c>
      <c r="J106" s="56">
        <f>1.0603/J$1</f>
        <v>3.6562068965517239E-2</v>
      </c>
      <c r="K106" s="66">
        <v>0</v>
      </c>
      <c r="L106" s="66">
        <v>2.2000000000000001E-3</v>
      </c>
      <c r="M106" s="66">
        <v>7.1999999999999998E-3</v>
      </c>
      <c r="N106" s="66">
        <v>0</v>
      </c>
      <c r="O106" s="67">
        <v>0</v>
      </c>
      <c r="P106" s="66">
        <f>SUM(J106:N106)</f>
        <v>4.5962068965517237E-2</v>
      </c>
      <c r="Q106" s="68">
        <v>66394</v>
      </c>
      <c r="R106" s="68"/>
      <c r="S106" s="64">
        <v>185</v>
      </c>
      <c r="T106" s="42" t="s">
        <v>370</v>
      </c>
      <c r="U106" s="69">
        <f>J106*J$1*S106</f>
        <v>196.15550000000002</v>
      </c>
      <c r="V106" s="69">
        <v>196</v>
      </c>
      <c r="W106" s="63">
        <v>158501</v>
      </c>
      <c r="X106" s="63"/>
      <c r="Y106" s="42"/>
      <c r="Z106" s="70"/>
      <c r="AA106" s="70"/>
    </row>
    <row r="107" spans="2:27" s="46" customFormat="1" x14ac:dyDescent="0.2">
      <c r="B107" s="42" t="s">
        <v>258</v>
      </c>
      <c r="C107" s="64" t="s">
        <v>38</v>
      </c>
      <c r="D107" s="64" t="s">
        <v>143</v>
      </c>
      <c r="E107" s="65">
        <v>36557</v>
      </c>
      <c r="F107" s="65">
        <v>36585</v>
      </c>
      <c r="G107" s="42" t="s">
        <v>39</v>
      </c>
      <c r="H107" s="42" t="s">
        <v>31</v>
      </c>
      <c r="I107" s="64" t="s">
        <v>155</v>
      </c>
      <c r="J107" s="56">
        <f>3.145/J$1</f>
        <v>0.10844827586206897</v>
      </c>
      <c r="K107" s="66">
        <v>0</v>
      </c>
      <c r="L107" s="66">
        <v>2.2000000000000001E-3</v>
      </c>
      <c r="M107" s="66">
        <v>7.1999999999999998E-3</v>
      </c>
      <c r="N107" s="66">
        <v>0</v>
      </c>
      <c r="O107" s="67">
        <v>0</v>
      </c>
      <c r="P107" s="66">
        <f>SUM(J107:N107)</f>
        <v>0.11784827586206896</v>
      </c>
      <c r="Q107" s="68">
        <v>66393</v>
      </c>
      <c r="R107" s="68"/>
      <c r="S107" s="64">
        <v>180</v>
      </c>
      <c r="T107" s="42" t="s">
        <v>371</v>
      </c>
      <c r="U107" s="69">
        <f>J107*J$1*S107</f>
        <v>566.1</v>
      </c>
      <c r="V107" s="69">
        <v>566</v>
      </c>
      <c r="W107" s="63">
        <v>158507</v>
      </c>
      <c r="X107" s="63"/>
      <c r="Y107" s="42"/>
      <c r="Z107" s="70"/>
      <c r="AA107" s="70"/>
    </row>
    <row r="108" spans="2:27" s="46" customFormat="1" x14ac:dyDescent="0.2">
      <c r="B108" s="42" t="s">
        <v>258</v>
      </c>
      <c r="C108" s="64" t="s">
        <v>38</v>
      </c>
      <c r="D108" s="64" t="s">
        <v>52</v>
      </c>
      <c r="E108" s="65">
        <v>36557</v>
      </c>
      <c r="F108" s="65">
        <v>36922</v>
      </c>
      <c r="G108" s="42" t="s">
        <v>39</v>
      </c>
      <c r="H108" s="42" t="s">
        <v>31</v>
      </c>
      <c r="I108" s="64" t="s">
        <v>155</v>
      </c>
      <c r="J108" s="8">
        <f>3.145/J$1</f>
        <v>0.10844827586206897</v>
      </c>
      <c r="K108" s="66"/>
      <c r="L108" s="66"/>
      <c r="M108" s="66"/>
      <c r="N108" s="66"/>
      <c r="O108" s="67"/>
      <c r="P108" s="66"/>
      <c r="Q108" s="68">
        <v>66283</v>
      </c>
      <c r="R108" s="68"/>
      <c r="S108" s="64">
        <v>5</v>
      </c>
      <c r="T108" s="42"/>
      <c r="U108" s="9">
        <f>J108*J$1*S108</f>
        <v>15.725</v>
      </c>
      <c r="V108" s="69">
        <v>16</v>
      </c>
      <c r="W108" s="63">
        <v>156674</v>
      </c>
      <c r="X108" s="63"/>
      <c r="Y108" s="42"/>
      <c r="Z108" s="70"/>
      <c r="AA108" s="70"/>
    </row>
    <row r="109" spans="2:27" s="78" customFormat="1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7"/>
      <c r="P109" s="5"/>
      <c r="Q109" s="24"/>
      <c r="R109" s="24"/>
      <c r="S109" s="3"/>
      <c r="T109" s="1"/>
      <c r="U109" s="9"/>
      <c r="V109" s="9"/>
      <c r="W109" s="61"/>
      <c r="X109" s="61"/>
      <c r="Y109" s="1"/>
      <c r="Z109" s="36"/>
      <c r="AA109" s="36"/>
    </row>
    <row r="110" spans="2:27" x14ac:dyDescent="0.2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7"/>
      <c r="P110" s="5"/>
      <c r="Q110" s="24"/>
      <c r="R110" s="24"/>
      <c r="S110" s="2">
        <f>SUM(S89:S107)</f>
        <v>2336</v>
      </c>
      <c r="T110" s="3"/>
      <c r="U110" s="9">
        <f>SUM(U89:U109)</f>
        <v>6976.7755000000006</v>
      </c>
      <c r="V110" s="9"/>
      <c r="W110" s="61"/>
      <c r="X110" s="61"/>
      <c r="Y110" s="1"/>
      <c r="Z110" s="36"/>
      <c r="AA110" s="36"/>
    </row>
    <row r="111" spans="2:27" x14ac:dyDescent="0.2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56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8" t="s">
        <v>15</v>
      </c>
      <c r="P111" s="17" t="s">
        <v>16</v>
      </c>
      <c r="Q111" s="20" t="s">
        <v>255</v>
      </c>
      <c r="R111" s="20" t="s">
        <v>254</v>
      </c>
      <c r="S111" s="17" t="s">
        <v>17</v>
      </c>
      <c r="T111" s="16" t="s">
        <v>18</v>
      </c>
      <c r="U111" s="21" t="s">
        <v>55</v>
      </c>
      <c r="V111" s="21" t="s">
        <v>54</v>
      </c>
      <c r="W111" s="59" t="s">
        <v>256</v>
      </c>
      <c r="X111" s="59" t="s">
        <v>257</v>
      </c>
      <c r="Y111" s="73">
        <f>+Y66</f>
        <v>0</v>
      </c>
      <c r="Z111" s="36"/>
      <c r="AA111" s="36"/>
    </row>
    <row r="112" spans="2:27" s="46" customFormat="1" x14ac:dyDescent="0.2">
      <c r="B112" s="42" t="s">
        <v>258</v>
      </c>
      <c r="C112" s="64" t="s">
        <v>405</v>
      </c>
      <c r="D112" s="64" t="s">
        <v>406</v>
      </c>
      <c r="E112" s="4">
        <v>35612</v>
      </c>
      <c r="F112" s="4">
        <v>37437</v>
      </c>
      <c r="G112" s="71" t="s">
        <v>407</v>
      </c>
      <c r="H112" s="71" t="s">
        <v>408</v>
      </c>
      <c r="I112" s="64" t="s">
        <v>60</v>
      </c>
      <c r="J112" s="56">
        <f>+(5.6195+1.3875+0.2)/J$1</f>
        <v>0.24851724137931036</v>
      </c>
      <c r="K112" s="66">
        <v>0</v>
      </c>
      <c r="L112" s="66">
        <v>2.2000000000000001E-3</v>
      </c>
      <c r="M112" s="66">
        <v>7.1999999999999998E-3</v>
      </c>
      <c r="N112" s="66">
        <v>0</v>
      </c>
      <c r="O112" s="67">
        <v>0</v>
      </c>
      <c r="P112" s="66">
        <f>SUM(J112:N112)</f>
        <v>0.25791724137931032</v>
      </c>
      <c r="Q112" s="68">
        <v>270</v>
      </c>
      <c r="R112" s="68"/>
      <c r="S112" s="64">
        <v>1000</v>
      </c>
      <c r="T112" s="42"/>
      <c r="U112" s="69">
        <f>J112*J$1*S112</f>
        <v>7207.0000000000009</v>
      </c>
      <c r="V112" s="69"/>
      <c r="W112" s="63">
        <v>149901</v>
      </c>
      <c r="X112" s="63"/>
      <c r="Y112" s="42"/>
      <c r="Z112" s="70"/>
      <c r="AA112" s="70"/>
    </row>
    <row r="113" spans="1:27" s="78" customFormat="1" x14ac:dyDescent="0.2">
      <c r="B113" s="42"/>
      <c r="C113" s="64"/>
      <c r="D113" s="64"/>
      <c r="E113" s="65"/>
      <c r="F113" s="65"/>
      <c r="G113" s="71"/>
      <c r="H113" s="71"/>
      <c r="I113" s="64"/>
      <c r="J113" s="56"/>
      <c r="K113" s="5"/>
      <c r="L113" s="5"/>
      <c r="M113" s="5"/>
      <c r="N113" s="5"/>
      <c r="O113" s="47"/>
      <c r="P113" s="5"/>
      <c r="Q113" s="68"/>
      <c r="R113" s="68"/>
      <c r="S113" s="64"/>
      <c r="T113" s="42"/>
      <c r="U113" s="69">
        <f>SUM(U112)</f>
        <v>7207.0000000000009</v>
      </c>
      <c r="V113" s="69"/>
      <c r="W113" s="63"/>
      <c r="X113" s="63"/>
      <c r="Y113" s="1"/>
      <c r="Z113" s="36"/>
      <c r="AA113" s="36"/>
    </row>
    <row r="114" spans="1:27" x14ac:dyDescent="0.2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56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8" t="s">
        <v>15</v>
      </c>
      <c r="P114" s="17" t="s">
        <v>16</v>
      </c>
      <c r="Q114" s="20" t="s">
        <v>255</v>
      </c>
      <c r="R114" s="20" t="s">
        <v>254</v>
      </c>
      <c r="S114" s="17" t="s">
        <v>17</v>
      </c>
      <c r="T114" s="16" t="s">
        <v>18</v>
      </c>
      <c r="U114" s="21" t="s">
        <v>55</v>
      </c>
      <c r="V114" s="21" t="s">
        <v>54</v>
      </c>
      <c r="W114" s="59" t="s">
        <v>256</v>
      </c>
      <c r="X114" s="59" t="s">
        <v>257</v>
      </c>
      <c r="Y114" s="73">
        <f>+Y69</f>
        <v>0</v>
      </c>
      <c r="Z114" s="36"/>
      <c r="AA114" s="36"/>
    </row>
    <row r="115" spans="1:27" s="78" customFormat="1" x14ac:dyDescent="0.2">
      <c r="B115" s="1" t="s">
        <v>110</v>
      </c>
      <c r="C115" s="3" t="s">
        <v>410</v>
      </c>
      <c r="D115" s="3" t="s">
        <v>149</v>
      </c>
      <c r="E115" s="4">
        <v>36526</v>
      </c>
      <c r="F115" s="4">
        <v>36556</v>
      </c>
      <c r="G115" s="29"/>
      <c r="H115" s="29"/>
      <c r="I115" s="3"/>
      <c r="J115" s="8">
        <f>9.1068/J$1</f>
        <v>0.31402758620689653</v>
      </c>
      <c r="K115" s="5">
        <v>0</v>
      </c>
      <c r="L115" s="5">
        <v>2.2000000000000001E-3</v>
      </c>
      <c r="M115" s="5">
        <v>7.1999999999999998E-3</v>
      </c>
      <c r="N115" s="5">
        <v>0</v>
      </c>
      <c r="O115" s="47">
        <v>0</v>
      </c>
      <c r="P115" s="5">
        <f>SUM(J115:N115)</f>
        <v>0.32342758620689649</v>
      </c>
      <c r="Q115" s="24" t="s">
        <v>411</v>
      </c>
      <c r="R115" s="24"/>
      <c r="S115" s="3">
        <v>539</v>
      </c>
      <c r="T115" s="29" t="s">
        <v>412</v>
      </c>
      <c r="U115" s="9">
        <f>J115*J$1*S115</f>
        <v>4908.5652</v>
      </c>
      <c r="V115" s="9"/>
      <c r="W115" s="61"/>
      <c r="X115" s="1"/>
      <c r="Y115" s="36"/>
      <c r="Z115" s="36"/>
    </row>
    <row r="116" spans="1:27" s="78" customFormat="1" x14ac:dyDescent="0.2">
      <c r="B116" s="1" t="s">
        <v>110</v>
      </c>
      <c r="C116" s="3" t="s">
        <v>410</v>
      </c>
      <c r="D116" s="3" t="s">
        <v>149</v>
      </c>
      <c r="E116" s="4">
        <v>36526</v>
      </c>
      <c r="F116" s="4">
        <v>36556</v>
      </c>
      <c r="G116" s="29"/>
      <c r="H116" s="29"/>
      <c r="I116" s="3"/>
      <c r="J116" s="8">
        <f>11.8606/J$1</f>
        <v>0.40898620689655174</v>
      </c>
      <c r="K116" s="5">
        <v>0</v>
      </c>
      <c r="L116" s="5">
        <v>2.2000000000000001E-3</v>
      </c>
      <c r="M116" s="5">
        <v>7.1999999999999998E-3</v>
      </c>
      <c r="N116" s="5">
        <v>0</v>
      </c>
      <c r="O116" s="47">
        <v>0</v>
      </c>
      <c r="P116" s="5">
        <f>SUM(J116:N116)</f>
        <v>0.4183862068965517</v>
      </c>
      <c r="Q116" s="24" t="s">
        <v>411</v>
      </c>
      <c r="R116" s="24"/>
      <c r="S116" s="3">
        <v>31838</v>
      </c>
      <c r="T116" s="29" t="s">
        <v>413</v>
      </c>
      <c r="U116" s="9">
        <f>J116*J$1*S116</f>
        <v>377617.78279999999</v>
      </c>
      <c r="V116" s="9"/>
      <c r="W116" s="61"/>
      <c r="X116" s="1"/>
      <c r="Y116" s="36"/>
      <c r="Z116" s="36"/>
    </row>
    <row r="117" spans="1:27" s="78" customFormat="1" x14ac:dyDescent="0.2">
      <c r="B117" s="1" t="s">
        <v>110</v>
      </c>
      <c r="C117" s="3" t="s">
        <v>410</v>
      </c>
      <c r="D117" s="3" t="s">
        <v>149</v>
      </c>
      <c r="E117" s="4">
        <v>36526</v>
      </c>
      <c r="F117" s="4">
        <v>36556</v>
      </c>
      <c r="G117" s="1"/>
      <c r="H117" s="29"/>
      <c r="I117" s="3"/>
      <c r="J117" s="8">
        <f>11.8606/J$1</f>
        <v>0.40898620689655174</v>
      </c>
      <c r="K117" s="5">
        <v>7.6300000000000007E-2</v>
      </c>
      <c r="L117" s="5">
        <v>2.2000000000000001E-3</v>
      </c>
      <c r="M117" s="5">
        <v>7.1999999999999998E-3</v>
      </c>
      <c r="N117" s="5">
        <v>0</v>
      </c>
      <c r="O117" s="47">
        <v>2.7900000000000001E-2</v>
      </c>
      <c r="P117" s="5">
        <f>SUM(J117:N117)</f>
        <v>0.49468620689655174</v>
      </c>
      <c r="Q117" s="24" t="s">
        <v>411</v>
      </c>
      <c r="R117" s="24"/>
      <c r="S117" s="3">
        <v>6849</v>
      </c>
      <c r="T117" s="29" t="s">
        <v>414</v>
      </c>
      <c r="U117" s="9">
        <f>J117*J$1*S117</f>
        <v>81233.249400000001</v>
      </c>
      <c r="V117" s="9"/>
      <c r="W117" s="61"/>
      <c r="X117" s="1"/>
      <c r="Y117" s="36"/>
      <c r="Z117" s="36"/>
    </row>
    <row r="118" spans="1:27" s="78" customFormat="1" x14ac:dyDescent="0.2">
      <c r="B118" s="1" t="s">
        <v>110</v>
      </c>
      <c r="C118" s="3" t="s">
        <v>410</v>
      </c>
      <c r="D118" s="3" t="s">
        <v>149</v>
      </c>
      <c r="E118" s="4">
        <v>36526</v>
      </c>
      <c r="F118" s="4">
        <v>36556</v>
      </c>
      <c r="G118" s="1" t="s">
        <v>336</v>
      </c>
      <c r="H118" s="1" t="s">
        <v>72</v>
      </c>
      <c r="I118" s="3"/>
      <c r="J118" s="8">
        <v>1.446</v>
      </c>
      <c r="K118" s="5">
        <v>0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>SUM(J118:N118)</f>
        <v>1.4554</v>
      </c>
      <c r="Q118" s="24" t="s">
        <v>318</v>
      </c>
      <c r="R118" s="24"/>
      <c r="S118" s="3">
        <v>17571</v>
      </c>
      <c r="T118" s="1" t="s">
        <v>29</v>
      </c>
      <c r="U118" s="9">
        <f>+S118*J118</f>
        <v>25407.665999999997</v>
      </c>
      <c r="V118" s="9"/>
      <c r="W118" s="61"/>
      <c r="X118" s="1"/>
      <c r="Y118" s="36"/>
      <c r="Z118" s="36"/>
    </row>
    <row r="119" spans="1:27" s="78" customFormat="1" x14ac:dyDescent="0.2">
      <c r="B119" s="1" t="s">
        <v>110</v>
      </c>
      <c r="C119" s="3" t="s">
        <v>410</v>
      </c>
      <c r="D119" s="3" t="s">
        <v>149</v>
      </c>
      <c r="E119" s="4">
        <v>36526</v>
      </c>
      <c r="F119" s="4">
        <v>36556</v>
      </c>
      <c r="G119" s="1" t="s">
        <v>336</v>
      </c>
      <c r="H119" s="1" t="s">
        <v>72</v>
      </c>
      <c r="I119" s="3"/>
      <c r="J119" s="8">
        <v>3.0110000000000001E-2</v>
      </c>
      <c r="K119" s="5">
        <v>0</v>
      </c>
      <c r="L119" s="5">
        <v>2.2000000000000001E-3</v>
      </c>
      <c r="M119" s="5">
        <v>7.1999999999999998E-3</v>
      </c>
      <c r="N119" s="5">
        <v>0</v>
      </c>
      <c r="O119" s="47">
        <v>0</v>
      </c>
      <c r="P119" s="5">
        <f>SUM(J119:N119)</f>
        <v>3.9509999999999997E-2</v>
      </c>
      <c r="Q119" s="24" t="s">
        <v>318</v>
      </c>
      <c r="R119" s="24"/>
      <c r="S119" s="3">
        <v>858208</v>
      </c>
      <c r="T119" s="1" t="s">
        <v>29</v>
      </c>
      <c r="U119" s="9">
        <f>+S119*J119</f>
        <v>25840.642879999999</v>
      </c>
      <c r="V119" s="9"/>
      <c r="W119" s="61"/>
      <c r="X119" s="1"/>
      <c r="Y119" s="36"/>
      <c r="Z119" s="36"/>
    </row>
    <row r="120" spans="1:27" x14ac:dyDescent="0.2">
      <c r="B120" s="1"/>
      <c r="C120" s="3"/>
      <c r="D120" s="3"/>
      <c r="E120" s="4"/>
      <c r="F120" s="4"/>
      <c r="G120" s="1"/>
      <c r="H120" s="1"/>
      <c r="I120" s="3"/>
      <c r="J120" s="8"/>
      <c r="K120" s="5"/>
      <c r="L120" s="23"/>
      <c r="M120" s="5"/>
      <c r="N120" s="5"/>
      <c r="O120" s="50"/>
      <c r="P120" s="5"/>
      <c r="Q120" s="24"/>
      <c r="R120" s="24"/>
      <c r="S120" s="3">
        <f>SUM(S115:S119)</f>
        <v>915005</v>
      </c>
      <c r="T120" s="3"/>
      <c r="U120" s="145">
        <f>SUM(U115:U119)</f>
        <v>515007.90627999994</v>
      </c>
      <c r="X120" s="29"/>
      <c r="Y120" s="37"/>
      <c r="Z120" s="37"/>
      <c r="AA120" s="25"/>
    </row>
    <row r="121" spans="1:27" x14ac:dyDescent="0.2">
      <c r="B121" s="16" t="s">
        <v>4</v>
      </c>
      <c r="C121" s="17" t="s">
        <v>5</v>
      </c>
      <c r="D121" s="17" t="s">
        <v>6</v>
      </c>
      <c r="E121" s="18" t="s">
        <v>7</v>
      </c>
      <c r="F121" s="18"/>
      <c r="G121" s="16" t="s">
        <v>8</v>
      </c>
      <c r="H121" s="16" t="s">
        <v>9</v>
      </c>
      <c r="I121" s="17" t="s">
        <v>56</v>
      </c>
      <c r="J121" s="19" t="s">
        <v>10</v>
      </c>
      <c r="K121" s="17" t="s">
        <v>11</v>
      </c>
      <c r="L121" s="17" t="s">
        <v>12</v>
      </c>
      <c r="M121" s="17" t="s">
        <v>13</v>
      </c>
      <c r="N121" s="17" t="s">
        <v>14</v>
      </c>
      <c r="O121" s="48" t="s">
        <v>15</v>
      </c>
      <c r="P121" s="17" t="s">
        <v>16</v>
      </c>
      <c r="Q121" s="20" t="s">
        <v>255</v>
      </c>
      <c r="R121" s="20" t="s">
        <v>254</v>
      </c>
      <c r="S121" s="17" t="s">
        <v>17</v>
      </c>
      <c r="T121" s="16" t="s">
        <v>18</v>
      </c>
      <c r="U121" s="21" t="s">
        <v>55</v>
      </c>
      <c r="V121" s="21" t="s">
        <v>54</v>
      </c>
      <c r="W121" s="59" t="s">
        <v>256</v>
      </c>
      <c r="X121" s="59" t="s">
        <v>257</v>
      </c>
      <c r="Y121" s="73">
        <f>+Y72</f>
        <v>0</v>
      </c>
      <c r="Z121" s="36"/>
      <c r="AA121" s="36"/>
    </row>
    <row r="122" spans="1:27" s="78" customFormat="1" x14ac:dyDescent="0.2">
      <c r="A122" s="78" t="s">
        <v>233</v>
      </c>
      <c r="B122" s="42" t="s">
        <v>258</v>
      </c>
      <c r="C122" s="64" t="s">
        <v>2</v>
      </c>
      <c r="D122" s="64" t="s">
        <v>143</v>
      </c>
      <c r="E122" s="65">
        <v>36557</v>
      </c>
      <c r="F122" s="65">
        <v>36677</v>
      </c>
      <c r="G122" s="71" t="s">
        <v>144</v>
      </c>
      <c r="H122" s="71" t="s">
        <v>145</v>
      </c>
      <c r="I122" s="64" t="s">
        <v>146</v>
      </c>
      <c r="J122" s="56">
        <f>14.76/J$1</f>
        <v>0.50896551724137928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7">
        <v>0</v>
      </c>
      <c r="P122" s="5">
        <f t="shared" ref="P122:P132" si="13">SUM(J122:N122)</f>
        <v>0.51836551724137925</v>
      </c>
      <c r="Q122" s="68">
        <v>32337</v>
      </c>
      <c r="R122" s="68">
        <v>31372</v>
      </c>
      <c r="S122" s="64">
        <v>431</v>
      </c>
      <c r="T122" s="42" t="s">
        <v>29</v>
      </c>
      <c r="U122" s="69">
        <f t="shared" ref="U122:U133" si="14">J122*J$1*S122</f>
        <v>6361.5599999999995</v>
      </c>
      <c r="V122" s="69"/>
      <c r="W122" s="63">
        <v>157612</v>
      </c>
      <c r="X122" s="63">
        <v>142813</v>
      </c>
      <c r="Y122" s="1"/>
      <c r="Z122" s="36"/>
      <c r="AA122" s="36"/>
    </row>
    <row r="123" spans="1:27" s="78" customFormat="1" x14ac:dyDescent="0.2">
      <c r="A123" s="78" t="s">
        <v>233</v>
      </c>
      <c r="B123" s="42" t="s">
        <v>258</v>
      </c>
      <c r="C123" s="64" t="s">
        <v>2</v>
      </c>
      <c r="D123" s="64" t="s">
        <v>106</v>
      </c>
      <c r="E123" s="65">
        <v>36557</v>
      </c>
      <c r="F123" s="65">
        <v>36677</v>
      </c>
      <c r="G123" s="71" t="s">
        <v>148</v>
      </c>
      <c r="H123" s="71" t="s">
        <v>147</v>
      </c>
      <c r="I123" s="64" t="s">
        <v>146</v>
      </c>
      <c r="J123" s="56">
        <f>13.28/J$1</f>
        <v>0.45793103448275863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7">
        <v>0</v>
      </c>
      <c r="P123" s="5">
        <f t="shared" si="13"/>
        <v>0.46733103448275859</v>
      </c>
      <c r="Q123" s="68">
        <v>32336</v>
      </c>
      <c r="R123" s="68">
        <v>31533</v>
      </c>
      <c r="S123" s="64">
        <v>48</v>
      </c>
      <c r="T123" s="42" t="s">
        <v>29</v>
      </c>
      <c r="U123" s="69">
        <f t="shared" si="14"/>
        <v>637.43999999999994</v>
      </c>
      <c r="V123" s="69"/>
      <c r="W123" s="63">
        <v>157613</v>
      </c>
      <c r="X123" s="63">
        <v>142814</v>
      </c>
      <c r="Y123" s="1"/>
      <c r="Z123" s="36"/>
      <c r="AA123" s="36"/>
    </row>
    <row r="124" spans="1:27" s="46" customFormat="1" x14ac:dyDescent="0.2">
      <c r="B124" s="42" t="s">
        <v>258</v>
      </c>
      <c r="C124" s="64" t="s">
        <v>2</v>
      </c>
      <c r="D124" s="64" t="s">
        <v>149</v>
      </c>
      <c r="E124" s="65">
        <v>36557</v>
      </c>
      <c r="F124" s="65">
        <v>36585</v>
      </c>
      <c r="G124" s="42" t="s">
        <v>150</v>
      </c>
      <c r="H124" s="71" t="s">
        <v>151</v>
      </c>
      <c r="I124" s="64" t="s">
        <v>146</v>
      </c>
      <c r="J124" s="56">
        <f>5.61/31</f>
        <v>0.18096774193548387</v>
      </c>
      <c r="K124" s="66">
        <v>7.6300000000000007E-2</v>
      </c>
      <c r="L124" s="66">
        <v>2.2000000000000001E-3</v>
      </c>
      <c r="M124" s="66">
        <v>7.1999999999999998E-3</v>
      </c>
      <c r="N124" s="66">
        <v>0</v>
      </c>
      <c r="O124" s="67">
        <v>2.7900000000000001E-2</v>
      </c>
      <c r="P124" s="66">
        <f t="shared" si="13"/>
        <v>0.26666774193548382</v>
      </c>
      <c r="Q124" s="68">
        <v>32398</v>
      </c>
      <c r="R124" s="68">
        <v>31957</v>
      </c>
      <c r="S124" s="64">
        <v>3701</v>
      </c>
      <c r="T124" s="42" t="s">
        <v>29</v>
      </c>
      <c r="U124" s="69">
        <f t="shared" si="14"/>
        <v>19423.086774193547</v>
      </c>
      <c r="V124" s="69"/>
      <c r="W124" s="63">
        <v>158613</v>
      </c>
      <c r="X124" s="63">
        <v>145064</v>
      </c>
      <c r="Y124" s="42" t="s">
        <v>152</v>
      </c>
      <c r="Z124" s="70"/>
      <c r="AA124" s="70"/>
    </row>
    <row r="125" spans="1:27" s="78" customFormat="1" x14ac:dyDescent="0.2">
      <c r="B125" s="1" t="s">
        <v>110</v>
      </c>
      <c r="C125" s="3" t="s">
        <v>2</v>
      </c>
      <c r="D125" s="3"/>
      <c r="E125" s="4">
        <v>36526</v>
      </c>
      <c r="F125" s="4">
        <v>36556</v>
      </c>
      <c r="G125" s="29" t="s">
        <v>153</v>
      </c>
      <c r="H125" s="29" t="s">
        <v>154</v>
      </c>
      <c r="I125" s="3" t="s">
        <v>146</v>
      </c>
      <c r="J125" s="8">
        <v>0</v>
      </c>
      <c r="K125" s="5">
        <v>0</v>
      </c>
      <c r="L125" s="5">
        <v>2.2000000000000001E-3</v>
      </c>
      <c r="M125" s="5">
        <v>7.1999999999999998E-3</v>
      </c>
      <c r="N125" s="5">
        <v>0</v>
      </c>
      <c r="O125" s="47">
        <v>0</v>
      </c>
      <c r="P125" s="5">
        <f t="shared" si="13"/>
        <v>9.4000000000000004E-3</v>
      </c>
      <c r="Q125" s="24"/>
      <c r="R125" s="24">
        <v>31957</v>
      </c>
      <c r="S125" s="3"/>
      <c r="T125" s="1" t="s">
        <v>29</v>
      </c>
      <c r="U125" s="9">
        <f t="shared" si="14"/>
        <v>0</v>
      </c>
      <c r="V125" s="9"/>
      <c r="W125" s="61"/>
      <c r="X125" s="61"/>
      <c r="Y125" s="1" t="s">
        <v>152</v>
      </c>
      <c r="Z125" s="36"/>
      <c r="AA125" s="36"/>
    </row>
    <row r="126" spans="1:27" s="46" customFormat="1" x14ac:dyDescent="0.2">
      <c r="B126" s="42" t="s">
        <v>258</v>
      </c>
      <c r="C126" s="64" t="s">
        <v>229</v>
      </c>
      <c r="D126" s="64" t="s">
        <v>149</v>
      </c>
      <c r="E126" s="65">
        <v>36557</v>
      </c>
      <c r="F126" s="65">
        <v>36585</v>
      </c>
      <c r="G126" s="42" t="s">
        <v>230</v>
      </c>
      <c r="H126" s="42" t="s">
        <v>149</v>
      </c>
      <c r="I126" s="64" t="s">
        <v>146</v>
      </c>
      <c r="J126" s="56">
        <f>7.36/J$1</f>
        <v>0.25379310344827588</v>
      </c>
      <c r="K126" s="66">
        <v>0</v>
      </c>
      <c r="L126" s="66">
        <v>2.2000000000000001E-3</v>
      </c>
      <c r="M126" s="66">
        <v>7.1999999999999998E-3</v>
      </c>
      <c r="N126" s="66">
        <v>0</v>
      </c>
      <c r="O126" s="67">
        <v>2.2200000000000001E-2</v>
      </c>
      <c r="P126" s="66">
        <f t="shared" si="13"/>
        <v>0.26319310344827584</v>
      </c>
      <c r="Q126" s="68">
        <v>32391</v>
      </c>
      <c r="R126" s="68">
        <v>31958</v>
      </c>
      <c r="S126" s="64">
        <v>4128</v>
      </c>
      <c r="T126" s="42" t="s">
        <v>29</v>
      </c>
      <c r="U126" s="69">
        <f t="shared" si="14"/>
        <v>30382.080000000002</v>
      </c>
      <c r="V126" s="69"/>
      <c r="W126" s="63">
        <v>158454</v>
      </c>
      <c r="X126" s="63">
        <v>145082</v>
      </c>
      <c r="Y126" s="42" t="s">
        <v>152</v>
      </c>
      <c r="Z126" s="70"/>
      <c r="AA126" s="70"/>
    </row>
    <row r="127" spans="1:27" s="46" customFormat="1" x14ac:dyDescent="0.2">
      <c r="B127" s="42" t="s">
        <v>258</v>
      </c>
      <c r="C127" s="64" t="s">
        <v>229</v>
      </c>
      <c r="D127" s="64" t="s">
        <v>149</v>
      </c>
      <c r="E127" s="65">
        <v>36557</v>
      </c>
      <c r="F127" s="65">
        <v>36585</v>
      </c>
      <c r="G127" s="42" t="s">
        <v>401</v>
      </c>
      <c r="H127" s="42"/>
      <c r="I127" s="64" t="s">
        <v>400</v>
      </c>
      <c r="J127" s="56">
        <v>1.8700000000000001E-2</v>
      </c>
      <c r="K127" s="66">
        <v>0</v>
      </c>
      <c r="L127" s="66">
        <v>2.2000000000000001E-3</v>
      </c>
      <c r="M127" s="66">
        <v>7.1999999999999998E-3</v>
      </c>
      <c r="N127" s="66">
        <v>0</v>
      </c>
      <c r="O127" s="67">
        <v>2.2200000000000001E-2</v>
      </c>
      <c r="P127" s="66">
        <f t="shared" si="13"/>
        <v>2.81E-2</v>
      </c>
      <c r="Q127" s="68">
        <v>32348</v>
      </c>
      <c r="R127" s="68"/>
      <c r="S127" s="64">
        <v>78220</v>
      </c>
      <c r="T127" s="42" t="s">
        <v>29</v>
      </c>
      <c r="U127" s="69">
        <f>+S127*J127</f>
        <v>1462.7140000000002</v>
      </c>
      <c r="V127" s="69"/>
      <c r="W127" s="63">
        <v>158454</v>
      </c>
      <c r="X127" s="63">
        <v>145082</v>
      </c>
      <c r="Y127" s="42" t="s">
        <v>152</v>
      </c>
      <c r="Z127" s="70"/>
      <c r="AA127" s="70"/>
    </row>
    <row r="128" spans="1:27" s="46" customFormat="1" x14ac:dyDescent="0.2">
      <c r="B128" s="42" t="s">
        <v>258</v>
      </c>
      <c r="C128" s="64" t="s">
        <v>229</v>
      </c>
      <c r="D128" s="64" t="s">
        <v>149</v>
      </c>
      <c r="E128" s="65">
        <v>36557</v>
      </c>
      <c r="F128" s="65">
        <v>36585</v>
      </c>
      <c r="G128" s="42" t="s">
        <v>401</v>
      </c>
      <c r="H128" s="42"/>
      <c r="I128" s="64" t="s">
        <v>400</v>
      </c>
      <c r="J128" s="56">
        <v>1.17</v>
      </c>
      <c r="K128" s="66">
        <v>0</v>
      </c>
      <c r="L128" s="66">
        <v>2.2000000000000001E-3</v>
      </c>
      <c r="M128" s="66">
        <v>7.1999999999999998E-3</v>
      </c>
      <c r="N128" s="66">
        <v>0</v>
      </c>
      <c r="O128" s="67">
        <v>2.2200000000000001E-2</v>
      </c>
      <c r="P128" s="66">
        <f t="shared" si="13"/>
        <v>1.1794</v>
      </c>
      <c r="Q128" s="68">
        <v>32348</v>
      </c>
      <c r="R128" s="68"/>
      <c r="S128" s="64">
        <v>522</v>
      </c>
      <c r="T128" s="42" t="s">
        <v>29</v>
      </c>
      <c r="U128" s="69">
        <f>+S128*J128</f>
        <v>610.74</v>
      </c>
      <c r="V128" s="69"/>
      <c r="W128" s="63">
        <v>158454</v>
      </c>
      <c r="X128" s="63">
        <v>145082</v>
      </c>
      <c r="Y128" s="42" t="s">
        <v>152</v>
      </c>
      <c r="Z128" s="70"/>
      <c r="AA128" s="70"/>
    </row>
    <row r="129" spans="1:27" s="46" customFormat="1" x14ac:dyDescent="0.2">
      <c r="B129" s="42" t="s">
        <v>258</v>
      </c>
      <c r="C129" s="64" t="s">
        <v>229</v>
      </c>
      <c r="D129" s="64" t="s">
        <v>149</v>
      </c>
      <c r="E129" s="65">
        <v>36557</v>
      </c>
      <c r="F129" s="65">
        <v>36585</v>
      </c>
      <c r="G129" s="42" t="s">
        <v>402</v>
      </c>
      <c r="H129" s="42"/>
      <c r="I129" s="64" t="s">
        <v>400</v>
      </c>
      <c r="J129" s="56">
        <v>2.4799999999999999E-2</v>
      </c>
      <c r="K129" s="66">
        <v>0</v>
      </c>
      <c r="L129" s="66">
        <v>2.2000000000000001E-3</v>
      </c>
      <c r="M129" s="66">
        <v>7.1999999999999998E-3</v>
      </c>
      <c r="N129" s="66">
        <v>0</v>
      </c>
      <c r="O129" s="67">
        <v>2.2200000000000001E-2</v>
      </c>
      <c r="P129" s="66">
        <f>SUM(J129:N129)</f>
        <v>3.4200000000000001E-2</v>
      </c>
      <c r="Q129" s="68">
        <v>32316</v>
      </c>
      <c r="R129" s="68"/>
      <c r="S129" s="64">
        <v>220867</v>
      </c>
      <c r="T129" s="42" t="s">
        <v>29</v>
      </c>
      <c r="U129" s="69">
        <f>+S129*J129</f>
        <v>5477.5015999999996</v>
      </c>
      <c r="V129" s="69"/>
      <c r="W129" s="63">
        <v>158454</v>
      </c>
      <c r="X129" s="63">
        <v>145082</v>
      </c>
      <c r="Y129" s="42" t="s">
        <v>152</v>
      </c>
      <c r="Z129" s="70"/>
      <c r="AA129" s="70"/>
    </row>
    <row r="130" spans="1:27" s="46" customFormat="1" x14ac:dyDescent="0.2">
      <c r="B130" s="42" t="s">
        <v>258</v>
      </c>
      <c r="C130" s="64" t="s">
        <v>229</v>
      </c>
      <c r="D130" s="64" t="s">
        <v>149</v>
      </c>
      <c r="E130" s="65">
        <v>36557</v>
      </c>
      <c r="F130" s="65">
        <v>36585</v>
      </c>
      <c r="G130" s="42" t="s">
        <v>402</v>
      </c>
      <c r="H130" s="42"/>
      <c r="I130" s="64" t="s">
        <v>400</v>
      </c>
      <c r="J130" s="56">
        <v>2.02</v>
      </c>
      <c r="K130" s="66">
        <v>0</v>
      </c>
      <c r="L130" s="66">
        <v>2.2000000000000001E-3</v>
      </c>
      <c r="M130" s="66">
        <v>7.1999999999999998E-3</v>
      </c>
      <c r="N130" s="66">
        <v>0</v>
      </c>
      <c r="O130" s="67">
        <v>2.2200000000000001E-2</v>
      </c>
      <c r="P130" s="66">
        <f>SUM(J130:N130)</f>
        <v>2.0294000000000003</v>
      </c>
      <c r="Q130" s="68">
        <v>32316</v>
      </c>
      <c r="R130" s="68"/>
      <c r="S130" s="64">
        <v>1473</v>
      </c>
      <c r="T130" s="42" t="s">
        <v>29</v>
      </c>
      <c r="U130" s="69">
        <f>+S130*J130</f>
        <v>2975.46</v>
      </c>
      <c r="V130" s="69"/>
      <c r="W130" s="63">
        <v>158454</v>
      </c>
      <c r="X130" s="63">
        <v>145082</v>
      </c>
      <c r="Y130" s="42" t="s">
        <v>152</v>
      </c>
      <c r="Z130" s="70"/>
      <c r="AA130" s="70"/>
    </row>
    <row r="131" spans="1:27" s="46" customFormat="1" x14ac:dyDescent="0.2">
      <c r="B131" s="42" t="s">
        <v>110</v>
      </c>
      <c r="C131" s="64" t="s">
        <v>234</v>
      </c>
      <c r="D131" s="64" t="s">
        <v>225</v>
      </c>
      <c r="E131" s="65">
        <v>36526</v>
      </c>
      <c r="F131" s="65">
        <v>36556</v>
      </c>
      <c r="G131" s="71" t="s">
        <v>226</v>
      </c>
      <c r="H131" s="71" t="s">
        <v>227</v>
      </c>
      <c r="I131" s="64" t="s">
        <v>146</v>
      </c>
      <c r="J131" s="56">
        <v>7.2900000000000006E-2</v>
      </c>
      <c r="K131" s="66">
        <v>8.9999999999999993E-3</v>
      </c>
      <c r="L131" s="66">
        <v>2.2000000000000001E-3</v>
      </c>
      <c r="M131" s="66">
        <v>7.1999999999999998E-3</v>
      </c>
      <c r="N131" s="66">
        <v>0</v>
      </c>
      <c r="O131" s="67">
        <v>0</v>
      </c>
      <c r="P131" s="66">
        <f t="shared" si="13"/>
        <v>9.1299999999999992E-2</v>
      </c>
      <c r="Q131" s="68">
        <v>32425</v>
      </c>
      <c r="R131" s="68">
        <v>32110</v>
      </c>
      <c r="S131" s="64">
        <v>5000</v>
      </c>
      <c r="T131" s="42" t="s">
        <v>29</v>
      </c>
      <c r="U131" s="69">
        <f t="shared" si="14"/>
        <v>10570.5</v>
      </c>
      <c r="V131" s="69"/>
      <c r="W131" s="63"/>
      <c r="X131" s="63">
        <v>159164</v>
      </c>
      <c r="Y131" s="42" t="s">
        <v>152</v>
      </c>
      <c r="Z131" s="70"/>
      <c r="AA131" s="70"/>
    </row>
    <row r="132" spans="1:27" s="46" customFormat="1" x14ac:dyDescent="0.2">
      <c r="B132" s="42" t="s">
        <v>258</v>
      </c>
      <c r="C132" s="64" t="s">
        <v>234</v>
      </c>
      <c r="D132" s="64" t="s">
        <v>225</v>
      </c>
      <c r="E132" s="65">
        <v>36557</v>
      </c>
      <c r="F132" s="65">
        <v>36585</v>
      </c>
      <c r="G132" s="42" t="s">
        <v>226</v>
      </c>
      <c r="H132" s="42" t="s">
        <v>227</v>
      </c>
      <c r="I132" s="64" t="s">
        <v>146</v>
      </c>
      <c r="J132" s="56">
        <v>7.2900000000000006E-2</v>
      </c>
      <c r="K132" s="66">
        <v>8.9999999999999993E-3</v>
      </c>
      <c r="L132" s="66">
        <v>2.2000000000000001E-3</v>
      </c>
      <c r="M132" s="66">
        <v>7.1999999999999998E-3</v>
      </c>
      <c r="N132" s="66">
        <v>0</v>
      </c>
      <c r="O132" s="67">
        <v>0</v>
      </c>
      <c r="P132" s="66">
        <f t="shared" si="13"/>
        <v>9.1299999999999992E-2</v>
      </c>
      <c r="Q132" s="68">
        <v>32358</v>
      </c>
      <c r="R132" s="68">
        <v>32067</v>
      </c>
      <c r="S132" s="64">
        <v>761</v>
      </c>
      <c r="T132" s="42" t="s">
        <v>29</v>
      </c>
      <c r="U132" s="69">
        <f t="shared" si="14"/>
        <v>1608.8301000000001</v>
      </c>
      <c r="V132" s="69"/>
      <c r="W132" s="63">
        <v>157203</v>
      </c>
      <c r="X132" s="63">
        <v>145906</v>
      </c>
      <c r="Y132" s="42" t="s">
        <v>152</v>
      </c>
      <c r="Z132" s="70"/>
      <c r="AA132" s="70"/>
    </row>
    <row r="133" spans="1:27" s="81" customFormat="1" x14ac:dyDescent="0.2">
      <c r="A133" s="81" t="s">
        <v>233</v>
      </c>
      <c r="B133" s="42" t="s">
        <v>258</v>
      </c>
      <c r="C133" s="64" t="s">
        <v>2</v>
      </c>
      <c r="D133" s="64" t="s">
        <v>225</v>
      </c>
      <c r="E133" s="65">
        <v>36557</v>
      </c>
      <c r="F133" s="65">
        <v>36585</v>
      </c>
      <c r="G133" s="42" t="s">
        <v>235</v>
      </c>
      <c r="H133" s="42" t="s">
        <v>226</v>
      </c>
      <c r="I133" s="64" t="s">
        <v>236</v>
      </c>
      <c r="J133" s="56">
        <v>0</v>
      </c>
      <c r="K133" s="66"/>
      <c r="L133" s="97"/>
      <c r="M133" s="66"/>
      <c r="N133" s="66"/>
      <c r="O133" s="67"/>
      <c r="P133" s="66"/>
      <c r="Q133" s="68"/>
      <c r="R133" s="68">
        <v>32067</v>
      </c>
      <c r="S133" s="64">
        <v>769</v>
      </c>
      <c r="T133" s="64"/>
      <c r="U133" s="69">
        <f t="shared" si="14"/>
        <v>0</v>
      </c>
      <c r="V133" s="69"/>
      <c r="W133" s="63">
        <v>157207</v>
      </c>
      <c r="X133" s="63"/>
      <c r="Y133" s="42" t="s">
        <v>152</v>
      </c>
      <c r="Z133" s="70"/>
      <c r="AA133" s="70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7"/>
      <c r="P134" s="5"/>
      <c r="Q134" s="24"/>
      <c r="R134" s="24"/>
      <c r="S134" s="2"/>
      <c r="T134" s="3"/>
      <c r="U134" s="9"/>
      <c r="V134" s="9"/>
      <c r="W134" s="61"/>
      <c r="X134" s="61"/>
      <c r="Y134" s="1"/>
      <c r="Z134" s="36"/>
      <c r="AA134" s="36"/>
    </row>
    <row r="135" spans="1:27" x14ac:dyDescent="0.2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50"/>
      <c r="P135" s="5"/>
      <c r="Q135" s="24"/>
      <c r="R135" s="24"/>
      <c r="S135" s="3">
        <f>SUM(S122:S134)</f>
        <v>315920</v>
      </c>
      <c r="T135" s="3"/>
      <c r="U135" s="145">
        <f>SUM(U122:U134)</f>
        <v>79509.912474193567</v>
      </c>
      <c r="Y135" s="29"/>
      <c r="Z135" s="37"/>
      <c r="AA135" s="37"/>
    </row>
    <row r="136" spans="1:27" x14ac:dyDescent="0.2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56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8" t="s">
        <v>15</v>
      </c>
      <c r="P136" s="17" t="s">
        <v>16</v>
      </c>
      <c r="Q136" s="20" t="s">
        <v>255</v>
      </c>
      <c r="R136" s="20" t="s">
        <v>254</v>
      </c>
      <c r="S136" s="17" t="s">
        <v>17</v>
      </c>
      <c r="T136" s="16" t="s">
        <v>18</v>
      </c>
      <c r="U136" s="21" t="s">
        <v>55</v>
      </c>
      <c r="V136" s="21" t="s">
        <v>54</v>
      </c>
      <c r="W136" s="59" t="s">
        <v>256</v>
      </c>
      <c r="X136" s="59" t="s">
        <v>257</v>
      </c>
      <c r="Y136" s="73">
        <f>+Y78</f>
        <v>0</v>
      </c>
      <c r="Z136" s="36"/>
      <c r="AA136" s="36"/>
    </row>
    <row r="137" spans="1:27" s="46" customFormat="1" x14ac:dyDescent="0.2">
      <c r="B137" s="42" t="s">
        <v>110</v>
      </c>
      <c r="C137" s="64" t="s">
        <v>25</v>
      </c>
      <c r="D137" s="64" t="s">
        <v>158</v>
      </c>
      <c r="E137" s="65">
        <v>35977</v>
      </c>
      <c r="F137" s="65">
        <v>41029</v>
      </c>
      <c r="G137" s="42" t="s">
        <v>159</v>
      </c>
      <c r="H137" s="42" t="s">
        <v>160</v>
      </c>
      <c r="I137" s="64" t="s">
        <v>22</v>
      </c>
      <c r="J137" s="56">
        <v>0</v>
      </c>
      <c r="K137" s="66">
        <v>0</v>
      </c>
      <c r="L137" s="66">
        <v>2.2000000000000001E-3</v>
      </c>
      <c r="M137" s="66">
        <v>0</v>
      </c>
      <c r="N137" s="66">
        <v>0</v>
      </c>
      <c r="O137" s="67">
        <v>0</v>
      </c>
      <c r="P137" s="66">
        <f t="shared" ref="P137:P147" si="15">SUM(J137:N137)</f>
        <v>2.2000000000000001E-3</v>
      </c>
      <c r="Q137" s="68">
        <v>892591</v>
      </c>
      <c r="R137" s="68">
        <v>886677</v>
      </c>
      <c r="S137" s="64">
        <v>74</v>
      </c>
      <c r="T137" s="42"/>
      <c r="U137" s="69">
        <f t="shared" ref="U137:U150" si="16">J137*J$1*S137</f>
        <v>0</v>
      </c>
      <c r="V137" s="69">
        <v>442.93</v>
      </c>
      <c r="W137" s="63">
        <v>157553</v>
      </c>
      <c r="X137" s="63">
        <v>143309</v>
      </c>
      <c r="Y137" s="42" t="s">
        <v>310</v>
      </c>
      <c r="Z137" s="70"/>
      <c r="AA137" s="70"/>
    </row>
    <row r="138" spans="1:27" s="78" customFormat="1" x14ac:dyDescent="0.2">
      <c r="B138" s="1" t="s">
        <v>110</v>
      </c>
      <c r="C138" s="3" t="s">
        <v>25</v>
      </c>
      <c r="D138" s="3" t="s">
        <v>158</v>
      </c>
      <c r="E138" s="4">
        <v>36130</v>
      </c>
      <c r="F138" s="4">
        <v>41029</v>
      </c>
      <c r="G138" s="1" t="s">
        <v>159</v>
      </c>
      <c r="H138" s="1" t="s">
        <v>160</v>
      </c>
      <c r="I138" s="3" t="s">
        <v>22</v>
      </c>
      <c r="J138" s="8">
        <v>0</v>
      </c>
      <c r="K138" s="5">
        <v>0</v>
      </c>
      <c r="L138" s="5">
        <v>2.2000000000000001E-3</v>
      </c>
      <c r="M138" s="5">
        <v>0</v>
      </c>
      <c r="N138" s="5">
        <v>0</v>
      </c>
      <c r="O138" s="47">
        <v>0</v>
      </c>
      <c r="P138" s="5">
        <f t="shared" si="15"/>
        <v>2.2000000000000001E-3</v>
      </c>
      <c r="Q138" s="24" t="s">
        <v>311</v>
      </c>
      <c r="R138" s="24">
        <v>887978</v>
      </c>
      <c r="S138" s="3">
        <v>0</v>
      </c>
      <c r="T138" s="1"/>
      <c r="U138" s="9">
        <f t="shared" si="16"/>
        <v>0</v>
      </c>
      <c r="V138" s="9"/>
      <c r="W138" s="61"/>
      <c r="X138" s="61">
        <v>143310</v>
      </c>
      <c r="Y138" s="1" t="s">
        <v>308</v>
      </c>
      <c r="Z138" s="36"/>
      <c r="AA138" s="36"/>
    </row>
    <row r="139" spans="1:27" s="78" customFormat="1" x14ac:dyDescent="0.2">
      <c r="B139" s="1" t="s">
        <v>110</v>
      </c>
      <c r="C139" s="3" t="s">
        <v>25</v>
      </c>
      <c r="D139" s="3" t="s">
        <v>158</v>
      </c>
      <c r="E139" s="4">
        <v>36220</v>
      </c>
      <c r="F139" s="4">
        <v>41029</v>
      </c>
      <c r="G139" s="1" t="s">
        <v>159</v>
      </c>
      <c r="H139" s="1" t="s">
        <v>161</v>
      </c>
      <c r="I139" s="3" t="s">
        <v>22</v>
      </c>
      <c r="J139" s="8">
        <v>0</v>
      </c>
      <c r="K139" s="5">
        <v>0</v>
      </c>
      <c r="L139" s="5">
        <v>2.2000000000000001E-3</v>
      </c>
      <c r="M139" s="5">
        <v>0</v>
      </c>
      <c r="N139" s="5">
        <v>0</v>
      </c>
      <c r="O139" s="47">
        <v>0</v>
      </c>
      <c r="P139" s="5">
        <f t="shared" si="15"/>
        <v>2.2000000000000001E-3</v>
      </c>
      <c r="Q139" s="24" t="s">
        <v>311</v>
      </c>
      <c r="R139" s="24">
        <v>888786</v>
      </c>
      <c r="S139" s="3">
        <v>0</v>
      </c>
      <c r="T139" s="1"/>
      <c r="U139" s="9">
        <f t="shared" si="16"/>
        <v>0</v>
      </c>
      <c r="V139" s="9"/>
      <c r="W139" s="61"/>
      <c r="X139" s="61">
        <v>143311</v>
      </c>
      <c r="Y139" s="1" t="s">
        <v>309</v>
      </c>
      <c r="Z139" s="36"/>
      <c r="AA139" s="36"/>
    </row>
    <row r="140" spans="1:27" s="46" customFormat="1" x14ac:dyDescent="0.2">
      <c r="B140" s="42" t="s">
        <v>110</v>
      </c>
      <c r="C140" s="64" t="s">
        <v>25</v>
      </c>
      <c r="D140" s="64" t="s">
        <v>158</v>
      </c>
      <c r="E140" s="65">
        <v>36465</v>
      </c>
      <c r="F140" s="65">
        <v>39021</v>
      </c>
      <c r="G140" s="42" t="s">
        <v>21</v>
      </c>
      <c r="H140" s="42" t="s">
        <v>24</v>
      </c>
      <c r="I140" s="64" t="s">
        <v>22</v>
      </c>
      <c r="J140" s="56">
        <v>0.55000000000000004</v>
      </c>
      <c r="K140" s="66">
        <v>0</v>
      </c>
      <c r="L140" s="66">
        <v>2.2000000000000001E-3</v>
      </c>
      <c r="M140" s="66">
        <v>0</v>
      </c>
      <c r="N140" s="66">
        <v>0</v>
      </c>
      <c r="O140" s="67">
        <v>0</v>
      </c>
      <c r="P140" s="66">
        <f t="shared" si="15"/>
        <v>0.55220000000000002</v>
      </c>
      <c r="Q140" s="68">
        <v>892596</v>
      </c>
      <c r="R140" s="68">
        <v>892066</v>
      </c>
      <c r="S140" s="64">
        <v>139</v>
      </c>
      <c r="T140" s="42" t="s">
        <v>303</v>
      </c>
      <c r="U140" s="69">
        <f t="shared" si="16"/>
        <v>2217.0500000000002</v>
      </c>
      <c r="V140" s="69">
        <v>2444.2800000000002</v>
      </c>
      <c r="W140" s="63">
        <v>157537</v>
      </c>
      <c r="X140" s="63">
        <v>143315</v>
      </c>
      <c r="Y140" s="42"/>
      <c r="Z140" s="70"/>
      <c r="AA140" s="70"/>
    </row>
    <row r="141" spans="1:27" s="46" customFormat="1" x14ac:dyDescent="0.2">
      <c r="B141" s="42" t="s">
        <v>110</v>
      </c>
      <c r="C141" s="64" t="s">
        <v>25</v>
      </c>
      <c r="D141" s="64" t="s">
        <v>158</v>
      </c>
      <c r="E141" s="65">
        <v>36465</v>
      </c>
      <c r="F141" s="65">
        <v>36830</v>
      </c>
      <c r="G141" s="42" t="s">
        <v>30</v>
      </c>
      <c r="H141" s="42" t="s">
        <v>24</v>
      </c>
      <c r="I141" s="64" t="s">
        <v>23</v>
      </c>
      <c r="J141" s="56">
        <v>0.55000000000000004</v>
      </c>
      <c r="K141" s="66">
        <v>0</v>
      </c>
      <c r="L141" s="66">
        <v>2.2000000000000001E-3</v>
      </c>
      <c r="M141" s="66">
        <v>0</v>
      </c>
      <c r="N141" s="66">
        <v>0</v>
      </c>
      <c r="O141" s="67">
        <v>0</v>
      </c>
      <c r="P141" s="66">
        <f t="shared" si="15"/>
        <v>0.55220000000000002</v>
      </c>
      <c r="Q141" s="68">
        <v>892594</v>
      </c>
      <c r="R141" s="68">
        <v>892069</v>
      </c>
      <c r="S141" s="64">
        <v>11</v>
      </c>
      <c r="T141" s="42" t="s">
        <v>304</v>
      </c>
      <c r="U141" s="69">
        <f t="shared" si="16"/>
        <v>175.45000000000002</v>
      </c>
      <c r="V141" s="69">
        <v>110.17</v>
      </c>
      <c r="W141" s="63">
        <v>157539</v>
      </c>
      <c r="X141" s="63">
        <v>143316</v>
      </c>
      <c r="Y141" s="42"/>
      <c r="Z141" s="70"/>
      <c r="AA141" s="70"/>
    </row>
    <row r="142" spans="1:27" s="46" customFormat="1" x14ac:dyDescent="0.2">
      <c r="B142" s="42" t="s">
        <v>110</v>
      </c>
      <c r="C142" s="64" t="s">
        <v>25</v>
      </c>
      <c r="D142" s="64" t="s">
        <v>158</v>
      </c>
      <c r="E142" s="65">
        <v>36465</v>
      </c>
      <c r="F142" s="65">
        <v>37560</v>
      </c>
      <c r="G142" s="42" t="s">
        <v>21</v>
      </c>
      <c r="H142" s="42" t="s">
        <v>30</v>
      </c>
      <c r="I142" s="64" t="s">
        <v>22</v>
      </c>
      <c r="J142" s="56">
        <v>0.55000000000000004</v>
      </c>
      <c r="K142" s="66">
        <v>0</v>
      </c>
      <c r="L142" s="66">
        <v>2.2000000000000001E-3</v>
      </c>
      <c r="M142" s="66">
        <v>0</v>
      </c>
      <c r="N142" s="66">
        <v>0</v>
      </c>
      <c r="O142" s="67">
        <v>0</v>
      </c>
      <c r="P142" s="66">
        <f t="shared" si="15"/>
        <v>0.55220000000000002</v>
      </c>
      <c r="Q142" s="68">
        <v>892593</v>
      </c>
      <c r="R142" s="68">
        <v>892084</v>
      </c>
      <c r="S142" s="64">
        <v>18</v>
      </c>
      <c r="T142" s="42" t="s">
        <v>305</v>
      </c>
      <c r="U142" s="69">
        <f t="shared" si="16"/>
        <v>287.10000000000002</v>
      </c>
      <c r="V142" s="69">
        <v>262.52</v>
      </c>
      <c r="W142" s="63">
        <v>157543</v>
      </c>
      <c r="X142" s="63">
        <v>143318</v>
      </c>
      <c r="Y142" s="42"/>
      <c r="Z142" s="70"/>
      <c r="AA142" s="70"/>
    </row>
    <row r="143" spans="1:27" s="46" customFormat="1" x14ac:dyDescent="0.2">
      <c r="B143" s="42" t="s">
        <v>110</v>
      </c>
      <c r="C143" s="64" t="s">
        <v>25</v>
      </c>
      <c r="D143" s="64" t="s">
        <v>158</v>
      </c>
      <c r="E143" s="65">
        <v>36465</v>
      </c>
      <c r="F143" s="65">
        <v>39021</v>
      </c>
      <c r="G143" s="42" t="s">
        <v>21</v>
      </c>
      <c r="H143" s="42" t="s">
        <v>24</v>
      </c>
      <c r="I143" s="64" t="s">
        <v>22</v>
      </c>
      <c r="J143" s="56">
        <v>0.55000000000000004</v>
      </c>
      <c r="K143" s="66">
        <v>0</v>
      </c>
      <c r="L143" s="66">
        <v>2.2000000000000001E-3</v>
      </c>
      <c r="M143" s="66">
        <v>0</v>
      </c>
      <c r="N143" s="66">
        <v>0</v>
      </c>
      <c r="O143" s="67">
        <v>0</v>
      </c>
      <c r="P143" s="66">
        <f>SUM(J143:N143)</f>
        <v>0.55220000000000002</v>
      </c>
      <c r="Q143" s="68">
        <v>892597</v>
      </c>
      <c r="R143" s="68">
        <v>892085</v>
      </c>
      <c r="S143" s="64">
        <v>167</v>
      </c>
      <c r="T143" s="42" t="s">
        <v>306</v>
      </c>
      <c r="U143" s="69">
        <f t="shared" si="16"/>
        <v>2663.65</v>
      </c>
      <c r="V143" s="69">
        <v>2907.67</v>
      </c>
      <c r="W143" s="63">
        <v>157570</v>
      </c>
      <c r="X143" s="63">
        <v>143319</v>
      </c>
      <c r="Y143" s="42"/>
      <c r="Z143" s="70"/>
      <c r="AA143" s="70"/>
    </row>
    <row r="144" spans="1:27" s="46" customFormat="1" x14ac:dyDescent="0.2">
      <c r="B144" s="42" t="s">
        <v>110</v>
      </c>
      <c r="C144" s="64" t="s">
        <v>25</v>
      </c>
      <c r="D144" s="64" t="s">
        <v>158</v>
      </c>
      <c r="E144" s="65">
        <v>36495</v>
      </c>
      <c r="F144" s="65">
        <v>39021</v>
      </c>
      <c r="G144" s="42" t="s">
        <v>21</v>
      </c>
      <c r="H144" s="42" t="s">
        <v>24</v>
      </c>
      <c r="I144" s="64" t="s">
        <v>23</v>
      </c>
      <c r="J144" s="56">
        <v>0.55000000000000004</v>
      </c>
      <c r="K144" s="66">
        <v>0</v>
      </c>
      <c r="L144" s="66">
        <v>2.2000000000000001E-3</v>
      </c>
      <c r="M144" s="66">
        <v>0</v>
      </c>
      <c r="N144" s="66">
        <v>0</v>
      </c>
      <c r="O144" s="67">
        <v>0</v>
      </c>
      <c r="P144" s="66">
        <f t="shared" si="15"/>
        <v>0.55220000000000002</v>
      </c>
      <c r="Q144" s="68">
        <v>892592</v>
      </c>
      <c r="R144" s="68">
        <v>892214</v>
      </c>
      <c r="S144" s="64">
        <v>114</v>
      </c>
      <c r="T144" s="42" t="s">
        <v>307</v>
      </c>
      <c r="U144" s="69">
        <f t="shared" si="16"/>
        <v>1818.3000000000002</v>
      </c>
      <c r="V144" s="69">
        <v>2069.14</v>
      </c>
      <c r="W144" s="63">
        <v>157545</v>
      </c>
      <c r="X144" s="63">
        <v>143321</v>
      </c>
      <c r="Y144" s="42"/>
      <c r="Z144" s="70"/>
      <c r="AA144" s="70"/>
    </row>
    <row r="145" spans="2:27" s="46" customFormat="1" x14ac:dyDescent="0.2">
      <c r="B145" s="42" t="s">
        <v>110</v>
      </c>
      <c r="C145" s="64" t="s">
        <v>25</v>
      </c>
      <c r="D145" s="64" t="s">
        <v>327</v>
      </c>
      <c r="E145" s="65">
        <v>36526</v>
      </c>
      <c r="F145" s="65">
        <v>36677</v>
      </c>
      <c r="G145" s="42" t="s">
        <v>328</v>
      </c>
      <c r="H145" s="42" t="s">
        <v>24</v>
      </c>
      <c r="I145" s="64" t="s">
        <v>23</v>
      </c>
      <c r="J145" s="56">
        <v>0.87390000000000001</v>
      </c>
      <c r="K145" s="66"/>
      <c r="L145" s="66"/>
      <c r="M145" s="66"/>
      <c r="N145" s="66"/>
      <c r="O145" s="67"/>
      <c r="P145" s="66"/>
      <c r="Q145" s="68"/>
      <c r="R145" s="68">
        <v>891719</v>
      </c>
      <c r="S145" s="64">
        <v>300</v>
      </c>
      <c r="T145" s="42" t="s">
        <v>329</v>
      </c>
      <c r="U145" s="69">
        <f>(+S145*J145)*31</f>
        <v>8127.27</v>
      </c>
      <c r="V145" s="69">
        <v>7642.08</v>
      </c>
      <c r="W145" s="63">
        <v>202419</v>
      </c>
      <c r="X145" s="63">
        <v>202419</v>
      </c>
      <c r="Y145" s="42"/>
      <c r="Z145" s="70"/>
      <c r="AA145" s="70"/>
    </row>
    <row r="146" spans="2:27" s="144" customFormat="1" x14ac:dyDescent="0.2">
      <c r="B146" s="43" t="s">
        <v>110</v>
      </c>
      <c r="C146" s="134" t="s">
        <v>25</v>
      </c>
      <c r="D146" s="134" t="s">
        <v>158</v>
      </c>
      <c r="E146" s="135">
        <v>36465</v>
      </c>
      <c r="F146" s="135">
        <v>41394</v>
      </c>
      <c r="G146" s="43" t="s">
        <v>162</v>
      </c>
      <c r="H146" s="43" t="s">
        <v>0</v>
      </c>
      <c r="I146" s="134" t="s">
        <v>162</v>
      </c>
      <c r="J146" s="136">
        <v>0.1852</v>
      </c>
      <c r="K146" s="137">
        <v>0</v>
      </c>
      <c r="L146" s="137">
        <v>2.2000000000000001E-3</v>
      </c>
      <c r="M146" s="137">
        <v>0</v>
      </c>
      <c r="N146" s="137">
        <v>0</v>
      </c>
      <c r="O146" s="138">
        <v>0</v>
      </c>
      <c r="P146" s="137">
        <f>SUM(J146:N146)</f>
        <v>0.18740000000000001</v>
      </c>
      <c r="Q146" s="139"/>
      <c r="R146" s="139">
        <v>892102</v>
      </c>
      <c r="S146" s="134">
        <v>170</v>
      </c>
      <c r="T146" s="43" t="s">
        <v>163</v>
      </c>
      <c r="U146" s="141">
        <f t="shared" si="16"/>
        <v>913.03600000000006</v>
      </c>
      <c r="V146" s="141">
        <v>914.52</v>
      </c>
      <c r="W146" s="142">
        <v>143323</v>
      </c>
      <c r="X146" s="142">
        <v>143323</v>
      </c>
      <c r="Y146" s="43"/>
      <c r="Z146" s="143"/>
      <c r="AA146" s="143"/>
    </row>
    <row r="147" spans="2:27" s="144" customFormat="1" x14ac:dyDescent="0.2">
      <c r="B147" s="43" t="s">
        <v>110</v>
      </c>
      <c r="C147" s="134" t="s">
        <v>25</v>
      </c>
      <c r="D147" s="134" t="s">
        <v>158</v>
      </c>
      <c r="E147" s="135">
        <v>36465</v>
      </c>
      <c r="F147" s="135">
        <v>41394</v>
      </c>
      <c r="G147" s="43" t="s">
        <v>162</v>
      </c>
      <c r="H147" s="43" t="s">
        <v>164</v>
      </c>
      <c r="I147" s="134" t="s">
        <v>162</v>
      </c>
      <c r="J147" s="136">
        <v>4.0000000000000002E-4</v>
      </c>
      <c r="K147" s="137">
        <v>0</v>
      </c>
      <c r="L147" s="137">
        <v>2.2000000000000001E-3</v>
      </c>
      <c r="M147" s="137">
        <v>0</v>
      </c>
      <c r="N147" s="137">
        <v>0</v>
      </c>
      <c r="O147" s="138">
        <v>0</v>
      </c>
      <c r="P147" s="137">
        <f t="shared" si="15"/>
        <v>2.6000000000000003E-3</v>
      </c>
      <c r="Q147" s="139"/>
      <c r="R147" s="139">
        <v>892102</v>
      </c>
      <c r="S147" s="134">
        <v>12207</v>
      </c>
      <c r="T147" s="43" t="s">
        <v>163</v>
      </c>
      <c r="U147" s="141">
        <f t="shared" si="16"/>
        <v>141.60120000000001</v>
      </c>
      <c r="V147" s="141">
        <v>141.6</v>
      </c>
      <c r="W147" s="142">
        <v>143323</v>
      </c>
      <c r="X147" s="142">
        <v>143323</v>
      </c>
      <c r="Y147" s="43"/>
      <c r="Z147" s="143"/>
      <c r="AA147" s="143"/>
    </row>
    <row r="148" spans="2:27" s="46" customFormat="1" x14ac:dyDescent="0.2">
      <c r="B148" s="42" t="s">
        <v>258</v>
      </c>
      <c r="C148" s="64" t="s">
        <v>25</v>
      </c>
      <c r="D148" s="64" t="s">
        <v>224</v>
      </c>
      <c r="E148" s="65">
        <v>36557</v>
      </c>
      <c r="F148" s="65">
        <v>36585</v>
      </c>
      <c r="G148" s="42" t="s">
        <v>21</v>
      </c>
      <c r="H148" s="42" t="s">
        <v>24</v>
      </c>
      <c r="I148" s="64" t="s">
        <v>23</v>
      </c>
      <c r="J148" s="56">
        <v>0.63780000000000003</v>
      </c>
      <c r="K148" s="66">
        <v>0</v>
      </c>
      <c r="L148" s="66">
        <v>2.2000000000000001E-3</v>
      </c>
      <c r="M148" s="66">
        <v>0</v>
      </c>
      <c r="N148" s="66">
        <v>0</v>
      </c>
      <c r="O148" s="67">
        <v>0</v>
      </c>
      <c r="P148" s="66">
        <f>SUM(J148:N148)</f>
        <v>0.64</v>
      </c>
      <c r="Q148" s="68">
        <v>892585</v>
      </c>
      <c r="R148" s="68">
        <v>892348</v>
      </c>
      <c r="S148" s="64">
        <v>118</v>
      </c>
      <c r="T148" s="42" t="s">
        <v>366</v>
      </c>
      <c r="U148" s="69">
        <f>J148*J$1*S148</f>
        <v>2182.5516000000002</v>
      </c>
      <c r="V148" s="69">
        <v>2164.1999999999998</v>
      </c>
      <c r="W148" s="63">
        <v>157433</v>
      </c>
      <c r="X148" s="63">
        <v>145307</v>
      </c>
      <c r="Y148" s="42"/>
      <c r="Z148" s="70"/>
      <c r="AA148" s="70"/>
    </row>
    <row r="149" spans="2:27" s="46" customFormat="1" x14ac:dyDescent="0.2">
      <c r="B149" s="42" t="s">
        <v>258</v>
      </c>
      <c r="C149" s="64" t="s">
        <v>25</v>
      </c>
      <c r="D149" s="64" t="s">
        <v>296</v>
      </c>
      <c r="E149" s="65">
        <v>36557</v>
      </c>
      <c r="F149" s="65">
        <v>36585</v>
      </c>
      <c r="G149" s="42" t="s">
        <v>368</v>
      </c>
      <c r="H149" s="42" t="s">
        <v>368</v>
      </c>
      <c r="I149" s="64" t="s">
        <v>367</v>
      </c>
      <c r="J149" s="56">
        <f>1.2167*0.0328767</f>
        <v>4.0001080889999999E-2</v>
      </c>
      <c r="K149" s="66">
        <v>0</v>
      </c>
      <c r="L149" s="66">
        <v>2.2000000000000001E-3</v>
      </c>
      <c r="M149" s="66">
        <v>0</v>
      </c>
      <c r="N149" s="66">
        <v>0</v>
      </c>
      <c r="O149" s="67">
        <v>0</v>
      </c>
      <c r="P149" s="66">
        <f>SUM(J149:N149)</f>
        <v>4.2201080889999999E-2</v>
      </c>
      <c r="Q149" s="68">
        <v>892606</v>
      </c>
      <c r="R149" s="68"/>
      <c r="S149" s="64">
        <v>41</v>
      </c>
      <c r="T149" s="42" t="s">
        <v>369</v>
      </c>
      <c r="U149" s="69">
        <f>J149*J$1*S149</f>
        <v>47.561285178209999</v>
      </c>
      <c r="V149" s="69">
        <v>47.56</v>
      </c>
      <c r="W149" s="63">
        <v>160096</v>
      </c>
      <c r="X149" s="63"/>
      <c r="Y149" s="42"/>
      <c r="Z149" s="70"/>
      <c r="AA149" s="70"/>
    </row>
    <row r="150" spans="2:27" s="46" customFormat="1" x14ac:dyDescent="0.2">
      <c r="B150" s="42" t="s">
        <v>258</v>
      </c>
      <c r="C150" s="64" t="s">
        <v>25</v>
      </c>
      <c r="D150" s="64" t="s">
        <v>296</v>
      </c>
      <c r="E150" s="65">
        <v>36557</v>
      </c>
      <c r="F150" s="65">
        <v>36585</v>
      </c>
      <c r="G150" s="42" t="s">
        <v>380</v>
      </c>
      <c r="H150" s="42" t="s">
        <v>30</v>
      </c>
      <c r="I150" s="64" t="s">
        <v>22</v>
      </c>
      <c r="J150" s="56">
        <f>5.075*0.0328767</f>
        <v>0.16684925250000002</v>
      </c>
      <c r="K150" s="66">
        <v>0</v>
      </c>
      <c r="L150" s="66">
        <v>2.2000000000000001E-3</v>
      </c>
      <c r="M150" s="66">
        <v>0</v>
      </c>
      <c r="N150" s="66">
        <v>0</v>
      </c>
      <c r="O150" s="67">
        <v>0</v>
      </c>
      <c r="P150" s="66">
        <f>SUM(J150:N150)</f>
        <v>0.16904925250000002</v>
      </c>
      <c r="Q150" s="68">
        <v>892605</v>
      </c>
      <c r="R150" s="68"/>
      <c r="S150" s="64">
        <v>41</v>
      </c>
      <c r="T150" s="42" t="s">
        <v>381</v>
      </c>
      <c r="U150" s="69">
        <f t="shared" si="16"/>
        <v>198.38376122250003</v>
      </c>
      <c r="V150" s="69">
        <v>198.33</v>
      </c>
      <c r="W150" s="63">
        <v>160078</v>
      </c>
      <c r="X150" s="63"/>
      <c r="Y150" s="42"/>
      <c r="Z150" s="70"/>
      <c r="AA150" s="70"/>
    </row>
    <row r="151" spans="2:27" x14ac:dyDescent="0.2">
      <c r="B151" s="1"/>
      <c r="C151" s="3"/>
      <c r="D151" s="3"/>
      <c r="E151" s="4"/>
      <c r="F151" s="4"/>
      <c r="G151" s="1"/>
      <c r="H151" s="1"/>
      <c r="I151" s="3"/>
      <c r="J151" s="8"/>
      <c r="K151" s="5"/>
      <c r="L151" s="23"/>
      <c r="M151" s="5"/>
      <c r="N151" s="5"/>
      <c r="O151" s="47"/>
      <c r="P151" s="5"/>
      <c r="Q151" s="24"/>
      <c r="R151" s="24"/>
      <c r="S151" s="2">
        <f>SUM(S137:S150)</f>
        <v>13400</v>
      </c>
      <c r="T151" s="3" t="s">
        <v>382</v>
      </c>
      <c r="U151" s="9">
        <f>SUM(U137:U150)</f>
        <v>18771.953846400709</v>
      </c>
      <c r="V151" s="9">
        <f>SUM(V137:V150)</f>
        <v>19345</v>
      </c>
      <c r="W151" s="61"/>
      <c r="X151" s="61"/>
      <c r="Y151" s="1"/>
      <c r="Z151" s="36"/>
      <c r="AA151" s="36"/>
    </row>
    <row r="152" spans="2:27" x14ac:dyDescent="0.2">
      <c r="B152" s="16" t="s">
        <v>4</v>
      </c>
      <c r="C152" s="17" t="s">
        <v>5</v>
      </c>
      <c r="D152" s="17" t="s">
        <v>6</v>
      </c>
      <c r="E152" s="18" t="s">
        <v>7</v>
      </c>
      <c r="F152" s="18"/>
      <c r="G152" s="16" t="s">
        <v>8</v>
      </c>
      <c r="H152" s="16" t="s">
        <v>9</v>
      </c>
      <c r="I152" s="17" t="s">
        <v>56</v>
      </c>
      <c r="J152" s="19" t="s">
        <v>10</v>
      </c>
      <c r="K152" s="17" t="s">
        <v>11</v>
      </c>
      <c r="L152" s="17" t="s">
        <v>12</v>
      </c>
      <c r="M152" s="17" t="s">
        <v>13</v>
      </c>
      <c r="N152" s="17" t="s">
        <v>14</v>
      </c>
      <c r="O152" s="48" t="s">
        <v>15</v>
      </c>
      <c r="P152" s="17" t="s">
        <v>16</v>
      </c>
      <c r="Q152" s="20" t="s">
        <v>255</v>
      </c>
      <c r="R152" s="20" t="s">
        <v>254</v>
      </c>
      <c r="S152" s="17" t="s">
        <v>17</v>
      </c>
      <c r="T152" s="16" t="s">
        <v>18</v>
      </c>
      <c r="U152" s="21" t="s">
        <v>55</v>
      </c>
      <c r="V152" s="21" t="s">
        <v>54</v>
      </c>
      <c r="W152" s="59" t="s">
        <v>256</v>
      </c>
      <c r="X152" s="59" t="s">
        <v>257</v>
      </c>
      <c r="Y152" s="73">
        <f>+Y95</f>
        <v>0</v>
      </c>
      <c r="Z152" s="36"/>
      <c r="AA152" s="36"/>
    </row>
    <row r="153" spans="2:27" s="78" customFormat="1" x14ac:dyDescent="0.2">
      <c r="B153" s="1" t="s">
        <v>110</v>
      </c>
      <c r="C153" s="3" t="s">
        <v>165</v>
      </c>
      <c r="D153" s="3" t="s">
        <v>158</v>
      </c>
      <c r="E153" s="4">
        <v>35977</v>
      </c>
      <c r="F153" s="4">
        <v>38657</v>
      </c>
      <c r="G153" s="1" t="s">
        <v>172</v>
      </c>
      <c r="H153" s="1" t="s">
        <v>166</v>
      </c>
      <c r="I153" s="3" t="s">
        <v>167</v>
      </c>
      <c r="J153" s="8">
        <v>0</v>
      </c>
      <c r="K153" s="5">
        <v>0</v>
      </c>
      <c r="L153" s="5">
        <v>2.2000000000000001E-3</v>
      </c>
      <c r="M153" s="5">
        <v>0</v>
      </c>
      <c r="N153" s="5">
        <v>0</v>
      </c>
      <c r="O153" s="47">
        <v>0</v>
      </c>
      <c r="P153" s="5">
        <f t="shared" ref="P153:P159" si="17">SUM(J153:N153)</f>
        <v>2.2000000000000001E-3</v>
      </c>
      <c r="Q153" s="24" t="s">
        <v>295</v>
      </c>
      <c r="R153" s="24" t="s">
        <v>169</v>
      </c>
      <c r="S153" s="3">
        <v>16</v>
      </c>
      <c r="T153" s="1" t="s">
        <v>293</v>
      </c>
      <c r="U153" s="9">
        <f t="shared" ref="U153:U159" si="18">J153*J$1*S153</f>
        <v>0</v>
      </c>
      <c r="V153" s="9"/>
      <c r="W153" s="61"/>
      <c r="X153" s="61">
        <v>143324</v>
      </c>
      <c r="Y153" s="1"/>
      <c r="Z153" s="36"/>
      <c r="AA153" s="36"/>
    </row>
    <row r="154" spans="2:27" s="78" customFormat="1" x14ac:dyDescent="0.2">
      <c r="B154" s="1" t="s">
        <v>110</v>
      </c>
      <c r="C154" s="3" t="s">
        <v>165</v>
      </c>
      <c r="D154" s="3" t="s">
        <v>158</v>
      </c>
      <c r="E154" s="4">
        <v>35977</v>
      </c>
      <c r="F154" s="4">
        <v>38657</v>
      </c>
      <c r="G154" s="1" t="s">
        <v>173</v>
      </c>
      <c r="H154" s="1" t="s">
        <v>166</v>
      </c>
      <c r="I154" s="3" t="s">
        <v>167</v>
      </c>
      <c r="J154" s="8">
        <v>0</v>
      </c>
      <c r="K154" s="5">
        <v>0</v>
      </c>
      <c r="L154" s="5">
        <v>2.2000000000000001E-3</v>
      </c>
      <c r="M154" s="5">
        <v>0</v>
      </c>
      <c r="N154" s="5">
        <v>0</v>
      </c>
      <c r="O154" s="47">
        <v>0</v>
      </c>
      <c r="P154" s="5">
        <f t="shared" si="17"/>
        <v>2.2000000000000001E-3</v>
      </c>
      <c r="Q154" s="24" t="s">
        <v>295</v>
      </c>
      <c r="R154" s="24" t="s">
        <v>169</v>
      </c>
      <c r="S154" s="3">
        <v>17</v>
      </c>
      <c r="T154" s="1" t="s">
        <v>293</v>
      </c>
      <c r="U154" s="9">
        <f t="shared" si="18"/>
        <v>0</v>
      </c>
      <c r="V154" s="9"/>
      <c r="W154" s="61"/>
      <c r="X154" s="61">
        <v>143324</v>
      </c>
      <c r="Y154" s="1"/>
      <c r="Z154" s="36"/>
      <c r="AA154" s="36"/>
    </row>
    <row r="155" spans="2:27" s="78" customFormat="1" x14ac:dyDescent="0.2">
      <c r="B155" s="1" t="s">
        <v>110</v>
      </c>
      <c r="C155" s="3" t="s">
        <v>165</v>
      </c>
      <c r="D155" s="3" t="s">
        <v>158</v>
      </c>
      <c r="E155" s="4">
        <v>36161</v>
      </c>
      <c r="F155" s="4">
        <v>38657</v>
      </c>
      <c r="G155" s="1" t="s">
        <v>172</v>
      </c>
      <c r="H155" s="1" t="s">
        <v>166</v>
      </c>
      <c r="I155" s="3" t="s">
        <v>168</v>
      </c>
      <c r="J155" s="8">
        <v>0</v>
      </c>
      <c r="K155" s="5">
        <v>0</v>
      </c>
      <c r="L155" s="5">
        <v>2.2000000000000001E-3</v>
      </c>
      <c r="M155" s="5">
        <v>0</v>
      </c>
      <c r="N155" s="5">
        <v>0</v>
      </c>
      <c r="O155" s="47">
        <v>0</v>
      </c>
      <c r="P155" s="5">
        <f t="shared" si="17"/>
        <v>2.2000000000000001E-3</v>
      </c>
      <c r="Q155" s="24" t="s">
        <v>295</v>
      </c>
      <c r="R155" s="24" t="s">
        <v>170</v>
      </c>
      <c r="S155" s="3">
        <v>19</v>
      </c>
      <c r="T155" s="1" t="s">
        <v>293</v>
      </c>
      <c r="U155" s="9">
        <f t="shared" si="18"/>
        <v>0</v>
      </c>
      <c r="V155" s="9"/>
      <c r="W155" s="61"/>
      <c r="X155" s="61">
        <v>143326</v>
      </c>
      <c r="Y155" s="1"/>
      <c r="Z155" s="36"/>
      <c r="AA155" s="36"/>
    </row>
    <row r="156" spans="2:27" s="78" customFormat="1" x14ac:dyDescent="0.2">
      <c r="B156" s="1" t="s">
        <v>110</v>
      </c>
      <c r="C156" s="3" t="s">
        <v>165</v>
      </c>
      <c r="D156" s="3" t="s">
        <v>158</v>
      </c>
      <c r="E156" s="4">
        <v>36161</v>
      </c>
      <c r="F156" s="4">
        <v>38657</v>
      </c>
      <c r="G156" s="1" t="s">
        <v>173</v>
      </c>
      <c r="H156" s="1" t="s">
        <v>166</v>
      </c>
      <c r="I156" s="3" t="s">
        <v>168</v>
      </c>
      <c r="J156" s="8">
        <v>0</v>
      </c>
      <c r="K156" s="5">
        <v>0</v>
      </c>
      <c r="L156" s="5">
        <v>2.2000000000000001E-3</v>
      </c>
      <c r="M156" s="5">
        <v>0</v>
      </c>
      <c r="N156" s="5">
        <v>0</v>
      </c>
      <c r="O156" s="47">
        <v>0</v>
      </c>
      <c r="P156" s="5">
        <f t="shared" si="17"/>
        <v>2.2000000000000001E-3</v>
      </c>
      <c r="Q156" s="24" t="s">
        <v>295</v>
      </c>
      <c r="R156" s="24" t="s">
        <v>170</v>
      </c>
      <c r="S156" s="3">
        <v>17</v>
      </c>
      <c r="T156" s="1" t="s">
        <v>293</v>
      </c>
      <c r="U156" s="9">
        <f t="shared" si="18"/>
        <v>0</v>
      </c>
      <c r="V156" s="9"/>
      <c r="W156" s="61"/>
      <c r="X156" s="61">
        <v>143326</v>
      </c>
      <c r="Y156" s="1"/>
      <c r="Z156" s="36"/>
      <c r="AA156" s="36"/>
    </row>
    <row r="157" spans="2:27" s="46" customFormat="1" x14ac:dyDescent="0.2">
      <c r="B157" s="42" t="s">
        <v>258</v>
      </c>
      <c r="C157" s="64" t="s">
        <v>165</v>
      </c>
      <c r="D157" s="64" t="s">
        <v>158</v>
      </c>
      <c r="E157" s="65">
        <v>36220</v>
      </c>
      <c r="F157" s="65">
        <v>38656</v>
      </c>
      <c r="G157" s="42" t="s">
        <v>172</v>
      </c>
      <c r="H157" s="42" t="s">
        <v>166</v>
      </c>
      <c r="I157" s="64" t="s">
        <v>168</v>
      </c>
      <c r="J157" s="98">
        <v>0.30990000000000001</v>
      </c>
      <c r="K157" s="66">
        <v>0</v>
      </c>
      <c r="L157" s="66">
        <v>2.2000000000000001E-3</v>
      </c>
      <c r="M157" s="66">
        <v>0</v>
      </c>
      <c r="N157" s="66">
        <v>0</v>
      </c>
      <c r="O157" s="67">
        <v>0</v>
      </c>
      <c r="P157" s="66">
        <f t="shared" si="17"/>
        <v>0.31209999999999999</v>
      </c>
      <c r="Q157" s="68" t="s">
        <v>302</v>
      </c>
      <c r="R157" s="68" t="s">
        <v>171</v>
      </c>
      <c r="S157" s="64">
        <v>25</v>
      </c>
      <c r="T157" s="42" t="s">
        <v>294</v>
      </c>
      <c r="U157" s="69">
        <f t="shared" si="18"/>
        <v>224.67750000000001</v>
      </c>
      <c r="V157" s="69"/>
      <c r="W157" s="63">
        <v>157260</v>
      </c>
      <c r="X157" s="63">
        <v>143327</v>
      </c>
      <c r="Y157" s="42"/>
      <c r="Z157" s="70"/>
      <c r="AA157" s="70"/>
    </row>
    <row r="158" spans="2:27" s="46" customFormat="1" x14ac:dyDescent="0.2">
      <c r="B158" s="42" t="s">
        <v>258</v>
      </c>
      <c r="C158" s="64" t="s">
        <v>165</v>
      </c>
      <c r="D158" s="64" t="s">
        <v>158</v>
      </c>
      <c r="E158" s="65">
        <v>36220</v>
      </c>
      <c r="F158" s="65">
        <v>38656</v>
      </c>
      <c r="G158" s="42" t="s">
        <v>173</v>
      </c>
      <c r="H158" s="42" t="s">
        <v>166</v>
      </c>
      <c r="I158" s="64" t="s">
        <v>168</v>
      </c>
      <c r="J158" s="98">
        <v>0.30990000000000001</v>
      </c>
      <c r="K158" s="66">
        <v>0</v>
      </c>
      <c r="L158" s="66">
        <v>2.2000000000000001E-3</v>
      </c>
      <c r="M158" s="66">
        <v>0</v>
      </c>
      <c r="N158" s="66">
        <v>0</v>
      </c>
      <c r="O158" s="67">
        <v>0</v>
      </c>
      <c r="P158" s="66">
        <f t="shared" si="17"/>
        <v>0.31209999999999999</v>
      </c>
      <c r="Q158" s="68" t="s">
        <v>302</v>
      </c>
      <c r="R158" s="68" t="s">
        <v>171</v>
      </c>
      <c r="S158" s="64">
        <v>21</v>
      </c>
      <c r="T158" s="42" t="s">
        <v>294</v>
      </c>
      <c r="U158" s="69">
        <f t="shared" si="18"/>
        <v>188.72909999999999</v>
      </c>
      <c r="V158" s="69"/>
      <c r="W158" s="63">
        <v>157260</v>
      </c>
      <c r="X158" s="63">
        <v>143327</v>
      </c>
      <c r="Y158" s="42"/>
      <c r="Z158" s="70"/>
      <c r="AA158" s="70"/>
    </row>
    <row r="159" spans="2:27" s="46" customFormat="1" x14ac:dyDescent="0.2">
      <c r="B159" s="42" t="s">
        <v>258</v>
      </c>
      <c r="C159" s="64" t="s">
        <v>165</v>
      </c>
      <c r="D159" s="64" t="s">
        <v>296</v>
      </c>
      <c r="E159" s="65" t="s">
        <v>315</v>
      </c>
      <c r="F159" s="65">
        <v>36585</v>
      </c>
      <c r="G159" s="42" t="s">
        <v>173</v>
      </c>
      <c r="H159" s="42" t="s">
        <v>166</v>
      </c>
      <c r="I159" s="64" t="s">
        <v>168</v>
      </c>
      <c r="J159" s="98">
        <v>0.30990000000000001</v>
      </c>
      <c r="K159" s="98">
        <v>2.7900000000000001E-2</v>
      </c>
      <c r="L159" s="98">
        <v>2.2000000000000001E-3</v>
      </c>
      <c r="M159" s="98">
        <v>7.1999999999999998E-3</v>
      </c>
      <c r="N159" s="98">
        <v>0</v>
      </c>
      <c r="O159" s="67">
        <v>0</v>
      </c>
      <c r="P159" s="66">
        <f t="shared" si="17"/>
        <v>0.34719999999999995</v>
      </c>
      <c r="Q159" s="68" t="s">
        <v>317</v>
      </c>
      <c r="R159" s="68" t="s">
        <v>228</v>
      </c>
      <c r="S159" s="99">
        <v>1405</v>
      </c>
      <c r="T159" s="100" t="s">
        <v>316</v>
      </c>
      <c r="U159" s="69">
        <f t="shared" si="18"/>
        <v>12626.8755</v>
      </c>
      <c r="V159" s="101"/>
      <c r="W159" s="102">
        <v>158156</v>
      </c>
      <c r="X159" s="63">
        <v>145266</v>
      </c>
      <c r="Y159" s="42"/>
      <c r="Z159" s="70"/>
      <c r="AA159" s="70"/>
    </row>
    <row r="160" spans="2:27" x14ac:dyDescent="0.2">
      <c r="B160" s="1"/>
      <c r="C160" s="3"/>
      <c r="D160" s="3"/>
      <c r="E160" s="4" t="s">
        <v>3</v>
      </c>
      <c r="F160" s="4"/>
      <c r="G160" s="1"/>
      <c r="H160" s="1"/>
      <c r="I160" s="3"/>
      <c r="J160" s="8"/>
      <c r="K160" s="5"/>
      <c r="L160" s="23"/>
      <c r="M160" s="5"/>
      <c r="N160" s="5"/>
      <c r="O160" s="47"/>
      <c r="P160" s="5"/>
      <c r="Q160" s="53"/>
      <c r="R160" s="53"/>
      <c r="S160" s="54">
        <f>SUM(S153:S159)</f>
        <v>1520</v>
      </c>
      <c r="T160" s="40"/>
      <c r="U160" s="39">
        <f>SUM(U153:U159)</f>
        <v>13040.2821</v>
      </c>
      <c r="V160" s="39"/>
      <c r="W160" s="62"/>
      <c r="X160" s="62"/>
      <c r="Y160" s="74"/>
      <c r="Z160" s="35"/>
      <c r="AA160" s="35"/>
    </row>
    <row r="161" spans="2:27" x14ac:dyDescent="0.2">
      <c r="B161" s="16" t="s">
        <v>4</v>
      </c>
      <c r="C161" s="17" t="s">
        <v>5</v>
      </c>
      <c r="D161" s="17" t="s">
        <v>6</v>
      </c>
      <c r="E161" s="18" t="s">
        <v>7</v>
      </c>
      <c r="F161" s="18"/>
      <c r="G161" s="16" t="s">
        <v>8</v>
      </c>
      <c r="H161" s="16" t="s">
        <v>9</v>
      </c>
      <c r="I161" s="17" t="s">
        <v>56</v>
      </c>
      <c r="J161" s="19" t="s">
        <v>10</v>
      </c>
      <c r="K161" s="17" t="s">
        <v>11</v>
      </c>
      <c r="L161" s="17" t="s">
        <v>12</v>
      </c>
      <c r="M161" s="17" t="s">
        <v>13</v>
      </c>
      <c r="N161" s="17" t="s">
        <v>14</v>
      </c>
      <c r="O161" s="48" t="s">
        <v>15</v>
      </c>
      <c r="P161" s="17" t="s">
        <v>16</v>
      </c>
      <c r="Q161" s="20" t="s">
        <v>255</v>
      </c>
      <c r="R161" s="20" t="s">
        <v>254</v>
      </c>
      <c r="S161" s="17" t="s">
        <v>17</v>
      </c>
      <c r="T161" s="16" t="s">
        <v>18</v>
      </c>
      <c r="U161" s="21" t="s">
        <v>55</v>
      </c>
      <c r="V161" s="21" t="s">
        <v>54</v>
      </c>
      <c r="W161" s="59" t="s">
        <v>256</v>
      </c>
      <c r="X161" s="59" t="s">
        <v>257</v>
      </c>
      <c r="Y161" s="73" t="e">
        <f>+#REF!</f>
        <v>#REF!</v>
      </c>
      <c r="Z161" s="36"/>
      <c r="AA161" s="36"/>
    </row>
    <row r="162" spans="2:27" s="46" customFormat="1" x14ac:dyDescent="0.2">
      <c r="B162" s="42" t="s">
        <v>110</v>
      </c>
      <c r="C162" s="64" t="s">
        <v>1</v>
      </c>
      <c r="D162" s="64" t="s">
        <v>174</v>
      </c>
      <c r="E162" s="65">
        <v>36557</v>
      </c>
      <c r="F162" s="65">
        <v>36585</v>
      </c>
      <c r="G162" s="42" t="s">
        <v>33</v>
      </c>
      <c r="H162" s="42" t="s">
        <v>174</v>
      </c>
      <c r="I162" s="64" t="s">
        <v>175</v>
      </c>
      <c r="J162" s="56">
        <v>0</v>
      </c>
      <c r="K162" s="66">
        <v>0</v>
      </c>
      <c r="L162" s="66">
        <v>2.2000000000000001E-3</v>
      </c>
      <c r="M162" s="66">
        <v>0</v>
      </c>
      <c r="N162" s="66">
        <v>0</v>
      </c>
      <c r="O162" s="67">
        <v>0</v>
      </c>
      <c r="P162" s="66">
        <f>SUM(J162:N162)</f>
        <v>2.2000000000000001E-3</v>
      </c>
      <c r="Q162" s="68" t="s">
        <v>283</v>
      </c>
      <c r="R162" s="76" t="s">
        <v>176</v>
      </c>
      <c r="S162" s="64">
        <v>62</v>
      </c>
      <c r="T162" s="42"/>
      <c r="U162" s="69">
        <f t="shared" ref="U162:U186" si="19">J162*J$1*S162</f>
        <v>0</v>
      </c>
      <c r="V162" s="69"/>
      <c r="W162" s="63" t="s">
        <v>312</v>
      </c>
      <c r="X162" s="77" t="s">
        <v>209</v>
      </c>
      <c r="Y162" s="42"/>
      <c r="Z162" s="70"/>
      <c r="AA162" s="70"/>
    </row>
    <row r="163" spans="2:27" s="46" customFormat="1" x14ac:dyDescent="0.2">
      <c r="B163" s="42" t="s">
        <v>110</v>
      </c>
      <c r="C163" s="64" t="s">
        <v>1</v>
      </c>
      <c r="D163" s="64" t="s">
        <v>174</v>
      </c>
      <c r="E163" s="65">
        <v>36557</v>
      </c>
      <c r="F163" s="65" t="s">
        <v>273</v>
      </c>
      <c r="G163" s="42" t="s">
        <v>177</v>
      </c>
      <c r="H163" s="42" t="s">
        <v>174</v>
      </c>
      <c r="I163" s="64" t="s">
        <v>175</v>
      </c>
      <c r="J163" s="56">
        <v>0</v>
      </c>
      <c r="K163" s="66">
        <v>0</v>
      </c>
      <c r="L163" s="66">
        <v>2.2000000000000001E-3</v>
      </c>
      <c r="M163" s="66">
        <v>0</v>
      </c>
      <c r="N163" s="66">
        <v>0</v>
      </c>
      <c r="O163" s="67">
        <v>0</v>
      </c>
      <c r="P163" s="66">
        <f t="shared" ref="P163:P168" si="20">SUM(J163:N163)</f>
        <v>2.2000000000000001E-3</v>
      </c>
      <c r="Q163" s="68" t="s">
        <v>283</v>
      </c>
      <c r="R163" s="76" t="s">
        <v>176</v>
      </c>
      <c r="S163" s="64">
        <v>92</v>
      </c>
      <c r="T163" s="42"/>
      <c r="U163" s="69">
        <f t="shared" si="19"/>
        <v>0</v>
      </c>
      <c r="V163" s="69"/>
      <c r="W163" s="63" t="s">
        <v>312</v>
      </c>
      <c r="X163" s="77" t="s">
        <v>209</v>
      </c>
      <c r="Y163" s="42"/>
      <c r="Z163" s="70"/>
      <c r="AA163" s="70"/>
    </row>
    <row r="164" spans="2:27" s="46" customFormat="1" x14ac:dyDescent="0.2">
      <c r="B164" s="42" t="s">
        <v>110</v>
      </c>
      <c r="C164" s="64" t="s">
        <v>1</v>
      </c>
      <c r="D164" s="64" t="s">
        <v>174</v>
      </c>
      <c r="E164" s="65">
        <v>36557</v>
      </c>
      <c r="F164" s="65">
        <v>36585</v>
      </c>
      <c r="G164" s="42" t="s">
        <v>178</v>
      </c>
      <c r="H164" s="42" t="s">
        <v>174</v>
      </c>
      <c r="I164" s="64" t="s">
        <v>175</v>
      </c>
      <c r="J164" s="56">
        <v>0</v>
      </c>
      <c r="K164" s="66">
        <v>0</v>
      </c>
      <c r="L164" s="66">
        <v>2.2000000000000001E-3</v>
      </c>
      <c r="M164" s="66">
        <v>0</v>
      </c>
      <c r="N164" s="66">
        <v>0</v>
      </c>
      <c r="O164" s="67">
        <v>0</v>
      </c>
      <c r="P164" s="66">
        <f t="shared" si="20"/>
        <v>2.2000000000000001E-3</v>
      </c>
      <c r="Q164" s="68" t="s">
        <v>283</v>
      </c>
      <c r="R164" s="76" t="s">
        <v>176</v>
      </c>
      <c r="S164" s="64">
        <f>69+142</f>
        <v>211</v>
      </c>
      <c r="T164" s="42"/>
      <c r="U164" s="69">
        <f t="shared" si="19"/>
        <v>0</v>
      </c>
      <c r="V164" s="69"/>
      <c r="W164" s="63" t="s">
        <v>312</v>
      </c>
      <c r="X164" s="77" t="s">
        <v>209</v>
      </c>
      <c r="Y164" s="42"/>
      <c r="Z164" s="70"/>
      <c r="AA164" s="70"/>
    </row>
    <row r="165" spans="2:27" s="78" customFormat="1" x14ac:dyDescent="0.2">
      <c r="B165" s="42" t="s">
        <v>258</v>
      </c>
      <c r="C165" s="64" t="s">
        <v>1</v>
      </c>
      <c r="D165" s="64" t="s">
        <v>149</v>
      </c>
      <c r="E165" s="65">
        <v>36557</v>
      </c>
      <c r="F165" s="65">
        <v>36585</v>
      </c>
      <c r="G165" s="42" t="s">
        <v>33</v>
      </c>
      <c r="H165" s="71" t="s">
        <v>179</v>
      </c>
      <c r="I165" s="64" t="s">
        <v>175</v>
      </c>
      <c r="J165" s="56">
        <f t="shared" ref="J165:J170" si="21">7.5958/J$1</f>
        <v>0.26192413793103447</v>
      </c>
      <c r="K165" s="66">
        <v>0</v>
      </c>
      <c r="L165" s="66">
        <v>2.2000000000000001E-3</v>
      </c>
      <c r="M165" s="66">
        <v>0</v>
      </c>
      <c r="N165" s="66">
        <v>0</v>
      </c>
      <c r="O165" s="67">
        <v>0</v>
      </c>
      <c r="P165" s="66">
        <f>SUM(J165:N165)</f>
        <v>0.26412413793103445</v>
      </c>
      <c r="Q165" s="68" t="s">
        <v>259</v>
      </c>
      <c r="R165" s="76" t="s">
        <v>184</v>
      </c>
      <c r="S165" s="64">
        <v>70</v>
      </c>
      <c r="T165" s="42" t="s">
        <v>260</v>
      </c>
      <c r="U165" s="89">
        <f t="shared" si="19"/>
        <v>531.70600000000002</v>
      </c>
      <c r="V165" s="69">
        <v>531.71</v>
      </c>
      <c r="W165" s="63" t="s">
        <v>313</v>
      </c>
      <c r="X165" s="77" t="s">
        <v>210</v>
      </c>
      <c r="Y165" s="1"/>
      <c r="Z165" s="36"/>
      <c r="AA165" s="36"/>
    </row>
    <row r="166" spans="2:27" s="78" customFormat="1" x14ac:dyDescent="0.2">
      <c r="B166" s="42" t="s">
        <v>258</v>
      </c>
      <c r="C166" s="64" t="s">
        <v>1</v>
      </c>
      <c r="D166" s="64" t="s">
        <v>149</v>
      </c>
      <c r="E166" s="65">
        <v>36557</v>
      </c>
      <c r="F166" s="65">
        <v>36585</v>
      </c>
      <c r="G166" s="42" t="s">
        <v>177</v>
      </c>
      <c r="H166" s="71" t="s">
        <v>179</v>
      </c>
      <c r="I166" s="64" t="s">
        <v>175</v>
      </c>
      <c r="J166" s="56">
        <f t="shared" si="21"/>
        <v>0.26192413793103447</v>
      </c>
      <c r="K166" s="66">
        <v>0</v>
      </c>
      <c r="L166" s="66">
        <v>2.2000000000000001E-3</v>
      </c>
      <c r="M166" s="66">
        <v>0</v>
      </c>
      <c r="N166" s="66">
        <v>0</v>
      </c>
      <c r="O166" s="67">
        <v>0</v>
      </c>
      <c r="P166" s="66">
        <f>SUM(J166:N166)</f>
        <v>0.26412413793103445</v>
      </c>
      <c r="Q166" s="68" t="s">
        <v>259</v>
      </c>
      <c r="R166" s="76" t="s">
        <v>184</v>
      </c>
      <c r="S166" s="64">
        <v>104</v>
      </c>
      <c r="T166" s="42" t="s">
        <v>260</v>
      </c>
      <c r="U166" s="89">
        <f t="shared" si="19"/>
        <v>789.96319999999992</v>
      </c>
      <c r="V166" s="69">
        <v>789.96</v>
      </c>
      <c r="W166" s="63" t="s">
        <v>313</v>
      </c>
      <c r="X166" s="77" t="s">
        <v>210</v>
      </c>
      <c r="Y166" s="1"/>
      <c r="Z166" s="36"/>
      <c r="AA166" s="36"/>
    </row>
    <row r="167" spans="2:27" s="78" customFormat="1" x14ac:dyDescent="0.2">
      <c r="B167" s="42" t="s">
        <v>258</v>
      </c>
      <c r="C167" s="64" t="s">
        <v>1</v>
      </c>
      <c r="D167" s="64" t="s">
        <v>149</v>
      </c>
      <c r="E167" s="65">
        <v>36557</v>
      </c>
      <c r="F167" s="65">
        <v>36585</v>
      </c>
      <c r="G167" s="42" t="s">
        <v>178</v>
      </c>
      <c r="H167" s="71" t="s">
        <v>179</v>
      </c>
      <c r="I167" s="64" t="s">
        <v>175</v>
      </c>
      <c r="J167" s="56">
        <f t="shared" si="21"/>
        <v>0.26192413793103447</v>
      </c>
      <c r="K167" s="66">
        <v>0</v>
      </c>
      <c r="L167" s="66">
        <v>2.2000000000000001E-3</v>
      </c>
      <c r="M167" s="66">
        <v>0</v>
      </c>
      <c r="N167" s="66">
        <v>0</v>
      </c>
      <c r="O167" s="67">
        <v>0</v>
      </c>
      <c r="P167" s="66">
        <f>SUM(J167:N167)</f>
        <v>0.26412413793103445</v>
      </c>
      <c r="Q167" s="68" t="s">
        <v>259</v>
      </c>
      <c r="R167" s="76" t="s">
        <v>184</v>
      </c>
      <c r="S167" s="64">
        <f>79+161</f>
        <v>240</v>
      </c>
      <c r="T167" s="42" t="s">
        <v>260</v>
      </c>
      <c r="U167" s="89">
        <f t="shared" si="19"/>
        <v>1822.992</v>
      </c>
      <c r="V167" s="69">
        <f>600.07+1222.92</f>
        <v>1822.9900000000002</v>
      </c>
      <c r="W167" s="63" t="s">
        <v>313</v>
      </c>
      <c r="X167" s="77" t="s">
        <v>210</v>
      </c>
      <c r="Y167" s="1"/>
      <c r="Z167" s="36"/>
      <c r="AA167" s="36"/>
    </row>
    <row r="168" spans="2:27" s="78" customFormat="1" x14ac:dyDescent="0.2">
      <c r="B168" s="42" t="s">
        <v>258</v>
      </c>
      <c r="C168" s="64" t="s">
        <v>1</v>
      </c>
      <c r="D168" s="64" t="s">
        <v>149</v>
      </c>
      <c r="E168" s="65">
        <v>36557</v>
      </c>
      <c r="F168" s="65">
        <v>36585</v>
      </c>
      <c r="G168" s="42" t="s">
        <v>33</v>
      </c>
      <c r="H168" s="71" t="s">
        <v>179</v>
      </c>
      <c r="I168" s="64" t="s">
        <v>175</v>
      </c>
      <c r="J168" s="56">
        <f t="shared" si="21"/>
        <v>0.26192413793103447</v>
      </c>
      <c r="K168" s="66">
        <v>0</v>
      </c>
      <c r="L168" s="66">
        <v>2.2000000000000001E-3</v>
      </c>
      <c r="M168" s="66">
        <v>0</v>
      </c>
      <c r="N168" s="66">
        <v>0</v>
      </c>
      <c r="O168" s="67">
        <v>0</v>
      </c>
      <c r="P168" s="66">
        <f t="shared" si="20"/>
        <v>0.26412413793103445</v>
      </c>
      <c r="Q168" s="68" t="s">
        <v>261</v>
      </c>
      <c r="R168" s="76" t="s">
        <v>191</v>
      </c>
      <c r="S168" s="64">
        <v>1187</v>
      </c>
      <c r="T168" s="42" t="s">
        <v>262</v>
      </c>
      <c r="U168" s="89">
        <f t="shared" si="19"/>
        <v>9016.2145999999993</v>
      </c>
      <c r="V168" s="69">
        <v>9016.2099999999991</v>
      </c>
      <c r="W168" s="63" t="s">
        <v>314</v>
      </c>
      <c r="X168" s="77" t="s">
        <v>211</v>
      </c>
      <c r="Y168" s="1"/>
      <c r="Z168" s="36"/>
      <c r="AA168" s="36"/>
    </row>
    <row r="169" spans="2:27" s="78" customFormat="1" x14ac:dyDescent="0.2">
      <c r="B169" s="42" t="s">
        <v>258</v>
      </c>
      <c r="C169" s="64" t="s">
        <v>1</v>
      </c>
      <c r="D169" s="64" t="s">
        <v>149</v>
      </c>
      <c r="E169" s="65">
        <v>36557</v>
      </c>
      <c r="F169" s="65">
        <v>36585</v>
      </c>
      <c r="G169" s="42" t="s">
        <v>177</v>
      </c>
      <c r="H169" s="71" t="s">
        <v>179</v>
      </c>
      <c r="I169" s="64" t="s">
        <v>175</v>
      </c>
      <c r="J169" s="56">
        <f t="shared" si="21"/>
        <v>0.26192413793103447</v>
      </c>
      <c r="K169" s="66">
        <v>0</v>
      </c>
      <c r="L169" s="66">
        <v>2.2000000000000001E-3</v>
      </c>
      <c r="M169" s="66">
        <v>0</v>
      </c>
      <c r="N169" s="66">
        <v>0</v>
      </c>
      <c r="O169" s="67">
        <v>0</v>
      </c>
      <c r="P169" s="66">
        <f>SUM(J169:N169)</f>
        <v>0.26412413793103445</v>
      </c>
      <c r="Q169" s="68" t="s">
        <v>261</v>
      </c>
      <c r="R169" s="76" t="s">
        <v>191</v>
      </c>
      <c r="S169" s="64">
        <v>1745</v>
      </c>
      <c r="T169" s="42" t="s">
        <v>262</v>
      </c>
      <c r="U169" s="89">
        <f t="shared" si="19"/>
        <v>13254.671</v>
      </c>
      <c r="V169" s="69">
        <v>13254.67</v>
      </c>
      <c r="W169" s="63" t="s">
        <v>314</v>
      </c>
      <c r="X169" s="77" t="s">
        <v>211</v>
      </c>
      <c r="Y169" s="1"/>
      <c r="Z169" s="36"/>
      <c r="AA169" s="36"/>
    </row>
    <row r="170" spans="2:27" s="78" customFormat="1" x14ac:dyDescent="0.2">
      <c r="B170" s="42" t="s">
        <v>258</v>
      </c>
      <c r="C170" s="64" t="s">
        <v>1</v>
      </c>
      <c r="D170" s="64" t="s">
        <v>149</v>
      </c>
      <c r="E170" s="65">
        <v>36557</v>
      </c>
      <c r="F170" s="65">
        <v>36585</v>
      </c>
      <c r="G170" s="42" t="s">
        <v>178</v>
      </c>
      <c r="H170" s="71" t="s">
        <v>179</v>
      </c>
      <c r="I170" s="64" t="s">
        <v>175</v>
      </c>
      <c r="J170" s="56">
        <f t="shared" si="21"/>
        <v>0.26192413793103447</v>
      </c>
      <c r="K170" s="66">
        <v>0</v>
      </c>
      <c r="L170" s="66">
        <v>2.2000000000000001E-3</v>
      </c>
      <c r="M170" s="66">
        <v>0</v>
      </c>
      <c r="N170" s="66">
        <v>0</v>
      </c>
      <c r="O170" s="67">
        <v>0</v>
      </c>
      <c r="P170" s="66">
        <f>SUM(J170:N170)</f>
        <v>0.26412413793103445</v>
      </c>
      <c r="Q170" s="68" t="s">
        <v>261</v>
      </c>
      <c r="R170" s="76" t="s">
        <v>191</v>
      </c>
      <c r="S170" s="64">
        <f>1326+2722</f>
        <v>4048</v>
      </c>
      <c r="T170" s="42" t="s">
        <v>262</v>
      </c>
      <c r="U170" s="89">
        <f t="shared" si="19"/>
        <v>30747.7984</v>
      </c>
      <c r="V170" s="69">
        <f>10072.03+20675.77</f>
        <v>30747.800000000003</v>
      </c>
      <c r="W170" s="63" t="s">
        <v>314</v>
      </c>
      <c r="X170" s="77" t="s">
        <v>211</v>
      </c>
      <c r="Y170" s="1"/>
      <c r="Z170" s="36"/>
      <c r="AA170" s="36"/>
    </row>
    <row r="171" spans="2:27" s="78" customFormat="1" x14ac:dyDescent="0.2">
      <c r="B171" s="42" t="s">
        <v>258</v>
      </c>
      <c r="C171" s="64" t="s">
        <v>1</v>
      </c>
      <c r="D171" s="64" t="s">
        <v>149</v>
      </c>
      <c r="E171" s="65">
        <v>36557</v>
      </c>
      <c r="F171" s="65">
        <v>36585</v>
      </c>
      <c r="G171" s="42" t="s">
        <v>180</v>
      </c>
      <c r="H171" s="71" t="s">
        <v>179</v>
      </c>
      <c r="I171" s="64" t="s">
        <v>181</v>
      </c>
      <c r="J171" s="56">
        <f>14.174/J$1</f>
        <v>0.48875862068965514</v>
      </c>
      <c r="K171" s="66">
        <v>0</v>
      </c>
      <c r="L171" s="66">
        <v>2.2000000000000001E-3</v>
      </c>
      <c r="M171" s="66">
        <v>0</v>
      </c>
      <c r="N171" s="66">
        <v>0</v>
      </c>
      <c r="O171" s="67">
        <v>0</v>
      </c>
      <c r="P171" s="66">
        <f>SUM(J171:N171)</f>
        <v>0.49095862068965512</v>
      </c>
      <c r="Q171" s="68" t="s">
        <v>263</v>
      </c>
      <c r="R171" s="76" t="s">
        <v>183</v>
      </c>
      <c r="S171" s="64">
        <v>5487</v>
      </c>
      <c r="T171" s="42" t="s">
        <v>264</v>
      </c>
      <c r="U171" s="89">
        <f t="shared" si="19"/>
        <v>77772.737999999998</v>
      </c>
      <c r="V171" s="69">
        <v>77772.740000000005</v>
      </c>
      <c r="W171" s="63">
        <v>158618</v>
      </c>
      <c r="X171" s="77" t="s">
        <v>212</v>
      </c>
      <c r="Y171" s="1"/>
      <c r="Z171" s="36"/>
      <c r="AA171" s="36"/>
    </row>
    <row r="172" spans="2:27" s="78" customFormat="1" x14ac:dyDescent="0.2">
      <c r="B172" s="42" t="s">
        <v>258</v>
      </c>
      <c r="C172" s="64" t="s">
        <v>1</v>
      </c>
      <c r="D172" s="64" t="s">
        <v>149</v>
      </c>
      <c r="E172" s="65">
        <v>36557</v>
      </c>
      <c r="F172" s="65">
        <v>36585</v>
      </c>
      <c r="G172" s="42" t="s">
        <v>265</v>
      </c>
      <c r="H172" s="42" t="s">
        <v>179</v>
      </c>
      <c r="I172" s="64" t="s">
        <v>182</v>
      </c>
      <c r="J172" s="56">
        <f>15.0624/30.417</f>
        <v>0.49519676496695925</v>
      </c>
      <c r="K172" s="66"/>
      <c r="L172" s="66"/>
      <c r="M172" s="66"/>
      <c r="N172" s="66"/>
      <c r="O172" s="67"/>
      <c r="P172" s="66"/>
      <c r="Q172" s="68" t="s">
        <v>266</v>
      </c>
      <c r="R172" s="76"/>
      <c r="S172" s="64">
        <v>1002</v>
      </c>
      <c r="T172" s="42" t="s">
        <v>267</v>
      </c>
      <c r="U172" s="89">
        <f t="shared" si="19"/>
        <v>14389.427596409902</v>
      </c>
      <c r="V172" s="69">
        <v>15092.52</v>
      </c>
      <c r="W172" s="63">
        <v>158619</v>
      </c>
      <c r="X172" s="77"/>
      <c r="Y172" s="1"/>
      <c r="Z172" s="36"/>
      <c r="AA172" s="36"/>
    </row>
    <row r="173" spans="2:27" s="46" customFormat="1" x14ac:dyDescent="0.2">
      <c r="B173" s="42" t="s">
        <v>258</v>
      </c>
      <c r="C173" s="64" t="s">
        <v>1</v>
      </c>
      <c r="D173" s="64" t="s">
        <v>149</v>
      </c>
      <c r="E173" s="65">
        <v>36557</v>
      </c>
      <c r="F173" s="65">
        <v>36585</v>
      </c>
      <c r="G173" s="42" t="s">
        <v>297</v>
      </c>
      <c r="H173" s="42" t="s">
        <v>179</v>
      </c>
      <c r="I173" s="64" t="s">
        <v>188</v>
      </c>
      <c r="J173" s="56">
        <v>0.24503</v>
      </c>
      <c r="K173" s="66"/>
      <c r="L173" s="66"/>
      <c r="M173" s="66"/>
      <c r="N173" s="66"/>
      <c r="O173" s="67"/>
      <c r="P173" s="66"/>
      <c r="Q173" s="68" t="s">
        <v>298</v>
      </c>
      <c r="R173" s="76"/>
      <c r="S173" s="64">
        <v>27</v>
      </c>
      <c r="T173" s="42" t="s">
        <v>300</v>
      </c>
      <c r="U173" s="89">
        <f t="shared" si="19"/>
        <v>191.85849000000002</v>
      </c>
      <c r="V173" s="69">
        <v>379.79</v>
      </c>
      <c r="W173" s="63">
        <v>157601</v>
      </c>
      <c r="X173" s="77"/>
      <c r="Y173" s="42"/>
      <c r="Z173" s="70"/>
      <c r="AA173" s="70"/>
    </row>
    <row r="174" spans="2:27" s="78" customFormat="1" x14ac:dyDescent="0.2">
      <c r="B174" s="42" t="s">
        <v>258</v>
      </c>
      <c r="C174" s="64" t="s">
        <v>1</v>
      </c>
      <c r="D174" s="64" t="s">
        <v>149</v>
      </c>
      <c r="E174" s="65">
        <v>36557</v>
      </c>
      <c r="F174" s="65">
        <v>36585</v>
      </c>
      <c r="G174" s="93" t="s">
        <v>33</v>
      </c>
      <c r="H174" s="42" t="s">
        <v>179</v>
      </c>
      <c r="I174" s="64" t="s">
        <v>188</v>
      </c>
      <c r="J174" s="56">
        <v>0.24503</v>
      </c>
      <c r="K174" s="66"/>
      <c r="L174" s="66"/>
      <c r="M174" s="66"/>
      <c r="N174" s="66"/>
      <c r="O174" s="67"/>
      <c r="P174" s="66"/>
      <c r="Q174" s="68" t="s">
        <v>299</v>
      </c>
      <c r="R174" s="76"/>
      <c r="S174" s="64">
        <v>47</v>
      </c>
      <c r="T174" s="42" t="s">
        <v>301</v>
      </c>
      <c r="U174" s="89">
        <f t="shared" si="19"/>
        <v>333.97588999999999</v>
      </c>
      <c r="V174" s="69">
        <v>660.83</v>
      </c>
      <c r="W174" s="63">
        <v>157602</v>
      </c>
      <c r="X174" s="77"/>
      <c r="Y174" s="1"/>
      <c r="Z174" s="36"/>
      <c r="AA174" s="36"/>
    </row>
    <row r="175" spans="2:27" s="78" customFormat="1" x14ac:dyDescent="0.2">
      <c r="B175" s="42" t="s">
        <v>258</v>
      </c>
      <c r="C175" s="64" t="s">
        <v>1</v>
      </c>
      <c r="D175" s="64" t="s">
        <v>149</v>
      </c>
      <c r="E175" s="65">
        <v>36557</v>
      </c>
      <c r="F175" s="65">
        <v>36585</v>
      </c>
      <c r="G175" s="93" t="s">
        <v>177</v>
      </c>
      <c r="H175" s="42" t="s">
        <v>179</v>
      </c>
      <c r="I175" s="64" t="s">
        <v>188</v>
      </c>
      <c r="J175" s="56">
        <v>0.24503</v>
      </c>
      <c r="K175" s="66"/>
      <c r="L175" s="66"/>
      <c r="M175" s="66"/>
      <c r="N175" s="66"/>
      <c r="O175" s="67"/>
      <c r="P175" s="66"/>
      <c r="Q175" s="68" t="s">
        <v>299</v>
      </c>
      <c r="R175" s="76"/>
      <c r="S175" s="64">
        <v>68</v>
      </c>
      <c r="T175" s="42" t="s">
        <v>301</v>
      </c>
      <c r="U175" s="89">
        <f t="shared" si="19"/>
        <v>483.19916000000001</v>
      </c>
      <c r="V175" s="69">
        <v>987.45</v>
      </c>
      <c r="W175" s="63">
        <v>157602</v>
      </c>
      <c r="X175" s="77"/>
      <c r="Y175" s="1"/>
      <c r="Z175" s="36"/>
      <c r="AA175" s="36"/>
    </row>
    <row r="176" spans="2:27" s="78" customFormat="1" x14ac:dyDescent="0.2">
      <c r="B176" s="42" t="s">
        <v>258</v>
      </c>
      <c r="C176" s="64" t="s">
        <v>1</v>
      </c>
      <c r="D176" s="64" t="s">
        <v>149</v>
      </c>
      <c r="E176" s="65">
        <v>36557</v>
      </c>
      <c r="F176" s="65">
        <v>36585</v>
      </c>
      <c r="G176" s="93" t="s">
        <v>178</v>
      </c>
      <c r="H176" s="42" t="s">
        <v>179</v>
      </c>
      <c r="I176" s="64" t="s">
        <v>188</v>
      </c>
      <c r="J176" s="56">
        <v>0.24503</v>
      </c>
      <c r="K176" s="66"/>
      <c r="L176" s="66"/>
      <c r="M176" s="66"/>
      <c r="N176" s="66"/>
      <c r="O176" s="67"/>
      <c r="P176" s="66"/>
      <c r="Q176" s="68" t="s">
        <v>299</v>
      </c>
      <c r="R176" s="76"/>
      <c r="S176" s="64">
        <f>52+107</f>
        <v>159</v>
      </c>
      <c r="T176" s="42" t="s">
        <v>301</v>
      </c>
      <c r="U176" s="89">
        <f t="shared" si="19"/>
        <v>1129.8333300000002</v>
      </c>
      <c r="V176" s="69">
        <f>736.79+1519.16</f>
        <v>2255.9499999999998</v>
      </c>
      <c r="W176" s="63">
        <v>157602</v>
      </c>
      <c r="X176" s="77"/>
      <c r="Y176" s="1"/>
      <c r="Z176" s="36"/>
      <c r="AA176" s="36"/>
    </row>
    <row r="177" spans="2:27" s="78" customFormat="1" x14ac:dyDescent="0.2">
      <c r="B177" s="42" t="s">
        <v>258</v>
      </c>
      <c r="C177" s="64" t="s">
        <v>1</v>
      </c>
      <c r="D177" s="64" t="s">
        <v>149</v>
      </c>
      <c r="E177" s="65">
        <v>36557</v>
      </c>
      <c r="F177" s="65">
        <v>36585</v>
      </c>
      <c r="G177" s="42" t="s">
        <v>204</v>
      </c>
      <c r="H177" s="71"/>
      <c r="I177" s="64" t="s">
        <v>202</v>
      </c>
      <c r="J177" s="56">
        <v>7.9000000000000008E-3</v>
      </c>
      <c r="K177" s="66">
        <v>0</v>
      </c>
      <c r="L177" s="66">
        <v>2.2000000000000001E-3</v>
      </c>
      <c r="M177" s="66">
        <v>0</v>
      </c>
      <c r="N177" s="66">
        <v>0</v>
      </c>
      <c r="O177" s="67">
        <v>0</v>
      </c>
      <c r="P177" s="66">
        <f t="shared" ref="P177:P184" si="22">SUM(J177:N177)</f>
        <v>1.0100000000000001E-2</v>
      </c>
      <c r="Q177" s="68" t="s">
        <v>284</v>
      </c>
      <c r="R177" s="76" t="s">
        <v>203</v>
      </c>
      <c r="S177" s="64">
        <v>397258</v>
      </c>
      <c r="T177" s="42"/>
      <c r="U177" s="95">
        <f>+S177*J177</f>
        <v>3138.3382000000001</v>
      </c>
      <c r="V177" s="69">
        <v>3166.61</v>
      </c>
      <c r="W177" s="63"/>
      <c r="X177" s="77" t="s">
        <v>213</v>
      </c>
      <c r="Y177" s="1"/>
      <c r="Z177" s="36"/>
      <c r="AA177" s="36"/>
    </row>
    <row r="178" spans="2:27" s="78" customFormat="1" x14ac:dyDescent="0.2">
      <c r="B178" s="42" t="s">
        <v>258</v>
      </c>
      <c r="C178" s="64" t="s">
        <v>1</v>
      </c>
      <c r="D178" s="64" t="s">
        <v>149</v>
      </c>
      <c r="E178" s="65">
        <v>36557</v>
      </c>
      <c r="F178" s="65">
        <v>36585</v>
      </c>
      <c r="G178" s="42" t="s">
        <v>201</v>
      </c>
      <c r="H178" s="71"/>
      <c r="I178" s="64" t="s">
        <v>202</v>
      </c>
      <c r="J178" s="56">
        <v>0.6673</v>
      </c>
      <c r="K178" s="66">
        <v>0</v>
      </c>
      <c r="L178" s="66">
        <v>2.2000000000000001E-3</v>
      </c>
      <c r="M178" s="66">
        <v>0</v>
      </c>
      <c r="N178" s="66">
        <v>0</v>
      </c>
      <c r="O178" s="67">
        <v>0</v>
      </c>
      <c r="P178" s="66">
        <f t="shared" si="22"/>
        <v>0.66949999999999998</v>
      </c>
      <c r="Q178" s="68" t="s">
        <v>284</v>
      </c>
      <c r="R178" s="76" t="s">
        <v>203</v>
      </c>
      <c r="S178" s="64">
        <v>4674</v>
      </c>
      <c r="T178" s="42"/>
      <c r="U178" s="95">
        <f>+S178*J178</f>
        <v>3118.9602</v>
      </c>
      <c r="V178" s="69">
        <v>3146.99</v>
      </c>
      <c r="W178" s="63"/>
      <c r="X178" s="77" t="s">
        <v>213</v>
      </c>
      <c r="Y178" s="1"/>
      <c r="Z178" s="36"/>
      <c r="AA178" s="36"/>
    </row>
    <row r="179" spans="2:27" s="78" customFormat="1" x14ac:dyDescent="0.2">
      <c r="B179" s="1" t="s">
        <v>258</v>
      </c>
      <c r="C179" s="3" t="s">
        <v>1</v>
      </c>
      <c r="D179" s="3" t="s">
        <v>149</v>
      </c>
      <c r="E179" s="4">
        <v>36557</v>
      </c>
      <c r="F179" s="4">
        <v>36585</v>
      </c>
      <c r="G179" s="1" t="s">
        <v>205</v>
      </c>
      <c r="H179" s="29"/>
      <c r="I179" s="3" t="s">
        <v>207</v>
      </c>
      <c r="J179" s="8">
        <v>4.8099999999999997E-2</v>
      </c>
      <c r="K179" s="5">
        <v>0</v>
      </c>
      <c r="L179" s="5">
        <v>2.2000000000000001E-3</v>
      </c>
      <c r="M179" s="5">
        <v>0</v>
      </c>
      <c r="N179" s="5">
        <v>0</v>
      </c>
      <c r="O179" s="47">
        <v>0</v>
      </c>
      <c r="P179" s="5">
        <f t="shared" si="22"/>
        <v>5.0299999999999997E-2</v>
      </c>
      <c r="Q179" s="24" t="s">
        <v>322</v>
      </c>
      <c r="R179" s="24" t="s">
        <v>3</v>
      </c>
      <c r="S179" s="3"/>
      <c r="T179" s="1"/>
      <c r="U179" s="91">
        <f t="shared" si="19"/>
        <v>0</v>
      </c>
      <c r="V179" s="9">
        <v>364.17</v>
      </c>
      <c r="W179" s="61"/>
      <c r="X179" s="79" t="s">
        <v>214</v>
      </c>
      <c r="Y179" s="1"/>
      <c r="Z179" s="36"/>
      <c r="AA179" s="36"/>
    </row>
    <row r="180" spans="2:27" s="46" customFormat="1" x14ac:dyDescent="0.2">
      <c r="B180" s="42" t="s">
        <v>258</v>
      </c>
      <c r="C180" s="64" t="s">
        <v>1</v>
      </c>
      <c r="D180" s="64" t="s">
        <v>149</v>
      </c>
      <c r="E180" s="65">
        <v>36557</v>
      </c>
      <c r="F180" s="65">
        <v>36585</v>
      </c>
      <c r="G180" s="42" t="s">
        <v>206</v>
      </c>
      <c r="H180" s="71"/>
      <c r="I180" s="64" t="s">
        <v>207</v>
      </c>
      <c r="J180" s="56">
        <v>0.48399999999999999</v>
      </c>
      <c r="K180" s="66">
        <v>0</v>
      </c>
      <c r="L180" s="66">
        <v>2.2000000000000001E-3</v>
      </c>
      <c r="M180" s="66">
        <v>0</v>
      </c>
      <c r="N180" s="66">
        <v>0</v>
      </c>
      <c r="O180" s="67">
        <v>0</v>
      </c>
      <c r="P180" s="66">
        <f t="shared" si="22"/>
        <v>0.48619999999999997</v>
      </c>
      <c r="Q180" s="68" t="s">
        <v>322</v>
      </c>
      <c r="R180" s="76" t="s">
        <v>208</v>
      </c>
      <c r="S180" s="64"/>
      <c r="T180" s="42"/>
      <c r="U180" s="95">
        <f t="shared" si="19"/>
        <v>0</v>
      </c>
      <c r="V180" s="69">
        <v>364.45</v>
      </c>
      <c r="W180" s="63"/>
      <c r="X180" s="77" t="s">
        <v>214</v>
      </c>
      <c r="Y180" s="42"/>
      <c r="Z180" s="70"/>
      <c r="AA180" s="70"/>
    </row>
    <row r="181" spans="2:27" s="144" customFormat="1" x14ac:dyDescent="0.2">
      <c r="B181" s="43" t="s">
        <v>110</v>
      </c>
      <c r="C181" s="134" t="s">
        <v>1</v>
      </c>
      <c r="D181" s="134" t="s">
        <v>158</v>
      </c>
      <c r="E181" s="135">
        <v>35977</v>
      </c>
      <c r="F181" s="135">
        <v>39599</v>
      </c>
      <c r="G181" s="43" t="s">
        <v>192</v>
      </c>
      <c r="H181" s="43" t="s">
        <v>193</v>
      </c>
      <c r="I181" s="134" t="s">
        <v>195</v>
      </c>
      <c r="J181" s="136">
        <f>4.7713/J$1</f>
        <v>0.16452758620689656</v>
      </c>
      <c r="K181" s="137">
        <v>0</v>
      </c>
      <c r="L181" s="137">
        <v>2.2000000000000001E-3</v>
      </c>
      <c r="M181" s="137">
        <v>0</v>
      </c>
      <c r="N181" s="137">
        <v>0</v>
      </c>
      <c r="O181" s="138">
        <v>0</v>
      </c>
      <c r="P181" s="137">
        <f t="shared" si="22"/>
        <v>0.16672758620689657</v>
      </c>
      <c r="Q181" s="146" t="s">
        <v>194</v>
      </c>
      <c r="R181" s="146" t="s">
        <v>194</v>
      </c>
      <c r="S181" s="134">
        <v>15</v>
      </c>
      <c r="T181" s="43" t="s">
        <v>196</v>
      </c>
      <c r="U181" s="147">
        <f t="shared" si="19"/>
        <v>71.569500000000005</v>
      </c>
      <c r="V181" s="141">
        <v>71.569999999999993</v>
      </c>
      <c r="W181" s="142"/>
      <c r="X181" s="148" t="s">
        <v>215</v>
      </c>
      <c r="Y181" s="43"/>
      <c r="Z181" s="143"/>
      <c r="AA181" s="143"/>
    </row>
    <row r="182" spans="2:27" s="144" customFormat="1" x14ac:dyDescent="0.2">
      <c r="B182" s="43" t="s">
        <v>110</v>
      </c>
      <c r="C182" s="134" t="s">
        <v>1</v>
      </c>
      <c r="D182" s="134" t="s">
        <v>158</v>
      </c>
      <c r="E182" s="135">
        <v>36130</v>
      </c>
      <c r="F182" s="135">
        <v>39599</v>
      </c>
      <c r="G182" s="43" t="s">
        <v>192</v>
      </c>
      <c r="H182" s="43" t="s">
        <v>193</v>
      </c>
      <c r="I182" s="134" t="s">
        <v>195</v>
      </c>
      <c r="J182" s="136">
        <f>4.7713/J$1</f>
        <v>0.16452758620689656</v>
      </c>
      <c r="K182" s="137">
        <v>0</v>
      </c>
      <c r="L182" s="137">
        <v>2.2000000000000001E-3</v>
      </c>
      <c r="M182" s="137">
        <v>0</v>
      </c>
      <c r="N182" s="137">
        <v>0</v>
      </c>
      <c r="O182" s="138">
        <v>0</v>
      </c>
      <c r="P182" s="137">
        <f t="shared" si="22"/>
        <v>0.16672758620689657</v>
      </c>
      <c r="Q182" s="146" t="s">
        <v>197</v>
      </c>
      <c r="R182" s="146" t="s">
        <v>197</v>
      </c>
      <c r="S182" s="134">
        <v>2</v>
      </c>
      <c r="T182" s="43" t="s">
        <v>198</v>
      </c>
      <c r="U182" s="147">
        <f t="shared" si="19"/>
        <v>9.5426000000000002</v>
      </c>
      <c r="V182" s="141">
        <v>9.5399999999999991</v>
      </c>
      <c r="W182" s="142"/>
      <c r="X182" s="148" t="s">
        <v>216</v>
      </c>
      <c r="Y182" s="43"/>
      <c r="Z182" s="143"/>
      <c r="AA182" s="143"/>
    </row>
    <row r="183" spans="2:27" s="144" customFormat="1" x14ac:dyDescent="0.2">
      <c r="B183" s="43" t="s">
        <v>110</v>
      </c>
      <c r="C183" s="134" t="s">
        <v>1</v>
      </c>
      <c r="D183" s="134" t="s">
        <v>158</v>
      </c>
      <c r="E183" s="135">
        <v>36220</v>
      </c>
      <c r="F183" s="135">
        <v>39599</v>
      </c>
      <c r="G183" s="43" t="s">
        <v>192</v>
      </c>
      <c r="H183" s="43" t="s">
        <v>193</v>
      </c>
      <c r="I183" s="134" t="s">
        <v>195</v>
      </c>
      <c r="J183" s="136">
        <f>4.7713/J$1</f>
        <v>0.16452758620689656</v>
      </c>
      <c r="K183" s="137">
        <v>0</v>
      </c>
      <c r="L183" s="137">
        <v>2.2000000000000001E-3</v>
      </c>
      <c r="M183" s="137">
        <v>0</v>
      </c>
      <c r="N183" s="137">
        <v>0</v>
      </c>
      <c r="O183" s="138">
        <v>0</v>
      </c>
      <c r="P183" s="137">
        <f t="shared" si="22"/>
        <v>0.16672758620689657</v>
      </c>
      <c r="Q183" s="146" t="s">
        <v>200</v>
      </c>
      <c r="R183" s="146" t="s">
        <v>200</v>
      </c>
      <c r="S183" s="134">
        <v>5</v>
      </c>
      <c r="T183" s="43" t="s">
        <v>199</v>
      </c>
      <c r="U183" s="147">
        <f t="shared" si="19"/>
        <v>23.8565</v>
      </c>
      <c r="V183" s="141">
        <v>23.86</v>
      </c>
      <c r="W183" s="142"/>
      <c r="X183" s="148" t="s">
        <v>217</v>
      </c>
      <c r="Y183" s="43"/>
      <c r="Z183" s="143"/>
      <c r="AA183" s="143"/>
    </row>
    <row r="184" spans="2:27" s="144" customFormat="1" x14ac:dyDescent="0.2">
      <c r="B184" s="43" t="s">
        <v>110</v>
      </c>
      <c r="C184" s="134" t="s">
        <v>1</v>
      </c>
      <c r="D184" s="134" t="s">
        <v>186</v>
      </c>
      <c r="E184" s="135">
        <v>36526</v>
      </c>
      <c r="F184" s="135">
        <v>36556</v>
      </c>
      <c r="G184" s="43" t="s">
        <v>180</v>
      </c>
      <c r="H184" s="140" t="s">
        <v>187</v>
      </c>
      <c r="I184" s="134" t="s">
        <v>188</v>
      </c>
      <c r="J184" s="136">
        <v>0</v>
      </c>
      <c r="K184" s="137">
        <v>0</v>
      </c>
      <c r="L184" s="137">
        <v>2.2000000000000001E-3</v>
      </c>
      <c r="M184" s="137">
        <v>0</v>
      </c>
      <c r="N184" s="137">
        <v>0</v>
      </c>
      <c r="O184" s="138">
        <v>0</v>
      </c>
      <c r="P184" s="137">
        <f t="shared" si="22"/>
        <v>2.2000000000000001E-3</v>
      </c>
      <c r="Q184" s="146" t="s">
        <v>220</v>
      </c>
      <c r="R184" s="146" t="s">
        <v>220</v>
      </c>
      <c r="S184" s="134">
        <v>190</v>
      </c>
      <c r="T184" s="43" t="s">
        <v>189</v>
      </c>
      <c r="U184" s="141">
        <f t="shared" si="19"/>
        <v>0</v>
      </c>
      <c r="V184" s="141"/>
      <c r="W184" s="142"/>
      <c r="X184" s="143">
        <v>144552</v>
      </c>
      <c r="Y184" s="43"/>
      <c r="Z184" s="143"/>
      <c r="AA184" s="143"/>
    </row>
    <row r="185" spans="2:27" x14ac:dyDescent="0.2">
      <c r="B185" s="27" t="s">
        <v>110</v>
      </c>
      <c r="C185" s="3" t="s">
        <v>1</v>
      </c>
      <c r="D185" s="3" t="s">
        <v>323</v>
      </c>
      <c r="E185" s="4">
        <v>36526</v>
      </c>
      <c r="F185" s="4">
        <v>38564</v>
      </c>
      <c r="G185" s="1" t="s">
        <v>324</v>
      </c>
      <c r="H185" s="1" t="s">
        <v>325</v>
      </c>
      <c r="I185" s="3" t="s">
        <v>168</v>
      </c>
      <c r="J185" s="8">
        <v>0.13736999999999999</v>
      </c>
      <c r="K185" s="5"/>
      <c r="L185" s="5"/>
      <c r="M185" s="5"/>
      <c r="N185" s="5"/>
      <c r="O185" s="47"/>
      <c r="P185" s="5"/>
      <c r="Q185" s="103">
        <v>2.6598000000000002</v>
      </c>
      <c r="R185" s="53"/>
      <c r="S185" s="54">
        <v>14800</v>
      </c>
      <c r="T185" s="54" t="s">
        <v>326</v>
      </c>
      <c r="U185" s="89">
        <f t="shared" si="19"/>
        <v>58959.203999999991</v>
      </c>
      <c r="V185" s="28">
        <v>63024.32</v>
      </c>
      <c r="W185" s="57"/>
      <c r="X185" s="57">
        <v>165423</v>
      </c>
      <c r="Y185" s="72"/>
      <c r="Z185" s="35"/>
      <c r="AA185" s="35"/>
    </row>
    <row r="186" spans="2:27" x14ac:dyDescent="0.2">
      <c r="B186" s="27" t="s">
        <v>110</v>
      </c>
      <c r="C186" s="3" t="s">
        <v>1</v>
      </c>
      <c r="D186" s="3" t="s">
        <v>323</v>
      </c>
      <c r="E186" s="4">
        <v>36526</v>
      </c>
      <c r="F186" s="4">
        <v>38564</v>
      </c>
      <c r="G186" s="1" t="s">
        <v>324</v>
      </c>
      <c r="H186" s="1" t="s">
        <v>325</v>
      </c>
      <c r="I186" s="3" t="s">
        <v>168</v>
      </c>
      <c r="J186" s="8">
        <v>0.13736999999999999</v>
      </c>
      <c r="K186" s="5"/>
      <c r="L186" s="5"/>
      <c r="M186" s="5"/>
      <c r="N186" s="5"/>
      <c r="O186" s="47"/>
      <c r="P186" s="5"/>
      <c r="Q186" s="103">
        <v>2.6591999999999998</v>
      </c>
      <c r="R186" s="53"/>
      <c r="S186" s="54">
        <v>755</v>
      </c>
      <c r="T186" s="54" t="s">
        <v>326</v>
      </c>
      <c r="U186" s="89">
        <f t="shared" si="19"/>
        <v>3007.7161499999997</v>
      </c>
      <c r="V186" s="28">
        <v>3215.09</v>
      </c>
      <c r="W186" s="57"/>
      <c r="X186" s="57">
        <v>165415</v>
      </c>
      <c r="Y186" s="72"/>
      <c r="Z186" s="35"/>
      <c r="AA186" s="35"/>
    </row>
    <row r="187" spans="2:27" x14ac:dyDescent="0.2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7"/>
      <c r="P187" s="5"/>
      <c r="Q187" s="53"/>
      <c r="R187" s="53"/>
      <c r="S187" s="54"/>
      <c r="T187" s="28"/>
      <c r="U187" s="28">
        <f>SUM(U162:U186)</f>
        <v>218793.56481640987</v>
      </c>
      <c r="V187" s="28"/>
      <c r="W187" s="57"/>
      <c r="X187" s="57"/>
      <c r="Y187" s="72"/>
      <c r="Z187" s="35"/>
      <c r="AA187" s="35"/>
    </row>
    <row r="188" spans="2:27" x14ac:dyDescent="0.2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7"/>
      <c r="P188" s="5"/>
      <c r="Q188" s="53"/>
      <c r="R188" s="53"/>
      <c r="S188" s="54"/>
      <c r="T188" s="28"/>
      <c r="U188" s="28"/>
      <c r="V188" s="28"/>
      <c r="W188" s="57"/>
      <c r="X188" s="57"/>
      <c r="Y188" s="72"/>
      <c r="Z188" s="35"/>
      <c r="AA188" s="35"/>
    </row>
    <row r="189" spans="2:27" x14ac:dyDescent="0.2">
      <c r="B189" s="27"/>
      <c r="C189" s="3"/>
      <c r="D189" s="3"/>
      <c r="E189" s="4"/>
      <c r="F189" s="4"/>
      <c r="G189" s="1"/>
      <c r="H189" s="1"/>
      <c r="I189" s="3"/>
      <c r="J189" s="8"/>
      <c r="K189" s="5"/>
      <c r="L189" s="5"/>
      <c r="M189" s="5"/>
      <c r="N189" s="5"/>
      <c r="O189" s="47"/>
      <c r="P189" s="5"/>
      <c r="Q189" s="53"/>
      <c r="R189" s="53"/>
      <c r="S189" s="54"/>
      <c r="T189" s="28"/>
      <c r="U189" s="28"/>
      <c r="V189" s="28"/>
      <c r="W189" s="57"/>
      <c r="X189" s="57"/>
      <c r="Y189" s="72"/>
      <c r="Z189" s="35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53"/>
      <c r="R190" s="53"/>
      <c r="S190" s="54"/>
      <c r="T190" s="28"/>
      <c r="U190" s="28">
        <f>SUM(U187,U160,U151,U135,U120,U110,U113,U87,U39,U26)</f>
        <v>2574405.0130170044</v>
      </c>
      <c r="V190" s="72" t="s">
        <v>379</v>
      </c>
      <c r="W190" s="57"/>
      <c r="X190" s="57"/>
      <c r="Y190" s="72"/>
      <c r="Z190" s="35"/>
      <c r="AA190" s="35"/>
    </row>
    <row r="191" spans="2:27" x14ac:dyDescent="0.2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53"/>
      <c r="R191" s="53"/>
      <c r="S191" s="54"/>
      <c r="T191" s="28"/>
      <c r="U191" s="155">
        <v>20000</v>
      </c>
      <c r="V191" s="72" t="s">
        <v>415</v>
      </c>
      <c r="W191" s="57"/>
      <c r="X191" s="57"/>
      <c r="Y191" s="72"/>
      <c r="Z191" s="40"/>
      <c r="AA191" s="35"/>
    </row>
    <row r="192" spans="2:27" ht="13.5" thickBot="1" x14ac:dyDescent="0.25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53"/>
      <c r="R192" s="53"/>
      <c r="S192" s="54"/>
      <c r="T192" s="28"/>
      <c r="U192" s="156">
        <f>SUM(U190:U191)</f>
        <v>2594405.0130170044</v>
      </c>
      <c r="V192" s="72" t="s">
        <v>416</v>
      </c>
      <c r="W192" s="57"/>
      <c r="X192" s="57"/>
      <c r="Y192" s="72"/>
      <c r="Z192" s="35"/>
      <c r="AA192" s="35"/>
    </row>
    <row r="193" spans="2:27" ht="13.5" thickTop="1" x14ac:dyDescent="0.2">
      <c r="B193" s="27"/>
      <c r="C193" s="3"/>
      <c r="D193" s="3"/>
      <c r="E193" s="4"/>
      <c r="F193" s="4"/>
      <c r="G193" s="1"/>
      <c r="H193" s="1"/>
      <c r="I193" s="3"/>
      <c r="J193" s="5"/>
      <c r="K193" s="5"/>
      <c r="L193" s="5"/>
      <c r="M193" s="5"/>
      <c r="N193" s="5"/>
      <c r="O193" s="47"/>
      <c r="P193" s="5"/>
      <c r="Q193" s="53"/>
      <c r="R193" s="53"/>
      <c r="S193" s="54"/>
      <c r="T193" s="28"/>
      <c r="U193" s="28"/>
      <c r="V193" s="28"/>
      <c r="W193" s="57"/>
      <c r="X193" s="57"/>
      <c r="Y193" s="72"/>
      <c r="Z193" s="35"/>
      <c r="AA193" s="35"/>
    </row>
    <row r="194" spans="2:27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53"/>
      <c r="R194" s="53"/>
      <c r="S194" s="54"/>
      <c r="T194" s="40"/>
      <c r="U194" s="28"/>
      <c r="V194" s="28"/>
      <c r="W194" s="57"/>
      <c r="X194" s="57"/>
      <c r="Y194" s="72"/>
      <c r="Z194" s="35"/>
      <c r="AA194" s="35"/>
    </row>
    <row r="195" spans="2:27" x14ac:dyDescent="0.2">
      <c r="B195" s="27"/>
      <c r="C195" s="3"/>
      <c r="D195" s="3"/>
      <c r="E195" s="4"/>
      <c r="F195" s="4"/>
      <c r="G195" s="1"/>
      <c r="H195" s="1"/>
      <c r="I195" s="3"/>
      <c r="J195" s="8"/>
      <c r="K195" s="5"/>
      <c r="L195" s="5"/>
      <c r="M195" s="5"/>
      <c r="N195" s="5"/>
      <c r="O195" s="47"/>
      <c r="P195" s="5"/>
      <c r="Q195" s="53"/>
      <c r="R195" s="53"/>
      <c r="S195" s="54"/>
      <c r="T195" s="40"/>
      <c r="U195" s="28"/>
      <c r="V195" s="28"/>
      <c r="W195" s="57"/>
      <c r="X195" s="57"/>
      <c r="Y195" s="72"/>
      <c r="Z195" s="35"/>
      <c r="AA195" s="35"/>
    </row>
    <row r="196" spans="2:27" x14ac:dyDescent="0.2">
      <c r="Q196" s="34"/>
      <c r="R196" s="34"/>
      <c r="S196" s="34"/>
      <c r="T196" s="34"/>
      <c r="U196" s="34"/>
      <c r="V196" s="34"/>
      <c r="W196" s="55"/>
      <c r="X196" s="55"/>
      <c r="Y196" s="75"/>
      <c r="Z196" s="55"/>
    </row>
    <row r="197" spans="2:27" x14ac:dyDescent="0.2">
      <c r="Q197" s="34"/>
      <c r="R197" s="34"/>
      <c r="S197" s="34"/>
      <c r="T197" s="34"/>
      <c r="U197" s="34"/>
      <c r="V197" s="34"/>
      <c r="W197" s="55"/>
      <c r="X197" s="55"/>
      <c r="Y197" s="75"/>
      <c r="Z197" s="55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Manual Invoice</vt:lpstr>
      <vt:lpstr>Pricing</vt:lpstr>
      <vt:lpstr>Local Production</vt:lpstr>
      <vt:lpstr>CGAS</vt:lpstr>
      <vt:lpstr>Ces Retail</vt:lpstr>
      <vt:lpstr>CGAS!Print_Area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2000-03-10T14:37:06Z</cp:lastPrinted>
  <dcterms:created xsi:type="dcterms:W3CDTF">1998-07-21T12:15:25Z</dcterms:created>
  <dcterms:modified xsi:type="dcterms:W3CDTF">2014-09-03T12:40:47Z</dcterms:modified>
</cp:coreProperties>
</file>