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7620"/>
  </bookViews>
  <sheets>
    <sheet name="0900" sheetId="1" r:id="rId1"/>
    <sheet name="invoice" sheetId="2" r:id="rId2"/>
    <sheet name="Sheet3" sheetId="3" r:id="rId3"/>
  </sheets>
  <externalReferences>
    <externalReference r:id="rId4"/>
  </externalReferences>
  <definedNames>
    <definedName name="_xlnm.Print_Area" localSheetId="0">'0900'!$A$1:$BG$44</definedName>
  </definedNames>
  <calcPr calcId="152511"/>
</workbook>
</file>

<file path=xl/calcChain.xml><?xml version="1.0" encoding="utf-8"?>
<calcChain xmlns="http://schemas.openxmlformats.org/spreadsheetml/2006/main">
  <c r="A4" i="1" l="1"/>
  <c r="AB6" i="1"/>
  <c r="G10" i="1"/>
  <c r="I10" i="1"/>
  <c r="AH10" i="1" s="1"/>
  <c r="L10" i="1"/>
  <c r="O10" i="1"/>
  <c r="T10" i="1"/>
  <c r="V10" i="1"/>
  <c r="W10" i="1"/>
  <c r="X10" i="1"/>
  <c r="Z10" i="1" s="1"/>
  <c r="Y10" i="1"/>
  <c r="AA10" i="1"/>
  <c r="BA10" i="1" s="1"/>
  <c r="AB10" i="1"/>
  <c r="AD10" i="1"/>
  <c r="BC10" i="1" s="1"/>
  <c r="AF10" i="1"/>
  <c r="BB10" i="1" s="1"/>
  <c r="AG10" i="1"/>
  <c r="AJ10" i="1"/>
  <c r="AL10" i="1" s="1"/>
  <c r="AK10" i="1"/>
  <c r="AM10" i="1"/>
  <c r="AN10" i="1"/>
  <c r="AO10" i="1"/>
  <c r="AT10" i="1"/>
  <c r="AU10" i="1" s="1"/>
  <c r="BD10" i="1" s="1"/>
  <c r="A11" i="1"/>
  <c r="G11" i="1"/>
  <c r="K11" i="1" s="1"/>
  <c r="H11" i="1"/>
  <c r="I11" i="1"/>
  <c r="O11" i="1"/>
  <c r="T11" i="1"/>
  <c r="U11" i="1"/>
  <c r="AY11" i="1" s="1"/>
  <c r="X11" i="1"/>
  <c r="Y11" i="1"/>
  <c r="Z11" i="1"/>
  <c r="AA11" i="1"/>
  <c r="AD11" i="1"/>
  <c r="BC11" i="1" s="1"/>
  <c r="AF11" i="1"/>
  <c r="BB11" i="1" s="1"/>
  <c r="AG11" i="1"/>
  <c r="AJ11" i="1"/>
  <c r="AM11" i="1"/>
  <c r="AT11" i="1"/>
  <c r="AU11" i="1"/>
  <c r="BA11" i="1"/>
  <c r="BD11" i="1"/>
  <c r="A12" i="1"/>
  <c r="G12" i="1"/>
  <c r="I12" i="1"/>
  <c r="V12" i="1" s="1"/>
  <c r="L12" i="1"/>
  <c r="O12" i="1"/>
  <c r="T12" i="1"/>
  <c r="U12" i="1"/>
  <c r="AY12" i="1" s="1"/>
  <c r="X12" i="1"/>
  <c r="Z12" i="1" s="1"/>
  <c r="Y12" i="1"/>
  <c r="AA12" i="1"/>
  <c r="BA12" i="1" s="1"/>
  <c r="AB12" i="1"/>
  <c r="AZ12" i="1" s="1"/>
  <c r="AD12" i="1"/>
  <c r="AF12" i="1" s="1"/>
  <c r="BB12" i="1" s="1"/>
  <c r="AG12" i="1"/>
  <c r="AH12" i="1"/>
  <c r="AI12" i="1"/>
  <c r="AJ12" i="1"/>
  <c r="AK12" i="1"/>
  <c r="AL12" i="1"/>
  <c r="AM12" i="1"/>
  <c r="AO12" i="1" s="1"/>
  <c r="AN12" i="1"/>
  <c r="AT12" i="1"/>
  <c r="AU12" i="1"/>
  <c r="BC12" i="1"/>
  <c r="BD12" i="1"/>
  <c r="A13" i="1"/>
  <c r="G13" i="1"/>
  <c r="I13" i="1"/>
  <c r="V13" i="1" s="1"/>
  <c r="L13" i="1"/>
  <c r="O13" i="1"/>
  <c r="T13" i="1"/>
  <c r="X13" i="1"/>
  <c r="Z13" i="1" s="1"/>
  <c r="Y13" i="1"/>
  <c r="AA13" i="1"/>
  <c r="AD13" i="1"/>
  <c r="AF13" i="1"/>
  <c r="AG13" i="1"/>
  <c r="AH13" i="1"/>
  <c r="AJ13" i="1"/>
  <c r="AK13" i="1"/>
  <c r="AL13" i="1"/>
  <c r="AM13" i="1"/>
  <c r="AT13" i="1"/>
  <c r="AU13" i="1"/>
  <c r="BD13" i="1" s="1"/>
  <c r="BB13" i="1"/>
  <c r="BC13" i="1"/>
  <c r="A14" i="1"/>
  <c r="A15" i="1" s="1"/>
  <c r="A16" i="1" s="1"/>
  <c r="A17" i="1" s="1"/>
  <c r="A18" i="1" s="1"/>
  <c r="G14" i="1"/>
  <c r="H14" i="1"/>
  <c r="I14" i="1"/>
  <c r="K14" i="1"/>
  <c r="N14" i="1"/>
  <c r="P14" i="1" s="1"/>
  <c r="O14" i="1"/>
  <c r="T14" i="1"/>
  <c r="U14" i="1"/>
  <c r="AY14" i="1" s="1"/>
  <c r="V14" i="1"/>
  <c r="W14" i="1" s="1"/>
  <c r="X14" i="1"/>
  <c r="Y14" i="1"/>
  <c r="Z14" i="1"/>
  <c r="AA14" i="1"/>
  <c r="AD14" i="1"/>
  <c r="BC14" i="1" s="1"/>
  <c r="AF14" i="1"/>
  <c r="AG14" i="1"/>
  <c r="AJ14" i="1"/>
  <c r="AK14" i="1"/>
  <c r="AM14" i="1"/>
  <c r="AT14" i="1"/>
  <c r="AU14" i="1" s="1"/>
  <c r="BD14" i="1" s="1"/>
  <c r="BA14" i="1"/>
  <c r="BB14" i="1"/>
  <c r="G15" i="1"/>
  <c r="K15" i="1" s="1"/>
  <c r="H15" i="1"/>
  <c r="I15" i="1"/>
  <c r="N15" i="1"/>
  <c r="P15" i="1" s="1"/>
  <c r="O15" i="1"/>
  <c r="T15" i="1"/>
  <c r="W15" i="1" s="1"/>
  <c r="U15" i="1"/>
  <c r="AY15" i="1" s="1"/>
  <c r="V15" i="1"/>
  <c r="X15" i="1"/>
  <c r="Y15" i="1"/>
  <c r="Z15" i="1" s="1"/>
  <c r="AA15" i="1"/>
  <c r="AD15" i="1"/>
  <c r="BC15" i="1" s="1"/>
  <c r="AF15" i="1"/>
  <c r="BB15" i="1" s="1"/>
  <c r="AG15" i="1"/>
  <c r="AK15" i="1"/>
  <c r="AL15" i="1" s="1"/>
  <c r="AM15" i="1"/>
  <c r="AN15" i="1"/>
  <c r="AO15" i="1" s="1"/>
  <c r="AT15" i="1"/>
  <c r="AU15" i="1" s="1"/>
  <c r="BD15" i="1" s="1"/>
  <c r="BA15" i="1"/>
  <c r="G16" i="1"/>
  <c r="K16" i="1" s="1"/>
  <c r="H16" i="1"/>
  <c r="I16" i="1"/>
  <c r="O16" i="1"/>
  <c r="T16" i="1"/>
  <c r="U16" i="1"/>
  <c r="AY16" i="1" s="1"/>
  <c r="X16" i="1"/>
  <c r="Y16" i="1"/>
  <c r="Z16" i="1"/>
  <c r="AA16" i="1"/>
  <c r="AD16" i="1"/>
  <c r="BC16" i="1" s="1"/>
  <c r="AF16" i="1"/>
  <c r="BB16" i="1" s="1"/>
  <c r="AG16" i="1"/>
  <c r="AM16" i="1"/>
  <c r="AN16" i="1"/>
  <c r="AO16" i="1" s="1"/>
  <c r="AT16" i="1"/>
  <c r="AU16" i="1" s="1"/>
  <c r="BD16" i="1" s="1"/>
  <c r="BA16" i="1"/>
  <c r="G17" i="1"/>
  <c r="K17" i="1" s="1"/>
  <c r="H17" i="1"/>
  <c r="I17" i="1"/>
  <c r="N17" i="1"/>
  <c r="P17" i="1" s="1"/>
  <c r="O17" i="1"/>
  <c r="Q17" i="1"/>
  <c r="T17" i="1"/>
  <c r="U17" i="1"/>
  <c r="V17" i="1"/>
  <c r="X17" i="1"/>
  <c r="Y17" i="1"/>
  <c r="Z17" i="1" s="1"/>
  <c r="AA17" i="1"/>
  <c r="AD17" i="1"/>
  <c r="AG17" i="1"/>
  <c r="AJ17" i="1"/>
  <c r="AM17" i="1"/>
  <c r="AT17" i="1"/>
  <c r="AU17" i="1"/>
  <c r="AW17" i="1"/>
  <c r="BA17" i="1"/>
  <c r="BD17" i="1"/>
  <c r="G18" i="1"/>
  <c r="K18" i="1" s="1"/>
  <c r="N18" i="1" s="1"/>
  <c r="H18" i="1"/>
  <c r="I18" i="1"/>
  <c r="L18" i="1"/>
  <c r="M18" i="1" s="1"/>
  <c r="S18" i="1" s="1"/>
  <c r="O18" i="1"/>
  <c r="P18" i="1"/>
  <c r="Q18" i="1"/>
  <c r="AW18" i="1" s="1"/>
  <c r="T18" i="1"/>
  <c r="W18" i="1" s="1"/>
  <c r="AX18" i="1" s="1"/>
  <c r="U18" i="1"/>
  <c r="AY18" i="1" s="1"/>
  <c r="V18" i="1"/>
  <c r="X18" i="1"/>
  <c r="Z18" i="1" s="1"/>
  <c r="Y18" i="1"/>
  <c r="AA18" i="1"/>
  <c r="AD18" i="1"/>
  <c r="AF18" i="1"/>
  <c r="AG18" i="1"/>
  <c r="AI18" i="1" s="1"/>
  <c r="AH18" i="1"/>
  <c r="AJ18" i="1"/>
  <c r="AK18" i="1"/>
  <c r="AL18" i="1"/>
  <c r="AM18" i="1"/>
  <c r="AN18" i="1"/>
  <c r="AO18" i="1"/>
  <c r="AP18" i="1"/>
  <c r="AT18" i="1"/>
  <c r="AU18" i="1" s="1"/>
  <c r="BD18" i="1" s="1"/>
  <c r="BA18" i="1"/>
  <c r="BB18" i="1"/>
  <c r="BC18" i="1"/>
  <c r="A19" i="1"/>
  <c r="A20" i="1" s="1"/>
  <c r="G19" i="1"/>
  <c r="H19" i="1"/>
  <c r="I19" i="1"/>
  <c r="AN19" i="1" s="1"/>
  <c r="K19" i="1"/>
  <c r="O19" i="1"/>
  <c r="T19" i="1"/>
  <c r="U19" i="1"/>
  <c r="X19" i="1"/>
  <c r="Y19" i="1"/>
  <c r="Z19" i="1"/>
  <c r="AA19" i="1"/>
  <c r="AD19" i="1"/>
  <c r="BC19" i="1" s="1"/>
  <c r="AG19" i="1"/>
  <c r="AJ19" i="1"/>
  <c r="AM19" i="1"/>
  <c r="AO19" i="1" s="1"/>
  <c r="AT19" i="1"/>
  <c r="AU19" i="1"/>
  <c r="BD19" i="1"/>
  <c r="G20" i="1"/>
  <c r="K20" i="1" s="1"/>
  <c r="N20" i="1" s="1"/>
  <c r="H20" i="1"/>
  <c r="I20" i="1"/>
  <c r="L20" i="1"/>
  <c r="M20" i="1"/>
  <c r="O20" i="1"/>
  <c r="P20" i="1"/>
  <c r="Q20" i="1"/>
  <c r="AW20" i="1" s="1"/>
  <c r="T20" i="1"/>
  <c r="U20" i="1"/>
  <c r="V20" i="1"/>
  <c r="X20" i="1"/>
  <c r="Z20" i="1" s="1"/>
  <c r="Y20" i="1"/>
  <c r="AA20" i="1"/>
  <c r="AD20" i="1"/>
  <c r="AF20" i="1"/>
  <c r="AG20" i="1"/>
  <c r="AH20" i="1"/>
  <c r="AJ20" i="1"/>
  <c r="AL20" i="1" s="1"/>
  <c r="AK20" i="1"/>
  <c r="AM20" i="1"/>
  <c r="AN20" i="1"/>
  <c r="AO20" i="1"/>
  <c r="AT20" i="1"/>
  <c r="AU20" i="1"/>
  <c r="BD20" i="1" s="1"/>
  <c r="BA20" i="1"/>
  <c r="BB20" i="1"/>
  <c r="BC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21" i="1"/>
  <c r="H21" i="1"/>
  <c r="I21" i="1"/>
  <c r="K21" i="1"/>
  <c r="N21" i="1"/>
  <c r="P21" i="1" s="1"/>
  <c r="O21" i="1"/>
  <c r="T21" i="1"/>
  <c r="U21" i="1"/>
  <c r="V21" i="1"/>
  <c r="W21" i="1"/>
  <c r="X21" i="1"/>
  <c r="Y21" i="1"/>
  <c r="Z21" i="1"/>
  <c r="AA21" i="1"/>
  <c r="AD21" i="1"/>
  <c r="BC21" i="1" s="1"/>
  <c r="AG21" i="1"/>
  <c r="AH21" i="1"/>
  <c r="AI21" i="1"/>
  <c r="AJ21" i="1"/>
  <c r="AM21" i="1"/>
  <c r="AY21" i="1" s="1"/>
  <c r="AN21" i="1"/>
  <c r="AT21" i="1"/>
  <c r="AU21" i="1"/>
  <c r="BD21" i="1"/>
  <c r="G22" i="1"/>
  <c r="K22" i="1" s="1"/>
  <c r="I22" i="1"/>
  <c r="V22" i="1" s="1"/>
  <c r="L22" i="1"/>
  <c r="O22" i="1"/>
  <c r="T22" i="1"/>
  <c r="X22" i="1"/>
  <c r="Z22" i="1" s="1"/>
  <c r="Y22" i="1"/>
  <c r="AA22" i="1"/>
  <c r="AD22" i="1"/>
  <c r="AF22" i="1"/>
  <c r="AG22" i="1"/>
  <c r="AI22" i="1" s="1"/>
  <c r="AH22" i="1"/>
  <c r="AJ22" i="1"/>
  <c r="AK22" i="1"/>
  <c r="AL22" i="1"/>
  <c r="AM22" i="1"/>
  <c r="AN22" i="1"/>
  <c r="AO22" i="1" s="1"/>
  <c r="AT22" i="1"/>
  <c r="AU22" i="1" s="1"/>
  <c r="BD22" i="1" s="1"/>
  <c r="BA22" i="1"/>
  <c r="BB22" i="1"/>
  <c r="BC22" i="1"/>
  <c r="G23" i="1"/>
  <c r="H23" i="1"/>
  <c r="I23" i="1"/>
  <c r="K23" i="1"/>
  <c r="O23" i="1"/>
  <c r="T23" i="1"/>
  <c r="U23" i="1"/>
  <c r="AY23" i="1" s="1"/>
  <c r="V23" i="1"/>
  <c r="W23" i="1"/>
  <c r="X23" i="1"/>
  <c r="Y23" i="1"/>
  <c r="Z23" i="1"/>
  <c r="AA23" i="1"/>
  <c r="AD23" i="1"/>
  <c r="AG23" i="1"/>
  <c r="AJ23" i="1"/>
  <c r="AM23" i="1"/>
  <c r="AO23" i="1" s="1"/>
  <c r="AN23" i="1"/>
  <c r="AT23" i="1"/>
  <c r="AU23" i="1"/>
  <c r="BA23" i="1"/>
  <c r="BD23" i="1"/>
  <c r="G24" i="1"/>
  <c r="H24" i="1" s="1"/>
  <c r="I24" i="1"/>
  <c r="K24" i="1"/>
  <c r="L24" i="1"/>
  <c r="O24" i="1"/>
  <c r="T24" i="1"/>
  <c r="W24" i="1" s="1"/>
  <c r="V24" i="1"/>
  <c r="X24" i="1"/>
  <c r="Z24" i="1" s="1"/>
  <c r="Y24" i="1"/>
  <c r="AA24" i="1"/>
  <c r="AD24" i="1"/>
  <c r="AF24" i="1"/>
  <c r="AG24" i="1"/>
  <c r="AH24" i="1"/>
  <c r="AJ24" i="1"/>
  <c r="AL24" i="1" s="1"/>
  <c r="AK24" i="1"/>
  <c r="AM24" i="1"/>
  <c r="AN24" i="1"/>
  <c r="AO24" i="1"/>
  <c r="AT24" i="1"/>
  <c r="AU24" i="1" s="1"/>
  <c r="BD24" i="1" s="1"/>
  <c r="BA24" i="1"/>
  <c r="BB24" i="1"/>
  <c r="BC24" i="1"/>
  <c r="G25" i="1"/>
  <c r="H25" i="1"/>
  <c r="I25" i="1"/>
  <c r="K25" i="1"/>
  <c r="N25" i="1"/>
  <c r="P25" i="1" s="1"/>
  <c r="O25" i="1"/>
  <c r="T25" i="1"/>
  <c r="U25" i="1"/>
  <c r="X25" i="1"/>
  <c r="Y25" i="1"/>
  <c r="Z25" i="1"/>
  <c r="AA25" i="1"/>
  <c r="AD25" i="1"/>
  <c r="AG25" i="1"/>
  <c r="AJ25" i="1"/>
  <c r="AP25" i="1" s="1"/>
  <c r="AM25" i="1"/>
  <c r="AT25" i="1"/>
  <c r="AU25" i="1"/>
  <c r="BD25" i="1" s="1"/>
  <c r="BA25" i="1"/>
  <c r="G26" i="1"/>
  <c r="K26" i="1" s="1"/>
  <c r="H26" i="1"/>
  <c r="I26" i="1"/>
  <c r="V26" i="1" s="1"/>
  <c r="L26" i="1"/>
  <c r="O26" i="1"/>
  <c r="T26" i="1"/>
  <c r="U26" i="1"/>
  <c r="W26" i="1"/>
  <c r="Y26" i="1"/>
  <c r="AA26" i="1"/>
  <c r="AB26" i="1" s="1"/>
  <c r="AD26" i="1"/>
  <c r="AF26" i="1"/>
  <c r="AG26" i="1"/>
  <c r="AH26" i="1"/>
  <c r="AI26" i="1"/>
  <c r="AJ26" i="1"/>
  <c r="AL26" i="1" s="1"/>
  <c r="AK26" i="1"/>
  <c r="AM26" i="1"/>
  <c r="AN26" i="1"/>
  <c r="AO26" i="1" s="1"/>
  <c r="AT26" i="1"/>
  <c r="AU26" i="1" s="1"/>
  <c r="BD26" i="1" s="1"/>
  <c r="AZ26" i="1"/>
  <c r="BA26" i="1"/>
  <c r="BB26" i="1"/>
  <c r="BC26" i="1"/>
  <c r="G27" i="1"/>
  <c r="H27" i="1"/>
  <c r="I27" i="1"/>
  <c r="K27" i="1"/>
  <c r="O27" i="1"/>
  <c r="T27" i="1"/>
  <c r="U27" i="1"/>
  <c r="AY27" i="1" s="1"/>
  <c r="V27" i="1"/>
  <c r="W27" i="1"/>
  <c r="X27" i="1"/>
  <c r="Y27" i="1"/>
  <c r="Z27" i="1"/>
  <c r="AA27" i="1"/>
  <c r="AD27" i="1"/>
  <c r="BC27" i="1" s="1"/>
  <c r="AF27" i="1"/>
  <c r="BB27" i="1" s="1"/>
  <c r="AG27" i="1"/>
  <c r="AJ27" i="1"/>
  <c r="AM27" i="1"/>
  <c r="AP27" i="1"/>
  <c r="AT27" i="1"/>
  <c r="AU27" i="1"/>
  <c r="BD27" i="1"/>
  <c r="G28" i="1"/>
  <c r="I28" i="1"/>
  <c r="L28" i="1"/>
  <c r="O28" i="1"/>
  <c r="T28" i="1"/>
  <c r="X28" i="1" s="1"/>
  <c r="Z28" i="1" s="1"/>
  <c r="U28" i="1"/>
  <c r="V28" i="1"/>
  <c r="W28" i="1"/>
  <c r="Y28" i="1"/>
  <c r="AA28" i="1"/>
  <c r="AD28" i="1"/>
  <c r="BC28" i="1" s="1"/>
  <c r="AF28" i="1"/>
  <c r="BB28" i="1" s="1"/>
  <c r="AG28" i="1"/>
  <c r="AH28" i="1"/>
  <c r="AJ28" i="1"/>
  <c r="AL28" i="1" s="1"/>
  <c r="AK28" i="1"/>
  <c r="AM28" i="1"/>
  <c r="AN28" i="1"/>
  <c r="AO28" i="1"/>
  <c r="AP28" i="1"/>
  <c r="AT28" i="1"/>
  <c r="AU28" i="1" s="1"/>
  <c r="BD28" i="1" s="1"/>
  <c r="BA28" i="1"/>
  <c r="G29" i="1"/>
  <c r="H29" i="1"/>
  <c r="I29" i="1"/>
  <c r="K29" i="1"/>
  <c r="N29" i="1"/>
  <c r="O29" i="1"/>
  <c r="T29" i="1"/>
  <c r="X29" i="1" s="1"/>
  <c r="AY29" i="1" s="1"/>
  <c r="U29" i="1"/>
  <c r="W29" i="1"/>
  <c r="Y29" i="1"/>
  <c r="Z29" i="1"/>
  <c r="AA29" i="1"/>
  <c r="AD29" i="1"/>
  <c r="AF29" i="1" s="1"/>
  <c r="BB29" i="1" s="1"/>
  <c r="AG29" i="1"/>
  <c r="AH29" i="1"/>
  <c r="AI29" i="1"/>
  <c r="AJ29" i="1"/>
  <c r="AL29" i="1" s="1"/>
  <c r="AK29" i="1"/>
  <c r="AM29" i="1"/>
  <c r="AP29" i="1"/>
  <c r="AT29" i="1"/>
  <c r="AU29" i="1"/>
  <c r="BA29" i="1"/>
  <c r="BC29" i="1"/>
  <c r="BD29" i="1"/>
  <c r="G30" i="1"/>
  <c r="H30" i="1"/>
  <c r="I30" i="1"/>
  <c r="K30" i="1"/>
  <c r="O30" i="1"/>
  <c r="T30" i="1"/>
  <c r="U30" i="1"/>
  <c r="W30" i="1"/>
  <c r="Y30" i="1"/>
  <c r="AA30" i="1"/>
  <c r="BA30" i="1" s="1"/>
  <c r="AD30" i="1"/>
  <c r="AF30" i="1"/>
  <c r="BB30" i="1" s="1"/>
  <c r="AG30" i="1"/>
  <c r="AJ30" i="1"/>
  <c r="AM30" i="1"/>
  <c r="AN30" i="1"/>
  <c r="AO30" i="1"/>
  <c r="AT30" i="1"/>
  <c r="AU30" i="1" s="1"/>
  <c r="BD30" i="1" s="1"/>
  <c r="BC30" i="1"/>
  <c r="G31" i="1"/>
  <c r="K31" i="1" s="1"/>
  <c r="H31" i="1"/>
  <c r="I31" i="1"/>
  <c r="O31" i="1"/>
  <c r="T31" i="1"/>
  <c r="U31" i="1"/>
  <c r="V31" i="1"/>
  <c r="W31" i="1"/>
  <c r="X31" i="1"/>
  <c r="Y31" i="1"/>
  <c r="AA31" i="1"/>
  <c r="AB31" i="1" s="1"/>
  <c r="AZ31" i="1" s="1"/>
  <c r="AD31" i="1"/>
  <c r="AF31" i="1"/>
  <c r="BB31" i="1" s="1"/>
  <c r="AG31" i="1"/>
  <c r="AH31" i="1"/>
  <c r="AJ31" i="1"/>
  <c r="AM31" i="1"/>
  <c r="AO31" i="1" s="1"/>
  <c r="AN31" i="1"/>
  <c r="AT31" i="1"/>
  <c r="AU31" i="1"/>
  <c r="BA31" i="1"/>
  <c r="BC31" i="1"/>
  <c r="BD31" i="1"/>
  <c r="G32" i="1"/>
  <c r="H32" i="1" s="1"/>
  <c r="I32" i="1"/>
  <c r="K32" i="1"/>
  <c r="L32" i="1"/>
  <c r="O32" i="1"/>
  <c r="T32" i="1"/>
  <c r="U32" i="1"/>
  <c r="AY32" i="1" s="1"/>
  <c r="V32" i="1"/>
  <c r="X32" i="1"/>
  <c r="Z32" i="1" s="1"/>
  <c r="Y32" i="1"/>
  <c r="AA32" i="1"/>
  <c r="AD32" i="1"/>
  <c r="AG32" i="1"/>
  <c r="AI32" i="1" s="1"/>
  <c r="AH32" i="1"/>
  <c r="AJ32" i="1"/>
  <c r="AL32" i="1" s="1"/>
  <c r="AK32" i="1"/>
  <c r="AM32" i="1"/>
  <c r="AN32" i="1"/>
  <c r="AT32" i="1"/>
  <c r="AU32" i="1"/>
  <c r="BD32" i="1" s="1"/>
  <c r="BA32" i="1"/>
  <c r="G33" i="1"/>
  <c r="H33" i="1"/>
  <c r="I33" i="1"/>
  <c r="K33" i="1"/>
  <c r="N33" i="1"/>
  <c r="P33" i="1" s="1"/>
  <c r="O33" i="1"/>
  <c r="T33" i="1"/>
  <c r="U33" i="1"/>
  <c r="V33" i="1"/>
  <c r="X33" i="1"/>
  <c r="Y33" i="1"/>
  <c r="Z33" i="1"/>
  <c r="AA33" i="1"/>
  <c r="BA33" i="1" s="1"/>
  <c r="AB33" i="1"/>
  <c r="AD33" i="1"/>
  <c r="AF33" i="1" s="1"/>
  <c r="AG33" i="1"/>
  <c r="AH33" i="1"/>
  <c r="AI33" i="1" s="1"/>
  <c r="AJ33" i="1"/>
  <c r="AK33" i="1"/>
  <c r="AL33" i="1" s="1"/>
  <c r="AM33" i="1"/>
  <c r="AP33" i="1"/>
  <c r="AT33" i="1"/>
  <c r="AU33" i="1"/>
  <c r="BD33" i="1" s="1"/>
  <c r="AY33" i="1"/>
  <c r="BB33" i="1"/>
  <c r="BC33" i="1"/>
  <c r="G34" i="1"/>
  <c r="I34" i="1"/>
  <c r="V34" i="1" s="1"/>
  <c r="L34" i="1"/>
  <c r="O34" i="1"/>
  <c r="T34" i="1"/>
  <c r="U34" i="1" s="1"/>
  <c r="W34" i="1"/>
  <c r="X34" i="1"/>
  <c r="Y34" i="1"/>
  <c r="AA34" i="1"/>
  <c r="AB34" i="1"/>
  <c r="AZ34" i="1" s="1"/>
  <c r="AD34" i="1"/>
  <c r="AF34" i="1"/>
  <c r="AG34" i="1"/>
  <c r="AH34" i="1"/>
  <c r="AI34" i="1" s="1"/>
  <c r="AJ34" i="1"/>
  <c r="AM34" i="1"/>
  <c r="AN34" i="1"/>
  <c r="AO34" i="1" s="1"/>
  <c r="AP34" i="1"/>
  <c r="AT34" i="1"/>
  <c r="AU34" i="1" s="1"/>
  <c r="BD34" i="1" s="1"/>
  <c r="AY34" i="1"/>
  <c r="BA34" i="1"/>
  <c r="BB34" i="1"/>
  <c r="BC34" i="1"/>
  <c r="G35" i="1"/>
  <c r="I35" i="1"/>
  <c r="AH35" i="1" s="1"/>
  <c r="O35" i="1"/>
  <c r="T35" i="1"/>
  <c r="U35" i="1"/>
  <c r="V35" i="1"/>
  <c r="W35" i="1" s="1"/>
  <c r="X35" i="1"/>
  <c r="Y35" i="1"/>
  <c r="Z35" i="1"/>
  <c r="AA35" i="1"/>
  <c r="AD35" i="1"/>
  <c r="BC35" i="1" s="1"/>
  <c r="AF35" i="1"/>
  <c r="BB35" i="1" s="1"/>
  <c r="AG35" i="1"/>
  <c r="AJ35" i="1"/>
  <c r="AM35" i="1"/>
  <c r="AN35" i="1"/>
  <c r="AO35" i="1"/>
  <c r="AT35" i="1"/>
  <c r="AU35" i="1"/>
  <c r="BD35" i="1" s="1"/>
  <c r="BA35" i="1"/>
  <c r="G36" i="1"/>
  <c r="I36" i="1"/>
  <c r="AH36" i="1" s="1"/>
  <c r="L36" i="1"/>
  <c r="O36" i="1"/>
  <c r="T36" i="1"/>
  <c r="V36" i="1"/>
  <c r="W36" i="1"/>
  <c r="X36" i="1"/>
  <c r="Z36" i="1" s="1"/>
  <c r="Y36" i="1"/>
  <c r="AA36" i="1"/>
  <c r="AB36" i="1"/>
  <c r="AD36" i="1"/>
  <c r="AF36" i="1"/>
  <c r="AG36" i="1"/>
  <c r="AJ36" i="1"/>
  <c r="AK36" i="1"/>
  <c r="AL36" i="1"/>
  <c r="AM36" i="1"/>
  <c r="AO36" i="1" s="1"/>
  <c r="AN36" i="1"/>
  <c r="AT36" i="1"/>
  <c r="AU36" i="1"/>
  <c r="BA36" i="1"/>
  <c r="BB36" i="1"/>
  <c r="BC36" i="1"/>
  <c r="BD36" i="1"/>
  <c r="G37" i="1"/>
  <c r="H37" i="1"/>
  <c r="I37" i="1"/>
  <c r="K37" i="1"/>
  <c r="N37" i="1"/>
  <c r="P37" i="1" s="1"/>
  <c r="O37" i="1"/>
  <c r="T37" i="1"/>
  <c r="U37" i="1"/>
  <c r="AY37" i="1" s="1"/>
  <c r="V37" i="1"/>
  <c r="X37" i="1"/>
  <c r="Z37" i="1" s="1"/>
  <c r="Y37" i="1"/>
  <c r="AA37" i="1"/>
  <c r="AB37" i="1" s="1"/>
  <c r="AZ37" i="1" s="1"/>
  <c r="AD37" i="1"/>
  <c r="AF37" i="1" s="1"/>
  <c r="BB37" i="1" s="1"/>
  <c r="AG37" i="1"/>
  <c r="AH37" i="1"/>
  <c r="AJ37" i="1"/>
  <c r="AK37" i="1"/>
  <c r="AL37" i="1"/>
  <c r="AM37" i="1"/>
  <c r="AT37" i="1"/>
  <c r="AU37" i="1"/>
  <c r="BD37" i="1"/>
  <c r="G38" i="1"/>
  <c r="K38" i="1" s="1"/>
  <c r="H38" i="1"/>
  <c r="I38" i="1"/>
  <c r="O38" i="1"/>
  <c r="T38" i="1"/>
  <c r="U38" i="1"/>
  <c r="W38" i="1"/>
  <c r="X38" i="1"/>
  <c r="Y38" i="1"/>
  <c r="Z38" i="1"/>
  <c r="AA38" i="1"/>
  <c r="AB38" i="1" s="1"/>
  <c r="AZ38" i="1" s="1"/>
  <c r="AD38" i="1"/>
  <c r="BC38" i="1" s="1"/>
  <c r="AF38" i="1"/>
  <c r="BB38" i="1" s="1"/>
  <c r="AG38" i="1"/>
  <c r="AJ38" i="1"/>
  <c r="AM38" i="1"/>
  <c r="AN38" i="1"/>
  <c r="AT38" i="1"/>
  <c r="AU38" i="1"/>
  <c r="BA38" i="1"/>
  <c r="BD38" i="1"/>
  <c r="G39" i="1"/>
  <c r="K39" i="1" s="1"/>
  <c r="H39" i="1"/>
  <c r="I39" i="1"/>
  <c r="N39" i="1"/>
  <c r="P39" i="1" s="1"/>
  <c r="O39" i="1"/>
  <c r="Q39" i="1"/>
  <c r="AW39" i="1" s="1"/>
  <c r="T39" i="1"/>
  <c r="U39" i="1"/>
  <c r="W39" i="1"/>
  <c r="X39" i="1"/>
  <c r="Y39" i="1"/>
  <c r="Z39" i="1"/>
  <c r="AA39" i="1"/>
  <c r="AD39" i="1"/>
  <c r="AF39" i="1" s="1"/>
  <c r="BB39" i="1" s="1"/>
  <c r="AG39" i="1"/>
  <c r="AJ39" i="1"/>
  <c r="AM39" i="1"/>
  <c r="AP39" i="1"/>
  <c r="AT39" i="1"/>
  <c r="AU39" i="1"/>
  <c r="AY39" i="1"/>
  <c r="BA39" i="1"/>
  <c r="BD39" i="1"/>
  <c r="G40" i="1"/>
  <c r="I40" i="1"/>
  <c r="L40" i="1"/>
  <c r="O40" i="1"/>
  <c r="T40" i="1"/>
  <c r="X40" i="1" s="1"/>
  <c r="U40" i="1"/>
  <c r="V40" i="1"/>
  <c r="W40" i="1"/>
  <c r="Y40" i="1"/>
  <c r="AA40" i="1"/>
  <c r="BA40" i="1" s="1"/>
  <c r="AB40" i="1"/>
  <c r="AD40" i="1"/>
  <c r="AF40" i="1"/>
  <c r="BB40" i="1" s="1"/>
  <c r="AG40" i="1"/>
  <c r="AI40" i="1" s="1"/>
  <c r="AH40" i="1"/>
  <c r="AJ40" i="1"/>
  <c r="AK40" i="1"/>
  <c r="AL40" i="1"/>
  <c r="AM40" i="1"/>
  <c r="AN40" i="1"/>
  <c r="AO40" i="1"/>
  <c r="AP40" i="1"/>
  <c r="AT40" i="1"/>
  <c r="AU40" i="1" s="1"/>
  <c r="BD40" i="1" s="1"/>
  <c r="AZ40" i="1"/>
  <c r="BC40" i="1"/>
  <c r="B41" i="1"/>
  <c r="C41" i="1"/>
  <c r="D41" i="1"/>
  <c r="E41" i="1"/>
  <c r="F41" i="1"/>
  <c r="AS41" i="1"/>
  <c r="W44" i="1"/>
  <c r="AM45" i="1"/>
  <c r="B24" i="2"/>
  <c r="E24" i="2"/>
  <c r="H48" i="2" s="1"/>
  <c r="Z40" i="1" l="1"/>
  <c r="AY40" i="1"/>
  <c r="Q32" i="1"/>
  <c r="AW32" i="1" s="1"/>
  <c r="M32" i="1"/>
  <c r="S32" i="1" s="1"/>
  <c r="N32" i="1"/>
  <c r="P32" i="1" s="1"/>
  <c r="K40" i="1"/>
  <c r="H40" i="1"/>
  <c r="AK39" i="1"/>
  <c r="AL39" i="1" s="1"/>
  <c r="AX39" i="1" s="1"/>
  <c r="AN39" i="1"/>
  <c r="L39" i="1"/>
  <c r="AH39" i="1"/>
  <c r="AI39" i="1" s="1"/>
  <c r="AI13" i="1"/>
  <c r="AG41" i="1"/>
  <c r="AG42" i="1" s="1"/>
  <c r="BD41" i="1"/>
  <c r="V39" i="1"/>
  <c r="M39" i="1"/>
  <c r="S39" i="1" s="1"/>
  <c r="L38" i="1"/>
  <c r="AH38" i="1"/>
  <c r="AI38" i="1" s="1"/>
  <c r="AK38" i="1"/>
  <c r="AL38" i="1" s="1"/>
  <c r="V38" i="1"/>
  <c r="AI36" i="1"/>
  <c r="AX15" i="1"/>
  <c r="AR15" i="1"/>
  <c r="AQ15" i="1" s="1"/>
  <c r="K35" i="1"/>
  <c r="H35" i="1"/>
  <c r="K34" i="1"/>
  <c r="H34" i="1"/>
  <c r="AC38" i="1"/>
  <c r="AX36" i="1"/>
  <c r="AR36" i="1"/>
  <c r="AC35" i="1"/>
  <c r="AC33" i="1"/>
  <c r="AZ33" i="1"/>
  <c r="AC24" i="1"/>
  <c r="U22" i="1"/>
  <c r="AY22" i="1" s="1"/>
  <c r="W22" i="1"/>
  <c r="AP22" i="1"/>
  <c r="T41" i="1"/>
  <c r="V41" i="1" s="1"/>
  <c r="AZ36" i="1"/>
  <c r="AC36" i="1"/>
  <c r="AC39" i="1"/>
  <c r="BA37" i="1"/>
  <c r="AO32" i="1"/>
  <c r="L11" i="1"/>
  <c r="AH11" i="1"/>
  <c r="AI11" i="1" s="1"/>
  <c r="AK11" i="1"/>
  <c r="AL11" i="1" s="1"/>
  <c r="V11" i="1"/>
  <c r="AN11" i="1"/>
  <c r="H36" i="1"/>
  <c r="K36" i="1"/>
  <c r="AI35" i="1"/>
  <c r="AX35" i="1" s="1"/>
  <c r="AP35" i="1"/>
  <c r="AY35" i="1"/>
  <c r="X26" i="1"/>
  <c r="AP26" i="1"/>
  <c r="K12" i="1"/>
  <c r="H12" i="1"/>
  <c r="AI37" i="1"/>
  <c r="AP32" i="1"/>
  <c r="W32" i="1"/>
  <c r="AF32" i="1"/>
  <c r="BB32" i="1" s="1"/>
  <c r="BC32" i="1"/>
  <c r="V30" i="1"/>
  <c r="AH30" i="1"/>
  <c r="AI30" i="1" s="1"/>
  <c r="AK30" i="1"/>
  <c r="AL30" i="1" s="1"/>
  <c r="L30" i="1"/>
  <c r="BC23" i="1"/>
  <c r="AF23" i="1"/>
  <c r="BB23" i="1" s="1"/>
  <c r="AC21" i="1"/>
  <c r="U13" i="1"/>
  <c r="AY13" i="1" s="1"/>
  <c r="AP13" i="1"/>
  <c r="W13" i="1"/>
  <c r="AZ10" i="1"/>
  <c r="W16" i="1"/>
  <c r="G41" i="1"/>
  <c r="AI31" i="1"/>
  <c r="Q31" i="1"/>
  <c r="AW31" i="1" s="1"/>
  <c r="M30" i="1"/>
  <c r="S30" i="1" s="1"/>
  <c r="N30" i="1"/>
  <c r="P30" i="1" s="1"/>
  <c r="AY25" i="1"/>
  <c r="N24" i="1"/>
  <c r="P24" i="1" s="1"/>
  <c r="Q24" i="1"/>
  <c r="AW24" i="1" s="1"/>
  <c r="M24" i="1"/>
  <c r="AB21" i="1"/>
  <c r="AZ21" i="1" s="1"/>
  <c r="BA21" i="1"/>
  <c r="BC39" i="1"/>
  <c r="M38" i="1"/>
  <c r="Q33" i="1"/>
  <c r="AW33" i="1" s="1"/>
  <c r="AM41" i="1"/>
  <c r="AM42" i="1" s="1"/>
  <c r="AO39" i="1"/>
  <c r="AP37" i="1"/>
  <c r="Z34" i="1"/>
  <c r="AN33" i="1"/>
  <c r="AO33" i="1" s="1"/>
  <c r="L33" i="1"/>
  <c r="M33" i="1" s="1"/>
  <c r="S33" i="1" s="1"/>
  <c r="AP31" i="1"/>
  <c r="BC25" i="1"/>
  <c r="AF25" i="1"/>
  <c r="BB25" i="1" s="1"/>
  <c r="AC20" i="1"/>
  <c r="W12" i="1"/>
  <c r="AP12" i="1"/>
  <c r="H10" i="1"/>
  <c r="K10" i="1"/>
  <c r="X30" i="1"/>
  <c r="AP30" i="1"/>
  <c r="P29" i="1"/>
  <c r="Q29" i="1"/>
  <c r="AW29" i="1" s="1"/>
  <c r="AR28" i="1"/>
  <c r="AQ28" i="1" s="1"/>
  <c r="AC27" i="1"/>
  <c r="U24" i="1"/>
  <c r="AY24" i="1" s="1"/>
  <c r="AP24" i="1"/>
  <c r="Q21" i="1"/>
  <c r="AW21" i="1" s="1"/>
  <c r="AO38" i="1"/>
  <c r="AC37" i="1"/>
  <c r="Q37" i="1"/>
  <c r="AW37" i="1" s="1"/>
  <c r="AP36" i="1"/>
  <c r="U36" i="1"/>
  <c r="AY36" i="1" s="1"/>
  <c r="N31" i="1"/>
  <c r="P31" i="1" s="1"/>
  <c r="Q30" i="1"/>
  <c r="AW30" i="1" s="1"/>
  <c r="H28" i="1"/>
  <c r="K28" i="1"/>
  <c r="AO27" i="1"/>
  <c r="N27" i="1"/>
  <c r="P27" i="1" s="1"/>
  <c r="N26" i="1"/>
  <c r="P26" i="1" s="1"/>
  <c r="M26" i="1"/>
  <c r="S26" i="1" s="1"/>
  <c r="Q26" i="1"/>
  <c r="AW26" i="1" s="1"/>
  <c r="L25" i="1"/>
  <c r="M25" i="1" s="1"/>
  <c r="S25" i="1" s="1"/>
  <c r="AK25" i="1"/>
  <c r="AL25" i="1" s="1"/>
  <c r="AH25" i="1"/>
  <c r="AI25" i="1" s="1"/>
  <c r="AN25" i="1"/>
  <c r="V25" i="1"/>
  <c r="W25" i="1" s="1"/>
  <c r="AB19" i="1"/>
  <c r="AZ19" i="1" s="1"/>
  <c r="BA19" i="1"/>
  <c r="M19" i="1"/>
  <c r="S19" i="1" s="1"/>
  <c r="N19" i="1"/>
  <c r="P19" i="1" s="1"/>
  <c r="H13" i="1"/>
  <c r="K13" i="1"/>
  <c r="AU41" i="1"/>
  <c r="AT41" i="1" s="1"/>
  <c r="AD41" i="1"/>
  <c r="AR39" i="1"/>
  <c r="AQ39" i="1" s="1"/>
  <c r="AP38" i="1"/>
  <c r="AY38" i="1"/>
  <c r="N38" i="1"/>
  <c r="P38" i="1" s="1"/>
  <c r="AN37" i="1"/>
  <c r="AO37" i="1" s="1"/>
  <c r="L37" i="1"/>
  <c r="M37" i="1" s="1"/>
  <c r="S37" i="1" s="1"/>
  <c r="AY31" i="1"/>
  <c r="Z31" i="1"/>
  <c r="AC31" i="1" s="1"/>
  <c r="AY28" i="1"/>
  <c r="L27" i="1"/>
  <c r="M27" i="1" s="1"/>
  <c r="S27" i="1" s="1"/>
  <c r="AK27" i="1"/>
  <c r="AL27" i="1" s="1"/>
  <c r="AH27" i="1"/>
  <c r="AI27" i="1" s="1"/>
  <c r="AN27" i="1"/>
  <c r="AY26" i="1"/>
  <c r="BA13" i="1"/>
  <c r="BA41" i="1" s="1"/>
  <c r="AA41" i="1"/>
  <c r="AB13" i="1"/>
  <c r="AZ13" i="1" s="1"/>
  <c r="R18" i="1"/>
  <c r="AV18" i="1"/>
  <c r="BE18" i="1" s="1"/>
  <c r="N16" i="1"/>
  <c r="AB11" i="1"/>
  <c r="AZ11" i="1" s="1"/>
  <c r="AB15" i="1"/>
  <c r="AZ15" i="1" s="1"/>
  <c r="AB16" i="1"/>
  <c r="AZ16" i="1" s="1"/>
  <c r="AB17" i="1"/>
  <c r="AZ17" i="1" s="1"/>
  <c r="AB35" i="1"/>
  <c r="AZ35" i="1" s="1"/>
  <c r="AB39" i="1"/>
  <c r="AZ39" i="1" s="1"/>
  <c r="AL34" i="1"/>
  <c r="L31" i="1"/>
  <c r="M31" i="1" s="1"/>
  <c r="S31" i="1" s="1"/>
  <c r="AK31" i="1"/>
  <c r="AL31" i="1" s="1"/>
  <c r="L29" i="1"/>
  <c r="V29" i="1"/>
  <c r="AN29" i="1"/>
  <c r="AO29" i="1" s="1"/>
  <c r="AR29" i="1" s="1"/>
  <c r="AQ29" i="1" s="1"/>
  <c r="AB28" i="1"/>
  <c r="AZ28" i="1" s="1"/>
  <c r="AO25" i="1"/>
  <c r="AH23" i="1"/>
  <c r="AI23" i="1" s="1"/>
  <c r="AR23" i="1" s="1"/>
  <c r="AQ23" i="1" s="1"/>
  <c r="L23" i="1"/>
  <c r="M23" i="1" s="1"/>
  <c r="AK23" i="1"/>
  <c r="AL23" i="1" s="1"/>
  <c r="AL21" i="1"/>
  <c r="AP21" i="1"/>
  <c r="S20" i="1"/>
  <c r="AP10" i="1"/>
  <c r="U10" i="1"/>
  <c r="L35" i="1"/>
  <c r="AK35" i="1"/>
  <c r="AL35" i="1" s="1"/>
  <c r="AB30" i="1"/>
  <c r="AZ30" i="1" s="1"/>
  <c r="AB29" i="1"/>
  <c r="AB24" i="1"/>
  <c r="AZ24" i="1" s="1"/>
  <c r="AB23" i="1"/>
  <c r="H22" i="1"/>
  <c r="AY20" i="1"/>
  <c r="AH17" i="1"/>
  <c r="AI17" i="1" s="1"/>
  <c r="AK17" i="1"/>
  <c r="L17" i="1"/>
  <c r="M17" i="1" s="1"/>
  <c r="S17" i="1" s="1"/>
  <c r="AN17" i="1"/>
  <c r="M11" i="1"/>
  <c r="N11" i="1"/>
  <c r="P11" i="1" s="1"/>
  <c r="AJ41" i="1"/>
  <c r="AJ42" i="1" s="1"/>
  <c r="W37" i="1"/>
  <c r="W33" i="1"/>
  <c r="AI28" i="1"/>
  <c r="AX28" i="1" s="1"/>
  <c r="AB27" i="1"/>
  <c r="AZ27" i="1" s="1"/>
  <c r="BA27" i="1"/>
  <c r="Q25" i="1"/>
  <c r="AW25" i="1" s="1"/>
  <c r="N22" i="1"/>
  <c r="M22" i="1"/>
  <c r="W20" i="1"/>
  <c r="AP20" i="1"/>
  <c r="AB18" i="1"/>
  <c r="AP17" i="1"/>
  <c r="AL17" i="1"/>
  <c r="AY17" i="1"/>
  <c r="AH16" i="1"/>
  <c r="AI16" i="1" s="1"/>
  <c r="L16" i="1"/>
  <c r="M16" i="1" s="1"/>
  <c r="AK16" i="1"/>
  <c r="AL16" i="1" s="1"/>
  <c r="AB14" i="1"/>
  <c r="AZ14" i="1" s="1"/>
  <c r="AH19" i="1"/>
  <c r="AI19" i="1" s="1"/>
  <c r="L19" i="1"/>
  <c r="AK19" i="1"/>
  <c r="W11" i="1"/>
  <c r="AR10" i="1"/>
  <c r="BC37" i="1"/>
  <c r="AK34" i="1"/>
  <c r="AB32" i="1"/>
  <c r="AZ32" i="1" s="1"/>
  <c r="AX29" i="1"/>
  <c r="M29" i="1"/>
  <c r="S29" i="1" s="1"/>
  <c r="AB25" i="1"/>
  <c r="AI24" i="1"/>
  <c r="AR24" i="1" s="1"/>
  <c r="AQ24" i="1" s="1"/>
  <c r="AX23" i="1"/>
  <c r="N23" i="1"/>
  <c r="P23" i="1" s="1"/>
  <c r="AB22" i="1"/>
  <c r="AO21" i="1"/>
  <c r="AR21" i="1" s="1"/>
  <c r="AQ21" i="1" s="1"/>
  <c r="AB20" i="1"/>
  <c r="AZ20" i="1" s="1"/>
  <c r="V19" i="1"/>
  <c r="W19" i="1" s="1"/>
  <c r="BC17" i="1"/>
  <c r="AF17" i="1"/>
  <c r="BB17" i="1" s="1"/>
  <c r="BB41" i="1" s="1"/>
  <c r="V16" i="1"/>
  <c r="Q15" i="1"/>
  <c r="AW15" i="1" s="1"/>
  <c r="AI10" i="1"/>
  <c r="AP23" i="1"/>
  <c r="AF21" i="1"/>
  <c r="BB21" i="1" s="1"/>
  <c r="L21" i="1"/>
  <c r="M21" i="1" s="1"/>
  <c r="S21" i="1" s="1"/>
  <c r="AK21" i="1"/>
  <c r="AF19" i="1"/>
  <c r="BB19" i="1" s="1"/>
  <c r="AY19" i="1"/>
  <c r="AL14" i="1"/>
  <c r="Q14" i="1"/>
  <c r="AW14" i="1" s="1"/>
  <c r="AO11" i="1"/>
  <c r="AO17" i="1"/>
  <c r="AH15" i="1"/>
  <c r="AI15" i="1" s="1"/>
  <c r="L15" i="1"/>
  <c r="M15" i="1" s="1"/>
  <c r="S15" i="1" s="1"/>
  <c r="AP14" i="1"/>
  <c r="L14" i="1"/>
  <c r="M14" i="1" s="1"/>
  <c r="S14" i="1" s="1"/>
  <c r="AH14" i="1"/>
  <c r="AI14" i="1" s="1"/>
  <c r="AC10" i="1"/>
  <c r="AI20" i="1"/>
  <c r="AL19" i="1"/>
  <c r="AP19" i="1"/>
  <c r="AR18" i="1"/>
  <c r="AQ18" i="1" s="1"/>
  <c r="W17" i="1"/>
  <c r="AN14" i="1"/>
  <c r="AO14" i="1" s="1"/>
  <c r="AP16" i="1"/>
  <c r="AP15" i="1"/>
  <c r="AN13" i="1"/>
  <c r="AO13" i="1" s="1"/>
  <c r="AP11" i="1"/>
  <c r="AV31" i="1" l="1"/>
  <c r="BE31" i="1" s="1"/>
  <c r="R31" i="1"/>
  <c r="AX27" i="1"/>
  <c r="AR27" i="1"/>
  <c r="AQ27" i="1" s="1"/>
  <c r="R25" i="1"/>
  <c r="AV25" i="1"/>
  <c r="BE25" i="1" s="1"/>
  <c r="AL41" i="1"/>
  <c r="AK41" i="1" s="1"/>
  <c r="BF39" i="1"/>
  <c r="AO41" i="1"/>
  <c r="AR14" i="1"/>
  <c r="AQ14" i="1" s="1"/>
  <c r="AX14" i="1"/>
  <c r="AV15" i="1"/>
  <c r="BE15" i="1" s="1"/>
  <c r="R15" i="1"/>
  <c r="AV37" i="1"/>
  <c r="R37" i="1"/>
  <c r="AV21" i="1"/>
  <c r="BE21" i="1" s="1"/>
  <c r="R21" i="1"/>
  <c r="AV27" i="1"/>
  <c r="BE27" i="1" s="1"/>
  <c r="AV14" i="1"/>
  <c r="BE14" i="1" s="1"/>
  <c r="R14" i="1"/>
  <c r="AX38" i="1"/>
  <c r="R19" i="1"/>
  <c r="AV19" i="1"/>
  <c r="AV30" i="1"/>
  <c r="R30" i="1"/>
  <c r="AR31" i="1"/>
  <c r="AQ31" i="1" s="1"/>
  <c r="BC41" i="1"/>
  <c r="AX11" i="1"/>
  <c r="AR11" i="1"/>
  <c r="AQ11" i="1" s="1"/>
  <c r="R26" i="1"/>
  <c r="AV26" i="1"/>
  <c r="AX12" i="1"/>
  <c r="AR12" i="1"/>
  <c r="AQ12" i="1" s="1"/>
  <c r="Q11" i="1"/>
  <c r="AW11" i="1" s="1"/>
  <c r="AX21" i="1"/>
  <c r="AP42" i="1"/>
  <c r="AX33" i="1"/>
  <c r="BF33" i="1" s="1"/>
  <c r="AR33" i="1"/>
  <c r="AQ33" i="1" s="1"/>
  <c r="AR16" i="1"/>
  <c r="AQ16" i="1" s="1"/>
  <c r="AX16" i="1"/>
  <c r="AR32" i="1"/>
  <c r="AQ32" i="1" s="1"/>
  <c r="AX32" i="1"/>
  <c r="M34" i="1"/>
  <c r="N34" i="1"/>
  <c r="P34" i="1" s="1"/>
  <c r="Q34" i="1"/>
  <c r="AW34" i="1" s="1"/>
  <c r="AX20" i="1"/>
  <c r="BF20" i="1" s="1"/>
  <c r="AR20" i="1"/>
  <c r="AQ20" i="1" s="1"/>
  <c r="N10" i="1"/>
  <c r="Q10" i="1" s="1"/>
  <c r="M10" i="1"/>
  <c r="K41" i="1"/>
  <c r="Q38" i="1"/>
  <c r="AW38" i="1" s="1"/>
  <c r="AB41" i="1"/>
  <c r="AR35" i="1"/>
  <c r="AQ35" i="1" s="1"/>
  <c r="AR22" i="1"/>
  <c r="AQ22" i="1" s="1"/>
  <c r="AX22" i="1"/>
  <c r="T42" i="1"/>
  <c r="AR38" i="1"/>
  <c r="AQ38" i="1" s="1"/>
  <c r="AV39" i="1"/>
  <c r="BE39" i="1" s="1"/>
  <c r="R39" i="1"/>
  <c r="AX17" i="1"/>
  <c r="BF17" i="1" s="1"/>
  <c r="AR17" i="1"/>
  <c r="AQ17" i="1" s="1"/>
  <c r="AP41" i="1"/>
  <c r="AZ18" i="1"/>
  <c r="BF18" i="1" s="1"/>
  <c r="AC18" i="1"/>
  <c r="R17" i="1"/>
  <c r="AV17" i="1"/>
  <c r="AZ29" i="1"/>
  <c r="AC29" i="1"/>
  <c r="M13" i="1"/>
  <c r="N13" i="1"/>
  <c r="P13" i="1" s="1"/>
  <c r="R32" i="1"/>
  <c r="AV32" i="1"/>
  <c r="BE32" i="1" s="1"/>
  <c r="AZ22" i="1"/>
  <c r="AZ41" i="1" s="1"/>
  <c r="AC22" i="1"/>
  <c r="Q27" i="1"/>
  <c r="AW27" i="1" s="1"/>
  <c r="AY30" i="1"/>
  <c r="Z30" i="1"/>
  <c r="AX24" i="1"/>
  <c r="AQ36" i="1"/>
  <c r="Q23" i="1"/>
  <c r="AW23" i="1" s="1"/>
  <c r="S22" i="1"/>
  <c r="AX37" i="1"/>
  <c r="BF37" i="1" s="1"/>
  <c r="AR37" i="1"/>
  <c r="AQ37" i="1" s="1"/>
  <c r="AC19" i="1"/>
  <c r="S23" i="1"/>
  <c r="Q19" i="1"/>
  <c r="AW19" i="1" s="1"/>
  <c r="M28" i="1"/>
  <c r="N28" i="1"/>
  <c r="P28" i="1" s="1"/>
  <c r="H41" i="1"/>
  <c r="R33" i="1"/>
  <c r="AV33" i="1"/>
  <c r="S38" i="1"/>
  <c r="AX31" i="1"/>
  <c r="M35" i="1"/>
  <c r="N35" i="1"/>
  <c r="P35" i="1" s="1"/>
  <c r="Q35" i="1"/>
  <c r="AW35" i="1" s="1"/>
  <c r="AQ10" i="1"/>
  <c r="P22" i="1"/>
  <c r="Q22" i="1"/>
  <c r="AW22" i="1" s="1"/>
  <c r="AY10" i="1"/>
  <c r="AY41" i="1" s="1"/>
  <c r="U41" i="1"/>
  <c r="AC34" i="1"/>
  <c r="AX34" i="1"/>
  <c r="AR34" i="1"/>
  <c r="AQ34" i="1" s="1"/>
  <c r="AR13" i="1"/>
  <c r="AQ13" i="1" s="1"/>
  <c r="AX13" i="1"/>
  <c r="N12" i="1"/>
  <c r="P12" i="1" s="1"/>
  <c r="Q12" i="1"/>
  <c r="AW12" i="1" s="1"/>
  <c r="M12" i="1"/>
  <c r="S12" i="1" s="1"/>
  <c r="Q36" i="1"/>
  <c r="AW36" i="1" s="1"/>
  <c r="M36" i="1"/>
  <c r="S36" i="1" s="1"/>
  <c r="N36" i="1"/>
  <c r="P36" i="1" s="1"/>
  <c r="AX40" i="1"/>
  <c r="AC40" i="1"/>
  <c r="AI41" i="1"/>
  <c r="AH41" i="1" s="1"/>
  <c r="AX19" i="1"/>
  <c r="BF19" i="1" s="1"/>
  <c r="AR19" i="1"/>
  <c r="AQ19" i="1" s="1"/>
  <c r="AZ25" i="1"/>
  <c r="AC25" i="1"/>
  <c r="S11" i="1"/>
  <c r="AZ23" i="1"/>
  <c r="AC23" i="1"/>
  <c r="P16" i="1"/>
  <c r="S16" i="1" s="1"/>
  <c r="Q16" i="1"/>
  <c r="AW16" i="1" s="1"/>
  <c r="N40" i="1"/>
  <c r="P40" i="1" s="1"/>
  <c r="M40" i="1"/>
  <c r="AX10" i="1"/>
  <c r="AV29" i="1"/>
  <c r="BE29" i="1" s="1"/>
  <c r="R29" i="1"/>
  <c r="AV20" i="1"/>
  <c r="R20" i="1"/>
  <c r="AF41" i="1"/>
  <c r="W41" i="1"/>
  <c r="AX25" i="1"/>
  <c r="AR25" i="1"/>
  <c r="AQ25" i="1" s="1"/>
  <c r="S24" i="1"/>
  <c r="X41" i="1"/>
  <c r="Z26" i="1"/>
  <c r="AC32" i="1"/>
  <c r="AR40" i="1"/>
  <c r="AQ40" i="1" s="1"/>
  <c r="AC28" i="1"/>
  <c r="AV16" i="1" l="1"/>
  <c r="BE16" i="1" s="1"/>
  <c r="R16" i="1"/>
  <c r="AW10" i="1"/>
  <c r="AC41" i="1"/>
  <c r="AX26" i="1"/>
  <c r="BF26" i="1" s="1"/>
  <c r="AC26" i="1"/>
  <c r="AR26" i="1"/>
  <c r="AQ26" i="1" s="1"/>
  <c r="Z41" i="1"/>
  <c r="R12" i="1"/>
  <c r="AV12" i="1"/>
  <c r="BE12" i="1" s="1"/>
  <c r="S28" i="1"/>
  <c r="BE17" i="1"/>
  <c r="AV24" i="1"/>
  <c r="BE24" i="1" s="1"/>
  <c r="R24" i="1"/>
  <c r="BF15" i="1"/>
  <c r="AV23" i="1"/>
  <c r="R23" i="1"/>
  <c r="BF24" i="1"/>
  <c r="Q13" i="1"/>
  <c r="AW13" i="1" s="1"/>
  <c r="R27" i="1"/>
  <c r="R22" i="1"/>
  <c r="AV22" i="1"/>
  <c r="BE22" i="1" s="1"/>
  <c r="S35" i="1"/>
  <c r="Q28" i="1"/>
  <c r="AW28" i="1" s="1"/>
  <c r="BF21" i="1"/>
  <c r="BF25" i="1"/>
  <c r="AR41" i="1"/>
  <c r="AQ41" i="1" s="1"/>
  <c r="AC30" i="1"/>
  <c r="AX30" i="1"/>
  <c r="BF30" i="1" s="1"/>
  <c r="AR30" i="1"/>
  <c r="AQ30" i="1" s="1"/>
  <c r="BF29" i="1"/>
  <c r="N41" i="1"/>
  <c r="P10" i="1"/>
  <c r="P41" i="1" s="1"/>
  <c r="O41" i="1" s="1"/>
  <c r="BF16" i="1"/>
  <c r="BE30" i="1"/>
  <c r="BF14" i="1"/>
  <c r="R36" i="1"/>
  <c r="AV36" i="1"/>
  <c r="BE20" i="1"/>
  <c r="BF31" i="1"/>
  <c r="S34" i="1"/>
  <c r="M41" i="1"/>
  <c r="L41" i="1" s="1"/>
  <c r="BF32" i="1"/>
  <c r="AX41" i="1"/>
  <c r="R11" i="1"/>
  <c r="AV11" i="1"/>
  <c r="BE11" i="1" s="1"/>
  <c r="AV38" i="1"/>
  <c r="BE38" i="1" s="1"/>
  <c r="R38" i="1"/>
  <c r="S40" i="1"/>
  <c r="BE33" i="1"/>
  <c r="Q40" i="1"/>
  <c r="S13" i="1"/>
  <c r="BE26" i="1"/>
  <c r="BE19" i="1"/>
  <c r="BF27" i="1"/>
  <c r="BE37" i="1"/>
  <c r="BF11" i="1" l="1"/>
  <c r="S10" i="1"/>
  <c r="BF12" i="1"/>
  <c r="AV34" i="1"/>
  <c r="R34" i="1"/>
  <c r="R13" i="1"/>
  <c r="AV13" i="1"/>
  <c r="R28" i="1"/>
  <c r="AV28" i="1"/>
  <c r="Q41" i="1"/>
  <c r="Q42" i="1" s="1"/>
  <c r="AW41" i="1"/>
  <c r="BE36" i="1"/>
  <c r="BF36" i="1"/>
  <c r="BF22" i="1"/>
  <c r="BF38" i="1"/>
  <c r="AV40" i="1"/>
  <c r="R40" i="1"/>
  <c r="R35" i="1"/>
  <c r="AV35" i="1"/>
  <c r="BE23" i="1"/>
  <c r="BF23" i="1"/>
  <c r="BE34" i="1" l="1"/>
  <c r="BF34" i="1"/>
  <c r="BE35" i="1"/>
  <c r="BF35" i="1"/>
  <c r="BE28" i="1"/>
  <c r="BF28" i="1"/>
  <c r="BE40" i="1"/>
  <c r="BF40" i="1"/>
  <c r="BE13" i="1"/>
  <c r="BF13" i="1"/>
  <c r="AV10" i="1"/>
  <c r="R10" i="1"/>
  <c r="S41" i="1"/>
  <c r="R41" i="1" s="1"/>
  <c r="BE10" i="1" l="1"/>
  <c r="BE41" i="1" s="1"/>
  <c r="AV41" i="1"/>
  <c r="BF10" i="1"/>
  <c r="BF41" i="1" s="1"/>
</calcChain>
</file>

<file path=xl/sharedStrings.xml><?xml version="1.0" encoding="utf-8"?>
<sst xmlns="http://schemas.openxmlformats.org/spreadsheetml/2006/main" count="178" uniqueCount="127">
  <si>
    <t>Duke Energy Field Services</t>
  </si>
  <si>
    <t>HPL Agreement for EasTrans Receipts</t>
  </si>
  <si>
    <t>*special deal</t>
  </si>
  <si>
    <t>TOTAL RECEIPTS AND DELIVERIES</t>
  </si>
  <si>
    <t>see res. Prices</t>
  </si>
  <si>
    <t>TOTAL PURCHASES FROM HPL</t>
  </si>
  <si>
    <t>FUELS COTTON VALLEY- SALES TO HPL</t>
  </si>
  <si>
    <t>FUELS COTTON VALLEY- PURCHASE FROM DETM</t>
  </si>
  <si>
    <t>SALE TO DETM-WHEN REC&gt;0</t>
  </si>
  <si>
    <t>PG  &amp; E - VALERO</t>
  </si>
  <si>
    <t>CIPCO/Beaumont</t>
  </si>
  <si>
    <t>HPL CARTWHEEL</t>
  </si>
  <si>
    <t>Fuel at PG &amp; E (Carthage Hub)</t>
  </si>
  <si>
    <t>SUMMARY OF TRANSACTIONS</t>
  </si>
  <si>
    <t>HUB</t>
  </si>
  <si>
    <t>Actual</t>
  </si>
  <si>
    <t>mid-point</t>
  </si>
  <si>
    <t>EasTrans Receipt</t>
  </si>
  <si>
    <t>if no receipts</t>
  </si>
  <si>
    <t>DIFFERENCE</t>
  </si>
  <si>
    <t>ESTIMATED</t>
  </si>
  <si>
    <t>VALUE</t>
  </si>
  <si>
    <t>VOLUME</t>
  </si>
  <si>
    <t>PG &amp; E</t>
  </si>
  <si>
    <t>SALES LESS</t>
  </si>
  <si>
    <t>Received at</t>
  </si>
  <si>
    <t>Delivered at</t>
  </si>
  <si>
    <t>Total</t>
  </si>
  <si>
    <t>Over/(Under)</t>
  </si>
  <si>
    <t>IFGMR HSC</t>
  </si>
  <si>
    <t>GD-Daily HSC</t>
  </si>
  <si>
    <t>up to 103% of</t>
  </si>
  <si>
    <t>exceeding 103%</t>
  </si>
  <si>
    <t>Average</t>
  </si>
  <si>
    <t>HPL/FCVG</t>
  </si>
  <si>
    <t>if reciepts &gt;0</t>
  </si>
  <si>
    <t>value if</t>
  </si>
  <si>
    <t>hpl</t>
  </si>
  <si>
    <t>gas daily/daily</t>
  </si>
  <si>
    <t>value</t>
  </si>
  <si>
    <t>PURCHASE</t>
  </si>
  <si>
    <t>SALE - PURCHASE</t>
  </si>
  <si>
    <t>SHRUNK VOL. TO DETM</t>
  </si>
  <si>
    <t>CARTHAGE</t>
  </si>
  <si>
    <t>ETGS/Valero</t>
  </si>
  <si>
    <t>HPL CW</t>
  </si>
  <si>
    <t>Allocated</t>
  </si>
  <si>
    <t>IFGMR HSC less</t>
  </si>
  <si>
    <t xml:space="preserve">Total </t>
  </si>
  <si>
    <t>Purchases</t>
  </si>
  <si>
    <t>Sales</t>
  </si>
  <si>
    <t>Fuel</t>
  </si>
  <si>
    <t>Total Due</t>
  </si>
  <si>
    <t>PURCHASES</t>
  </si>
  <si>
    <t>Day</t>
  </si>
  <si>
    <t>HPL/EasTrans</t>
  </si>
  <si>
    <t>Deliveries</t>
  </si>
  <si>
    <t>Delivery</t>
  </si>
  <si>
    <t>Index Price</t>
  </si>
  <si>
    <t>Spot Price</t>
  </si>
  <si>
    <t>Nom. Delivery</t>
  </si>
  <si>
    <t>Index - $.04</t>
  </si>
  <si>
    <t>of Nom. Delivery</t>
  </si>
  <si>
    <t>Spot - $.02</t>
  </si>
  <si>
    <t>Volume</t>
  </si>
  <si>
    <t>Price</t>
  </si>
  <si>
    <t>Purchase $</t>
  </si>
  <si>
    <t>for hpl</t>
  </si>
  <si>
    <t>Index - $.05</t>
  </si>
  <si>
    <t>hpl rec &gt;0</t>
  </si>
  <si>
    <t>@ Gdd-.10</t>
  </si>
  <si>
    <t>PRICE</t>
  </si>
  <si>
    <t>INDEX-DAILY</t>
  </si>
  <si>
    <t>Index - $.06</t>
  </si>
  <si>
    <t>Index - $.0375</t>
  </si>
  <si>
    <t>Index - $.0825</t>
  </si>
  <si>
    <t>GD HSC - $.06</t>
  </si>
  <si>
    <t>Fuel Charge</t>
  </si>
  <si>
    <t>from HPL</t>
  </si>
  <si>
    <t>to HPL</t>
  </si>
  <si>
    <t>from DETM</t>
  </si>
  <si>
    <t>to DETM</t>
  </si>
  <si>
    <t>Charges</t>
  </si>
  <si>
    <t>(HPL)/Duke</t>
  </si>
  <si>
    <t>DUKE ENERGY FIELD SERVICES</t>
  </si>
  <si>
    <t>5718 Westheimer, Suite 2000</t>
  </si>
  <si>
    <t>Houston, TX 77057</t>
  </si>
  <si>
    <t>(713) 627-6200</t>
  </si>
  <si>
    <t>Invoice No:</t>
  </si>
  <si>
    <t>Invoice Date:</t>
  </si>
  <si>
    <t>Vendor #</t>
  </si>
  <si>
    <t>Prod Month:</t>
  </si>
  <si>
    <t>Houston Pipe Line Company</t>
  </si>
  <si>
    <t>Terms:</t>
  </si>
  <si>
    <t>Net 10 Days</t>
  </si>
  <si>
    <t>P.O. Box 1188</t>
  </si>
  <si>
    <t>Contract No:</t>
  </si>
  <si>
    <t>Houston, TX  77251-1188</t>
  </si>
  <si>
    <t>Contract Date:</t>
  </si>
  <si>
    <t>Marketer:</t>
  </si>
  <si>
    <t>SIC Code:</t>
  </si>
  <si>
    <t>INVOICE</t>
  </si>
  <si>
    <t>Invoice you for net purchase for HPL Buy/Sell at East Texas Plant.</t>
  </si>
  <si>
    <t>Prod Month</t>
  </si>
  <si>
    <t>Amount Due</t>
  </si>
  <si>
    <t>For questions regarding invoice contact Donna Dobb at (713) 627-6621</t>
  </si>
  <si>
    <t>Send Wire to :</t>
  </si>
  <si>
    <t>Chase Manhattan Bank</t>
  </si>
  <si>
    <t>New York, New York  10081</t>
  </si>
  <si>
    <t>ABA #</t>
  </si>
  <si>
    <t>021 000 021</t>
  </si>
  <si>
    <t>Account #</t>
  </si>
  <si>
    <t>323-123333</t>
  </si>
  <si>
    <t xml:space="preserve">Duke Energy Field Services, Inc. </t>
  </si>
  <si>
    <t>When payment differs from amount invoiced, please send documentation with payment.</t>
  </si>
  <si>
    <t>If remitting by wire transfer, please send documentation to contact name listed above.</t>
  </si>
  <si>
    <t>Account Coding: Internal Use Only</t>
  </si>
  <si>
    <t>Business Unit</t>
  </si>
  <si>
    <t>Account</t>
  </si>
  <si>
    <t>Res. Type</t>
  </si>
  <si>
    <t>RC To</t>
  </si>
  <si>
    <t>RC From</t>
  </si>
  <si>
    <t>Process</t>
  </si>
  <si>
    <t>Product</t>
  </si>
  <si>
    <t>Amount</t>
  </si>
  <si>
    <t>0142010</t>
  </si>
  <si>
    <t>H058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</si>
</sst>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\(&quot;$&quot;#,##0.000\)"/>
    <numFmt numFmtId="165" formatCode="&quot;$&quot;#,##0.0000_);\(&quot;$&quot;#,##0.0000\)"/>
    <numFmt numFmtId="166" formatCode="#,##0.0000_);\(#,##0.0000\)"/>
    <numFmt numFmtId="167" formatCode="_(* #,##0_);_(* \(#,##0\);_(* &quot;-&quot;??_);_(@_)"/>
    <numFmt numFmtId="168" formatCode="0_);[Red]\(0\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48"/>
      <name val="Arial"/>
      <family val="2"/>
    </font>
    <font>
      <b/>
      <sz val="10"/>
      <color indexed="57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8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Fill="1" applyBorder="1"/>
    <xf numFmtId="0" fontId="3" fillId="0" borderId="1" xfId="0" applyFont="1" applyBorder="1"/>
    <xf numFmtId="0" fontId="3" fillId="0" borderId="0" xfId="0" applyFont="1" applyBorder="1"/>
    <xf numFmtId="38" fontId="3" fillId="0" borderId="0" xfId="0" applyNumberFormat="1" applyFont="1" applyBorder="1" applyAlignment="1">
      <alignment horizontal="right"/>
    </xf>
    <xf numFmtId="38" fontId="3" fillId="0" borderId="1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3" fillId="0" borderId="0" xfId="0" applyNumberFormat="1" applyFont="1"/>
    <xf numFmtId="0" fontId="4" fillId="0" borderId="0" xfId="0" applyFont="1"/>
    <xf numFmtId="49" fontId="2" fillId="0" borderId="0" xfId="0" applyNumberFormat="1" applyFont="1"/>
    <xf numFmtId="0" fontId="3" fillId="0" borderId="2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0" applyFont="1" applyBorder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38" fontId="3" fillId="0" borderId="3" xfId="0" applyNumberFormat="1" applyFont="1" applyBorder="1" applyAlignment="1">
      <alignment horizontal="right"/>
    </xf>
    <xf numFmtId="0" fontId="3" fillId="0" borderId="3" xfId="0" applyFont="1" applyBorder="1" applyAlignment="1"/>
    <xf numFmtId="0" fontId="3" fillId="0" borderId="4" xfId="0" applyFont="1" applyBorder="1" applyAlignment="1"/>
    <xf numFmtId="0" fontId="4" fillId="0" borderId="5" xfId="0" applyFont="1" applyFill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0" fillId="0" borderId="3" xfId="0" applyBorder="1" applyAlignment="1">
      <alignment horizontal="center"/>
    </xf>
    <xf numFmtId="0" fontId="3" fillId="0" borderId="6" xfId="0" applyFont="1" applyBorder="1" applyAlignment="1">
      <alignment horizontal="centerContinuous" wrapText="1"/>
    </xf>
    <xf numFmtId="0" fontId="3" fillId="0" borderId="3" xfId="0" applyFont="1" applyBorder="1" applyAlignment="1">
      <alignment horizontal="centerContinuous" wrapText="1"/>
    </xf>
    <xf numFmtId="38" fontId="3" fillId="0" borderId="5" xfId="0" applyNumberFormat="1" applyFont="1" applyBorder="1" applyAlignment="1">
      <alignment horizontal="centerContinuous" wrapText="1"/>
    </xf>
    <xf numFmtId="38" fontId="3" fillId="0" borderId="3" xfId="0" applyNumberFormat="1" applyFont="1" applyBorder="1" applyAlignment="1">
      <alignment horizontal="centerContinuous" wrapText="1"/>
    </xf>
    <xf numFmtId="38" fontId="9" fillId="0" borderId="5" xfId="0" applyNumberFormat="1" applyFont="1" applyBorder="1" applyAlignment="1">
      <alignment horizontal="centerContinuous"/>
    </xf>
    <xf numFmtId="38" fontId="3" fillId="0" borderId="3" xfId="0" applyNumberFormat="1" applyFont="1" applyBorder="1" applyAlignment="1">
      <alignment horizontal="centerContinuous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38" fontId="2" fillId="0" borderId="0" xfId="0" applyNumberFormat="1" applyFont="1" applyAlignment="1">
      <alignment horizontal="center"/>
    </xf>
    <xf numFmtId="164" fontId="10" fillId="0" borderId="0" xfId="0" applyNumberFormat="1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164" fontId="2" fillId="0" borderId="0" xfId="2" applyNumberFormat="1" applyFont="1"/>
    <xf numFmtId="44" fontId="5" fillId="0" borderId="0" xfId="2" applyFont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1" xfId="0" applyFont="1" applyBorder="1" applyAlignment="1">
      <alignment horizontal="center"/>
    </xf>
    <xf numFmtId="38" fontId="4" fillId="0" borderId="1" xfId="0" applyNumberFormat="1" applyFont="1" applyBorder="1" applyAlignment="1">
      <alignment horizontal="center"/>
    </xf>
    <xf numFmtId="38" fontId="4" fillId="0" borderId="9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0" fontId="2" fillId="0" borderId="9" xfId="0" applyFont="1" applyBorder="1"/>
    <xf numFmtId="38" fontId="4" fillId="0" borderId="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10" xfId="2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8" fontId="3" fillId="0" borderId="2" xfId="0" applyNumberFormat="1" applyFont="1" applyBorder="1" applyAlignment="1">
      <alignment horizontal="center"/>
    </xf>
    <xf numFmtId="38" fontId="3" fillId="0" borderId="10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10" xfId="0" applyNumberFormat="1" applyFont="1" applyBorder="1" applyAlignment="1">
      <alignment horizontal="center"/>
    </xf>
    <xf numFmtId="38" fontId="7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Fill="1" applyBorder="1"/>
    <xf numFmtId="38" fontId="3" fillId="0" borderId="12" xfId="0" applyNumberFormat="1" applyFont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37" fontId="10" fillId="0" borderId="0" xfId="0" applyNumberFormat="1" applyFont="1" applyAlignment="1">
      <alignment horizontal="right"/>
    </xf>
    <xf numFmtId="37" fontId="3" fillId="0" borderId="0" xfId="0" applyNumberFormat="1" applyFont="1" applyAlignment="1">
      <alignment horizontal="right"/>
    </xf>
    <xf numFmtId="164" fontId="3" fillId="0" borderId="0" xfId="0" applyNumberFormat="1" applyFont="1"/>
    <xf numFmtId="37" fontId="3" fillId="0" borderId="1" xfId="0" applyNumberFormat="1" applyFont="1" applyBorder="1" applyAlignment="1">
      <alignment horizontal="right"/>
    </xf>
    <xf numFmtId="7" fontId="3" fillId="0" borderId="0" xfId="0" applyNumberFormat="1" applyFont="1" applyFill="1" applyBorder="1"/>
    <xf numFmtId="37" fontId="3" fillId="0" borderId="0" xfId="0" applyNumberFormat="1" applyFont="1" applyBorder="1" applyAlignment="1">
      <alignment horizontal="right"/>
    </xf>
    <xf numFmtId="7" fontId="3" fillId="0" borderId="0" xfId="0" applyNumberFormat="1" applyFont="1"/>
    <xf numFmtId="164" fontId="3" fillId="0" borderId="0" xfId="0" applyNumberFormat="1" applyFont="1" applyBorder="1"/>
    <xf numFmtId="165" fontId="3" fillId="0" borderId="0" xfId="0" applyNumberFormat="1" applyFont="1"/>
    <xf numFmtId="7" fontId="3" fillId="0" borderId="0" xfId="0" applyNumberFormat="1" applyFont="1" applyAlignment="1">
      <alignment horizontal="center"/>
    </xf>
    <xf numFmtId="1" fontId="3" fillId="0" borderId="8" xfId="0" applyNumberFormat="1" applyFont="1" applyBorder="1"/>
    <xf numFmtId="1" fontId="3" fillId="0" borderId="8" xfId="0" applyNumberFormat="1" applyFont="1" applyBorder="1" applyAlignment="1">
      <alignment horizontal="center"/>
    </xf>
    <xf numFmtId="166" fontId="10" fillId="0" borderId="0" xfId="2" applyNumberFormat="1" applyFont="1" applyBorder="1" applyAlignment="1">
      <alignment horizontal="center"/>
    </xf>
    <xf numFmtId="37" fontId="3" fillId="0" borderId="8" xfId="0" applyNumberFormat="1" applyFont="1" applyBorder="1" applyAlignment="1">
      <alignment horizontal="right"/>
    </xf>
    <xf numFmtId="7" fontId="3" fillId="0" borderId="0" xfId="0" applyNumberFormat="1" applyFont="1" applyBorder="1"/>
    <xf numFmtId="37" fontId="10" fillId="0" borderId="1" xfId="0" applyNumberFormat="1" applyFont="1" applyBorder="1" applyAlignment="1">
      <alignment horizontal="right"/>
    </xf>
    <xf numFmtId="7" fontId="3" fillId="0" borderId="1" xfId="0" applyNumberFormat="1" applyFont="1" applyBorder="1"/>
    <xf numFmtId="37" fontId="3" fillId="0" borderId="0" xfId="0" applyNumberFormat="1" applyFont="1" applyBorder="1"/>
    <xf numFmtId="1" fontId="3" fillId="0" borderId="0" xfId="0" applyNumberFormat="1" applyFont="1" applyBorder="1"/>
    <xf numFmtId="37" fontId="11" fillId="0" borderId="0" xfId="0" applyNumberFormat="1" applyFont="1" applyAlignment="1">
      <alignment horizontal="right"/>
    </xf>
    <xf numFmtId="165" fontId="4" fillId="0" borderId="0" xfId="0" applyNumberFormat="1" applyFont="1"/>
    <xf numFmtId="37" fontId="3" fillId="0" borderId="11" xfId="0" applyNumberFormat="1" applyFont="1" applyBorder="1" applyAlignment="1">
      <alignment horizontal="right"/>
    </xf>
    <xf numFmtId="7" fontId="3" fillId="0" borderId="10" xfId="0" applyNumberFormat="1" applyFont="1" applyBorder="1"/>
    <xf numFmtId="37" fontId="3" fillId="0" borderId="9" xfId="0" applyNumberFormat="1" applyFont="1" applyBorder="1" applyAlignment="1">
      <alignment horizontal="right"/>
    </xf>
    <xf numFmtId="0" fontId="3" fillId="0" borderId="9" xfId="0" applyFont="1" applyBorder="1"/>
    <xf numFmtId="0" fontId="3" fillId="0" borderId="13" xfId="0" applyFont="1" applyBorder="1"/>
    <xf numFmtId="37" fontId="3" fillId="0" borderId="12" xfId="0" applyNumberFormat="1" applyFont="1" applyBorder="1" applyAlignment="1">
      <alignment horizontal="right"/>
    </xf>
    <xf numFmtId="164" fontId="3" fillId="0" borderId="9" xfId="0" applyNumberFormat="1" applyFont="1" applyBorder="1"/>
    <xf numFmtId="7" fontId="3" fillId="0" borderId="9" xfId="0" applyNumberFormat="1" applyFont="1" applyFill="1" applyBorder="1"/>
    <xf numFmtId="165" fontId="3" fillId="0" borderId="9" xfId="0" applyNumberFormat="1" applyFont="1" applyBorder="1"/>
    <xf numFmtId="7" fontId="3" fillId="0" borderId="9" xfId="0" applyNumberFormat="1" applyFont="1" applyBorder="1"/>
    <xf numFmtId="1" fontId="3" fillId="0" borderId="9" xfId="0" applyNumberFormat="1" applyFont="1" applyBorder="1"/>
    <xf numFmtId="7" fontId="3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44" fontId="10" fillId="0" borderId="9" xfId="2" applyFont="1" applyBorder="1" applyAlignment="1">
      <alignment horizontal="center"/>
    </xf>
    <xf numFmtId="37" fontId="3" fillId="0" borderId="7" xfId="0" applyNumberFormat="1" applyFont="1" applyBorder="1" applyAlignment="1">
      <alignment horizontal="right"/>
    </xf>
    <xf numFmtId="165" fontId="3" fillId="0" borderId="9" xfId="0" applyNumberFormat="1" applyFont="1" applyFill="1" applyBorder="1"/>
    <xf numFmtId="7" fontId="3" fillId="0" borderId="12" xfId="0" applyNumberFormat="1" applyFont="1" applyFill="1" applyBorder="1"/>
    <xf numFmtId="37" fontId="3" fillId="0" borderId="9" xfId="0" applyNumberFormat="1" applyFont="1" applyFill="1" applyBorder="1"/>
    <xf numFmtId="167" fontId="3" fillId="0" borderId="9" xfId="1" applyNumberFormat="1" applyFont="1" applyFill="1" applyBorder="1"/>
    <xf numFmtId="7" fontId="3" fillId="0" borderId="9" xfId="0" applyNumberFormat="1" applyFont="1" applyFill="1" applyBorder="1" applyProtection="1">
      <protection locked="0"/>
    </xf>
    <xf numFmtId="0" fontId="3" fillId="0" borderId="0" xfId="0" applyFont="1" applyBorder="1" applyAlignment="1">
      <alignment horizontal="right"/>
    </xf>
    <xf numFmtId="0" fontId="3" fillId="0" borderId="14" xfId="0" applyFont="1" applyBorder="1"/>
    <xf numFmtId="37" fontId="3" fillId="2" borderId="0" xfId="0" applyNumberFormat="1" applyFont="1" applyFill="1"/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40" fontId="3" fillId="0" borderId="0" xfId="0" applyNumberFormat="1" applyFont="1"/>
    <xf numFmtId="1" fontId="3" fillId="0" borderId="0" xfId="0" applyNumberFormat="1" applyFont="1" applyBorder="1" applyAlignment="1">
      <alignment horizontal="center"/>
    </xf>
    <xf numFmtId="39" fontId="3" fillId="0" borderId="0" xfId="0" applyNumberFormat="1" applyFont="1" applyFill="1" applyBorder="1"/>
    <xf numFmtId="44" fontId="3" fillId="0" borderId="0" xfId="2" applyFont="1"/>
    <xf numFmtId="1" fontId="3" fillId="0" borderId="0" xfId="0" applyNumberFormat="1" applyFont="1" applyFill="1" applyBorder="1"/>
    <xf numFmtId="7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quotePrefix="1" applyFont="1" applyFill="1" applyAlignment="1" applyProtection="1">
      <alignment horizontal="left"/>
      <protection locked="0"/>
    </xf>
    <xf numFmtId="168" fontId="0" fillId="0" borderId="0" xfId="0" applyNumberFormat="1"/>
    <xf numFmtId="14" fontId="5" fillId="0" borderId="0" xfId="0" applyNumberFormat="1" applyFont="1" applyAlignment="1" applyProtection="1">
      <alignment horizontal="left"/>
      <protection locked="0"/>
    </xf>
    <xf numFmtId="14" fontId="3" fillId="0" borderId="0" xfId="0" applyNumberFormat="1" applyFont="1" applyFill="1" applyAlignment="1">
      <alignment horizontal="left"/>
    </xf>
    <xf numFmtId="0" fontId="13" fillId="0" borderId="0" xfId="0" applyFont="1"/>
    <xf numFmtId="0" fontId="1" fillId="0" borderId="0" xfId="0" quotePrefix="1" applyFont="1" applyAlignment="1">
      <alignment horizontal="left"/>
    </xf>
    <xf numFmtId="17" fontId="5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15" xfId="0" applyBorder="1"/>
    <xf numFmtId="0" fontId="9" fillId="0" borderId="15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7" fontId="0" fillId="0" borderId="0" xfId="0" applyNumberFormat="1"/>
    <xf numFmtId="0" fontId="14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4" fillId="0" borderId="0" xfId="0" quotePrefix="1" applyFont="1" applyAlignment="1">
      <alignment horizontal="left"/>
    </xf>
    <xf numFmtId="0" fontId="14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12" xfId="0" applyFont="1" applyBorder="1" applyAlignment="1">
      <alignment horizontal="left"/>
    </xf>
    <xf numFmtId="0" fontId="17" fillId="0" borderId="9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7" fontId="17" fillId="0" borderId="14" xfId="0" applyNumberFormat="1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ETexas/2000etx/0900etx/financial/0900hplch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.Sales Summary"/>
      <sheetName val="HPL Agreement"/>
      <sheetName val="EasTrans Turnaround"/>
      <sheetName val="Entries.Invoices.Payments"/>
      <sheetName val="HPLINVOICE"/>
      <sheetName val="AR Summary"/>
      <sheetName val="HPLwire"/>
      <sheetName val="HPL Incremental Sales"/>
      <sheetName val="HPL Incr. Invoice"/>
    </sheetNames>
    <sheetDataSet>
      <sheetData sheetId="0">
        <row r="3">
          <cell r="A3" t="str">
            <v>SEPTEMBER 2000</v>
          </cell>
        </row>
      </sheetData>
      <sheetData sheetId="1">
        <row r="41">
          <cell r="BE41">
            <v>125788.12510000021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9"/>
  <sheetViews>
    <sheetView tabSelected="1" topLeftCell="AR4" workbookViewId="0">
      <selection activeCell="AW5" sqref="AW5"/>
    </sheetView>
  </sheetViews>
  <sheetFormatPr defaultRowHeight="12.75" x14ac:dyDescent="0.2"/>
  <cols>
    <col min="1" max="1" width="7.28515625" style="5" customWidth="1"/>
    <col min="2" max="4" width="15.7109375" style="3" customWidth="1"/>
    <col min="5" max="5" width="19" style="3" customWidth="1"/>
    <col min="6" max="6" width="16" style="3" customWidth="1"/>
    <col min="7" max="7" width="15.7109375" style="3" customWidth="1"/>
    <col min="8" max="8" width="15.7109375" style="4" customWidth="1"/>
    <col min="9" max="10" width="12.7109375" style="5" customWidth="1"/>
    <col min="11" max="11" width="18.85546875" style="6" customWidth="1"/>
    <col min="12" max="12" width="12.7109375" style="5" customWidth="1"/>
    <col min="13" max="14" width="15.7109375" style="5" customWidth="1"/>
    <col min="15" max="15" width="15.140625" style="5" customWidth="1"/>
    <col min="16" max="16" width="15.7109375" style="5" customWidth="1"/>
    <col min="17" max="18" width="12.7109375" style="5" customWidth="1"/>
    <col min="19" max="19" width="15.7109375" style="5" customWidth="1"/>
    <col min="20" max="22" width="12.7109375" style="5" customWidth="1"/>
    <col min="23" max="23" width="13.7109375" style="5" customWidth="1"/>
    <col min="24" max="24" width="11.7109375" style="5" customWidth="1"/>
    <col min="25" max="25" width="12.85546875" style="5" customWidth="1"/>
    <col min="26" max="28" width="15.7109375" style="5" customWidth="1"/>
    <col min="29" max="29" width="25.140625" style="5" customWidth="1"/>
    <col min="30" max="30" width="22.28515625" style="5" customWidth="1"/>
    <col min="31" max="31" width="12.28515625" style="5" customWidth="1"/>
    <col min="32" max="32" width="20.42578125" style="5" customWidth="1"/>
    <col min="33" max="34" width="12.7109375" style="5" customWidth="1"/>
    <col min="35" max="38" width="15.7109375" style="5" customWidth="1"/>
    <col min="39" max="39" width="14.5703125" style="5" customWidth="1"/>
    <col min="40" max="40" width="14.42578125" style="5" customWidth="1"/>
    <col min="41" max="41" width="12.5703125" style="5" customWidth="1"/>
    <col min="42" max="42" width="11.28515625" style="5" customWidth="1"/>
    <col min="43" max="43" width="10.42578125" style="5" customWidth="1"/>
    <col min="44" max="44" width="13.5703125" style="5" customWidth="1"/>
    <col min="45" max="45" width="12.28515625" style="9" customWidth="1"/>
    <col min="46" max="46" width="15.42578125" style="9" customWidth="1"/>
    <col min="47" max="47" width="13.85546875" style="9" customWidth="1"/>
    <col min="48" max="48" width="15.7109375" style="9" customWidth="1"/>
    <col min="49" max="49" width="13.140625" style="9" customWidth="1"/>
    <col min="50" max="50" width="15.7109375" style="12" customWidth="1"/>
    <col min="51" max="51" width="12.85546875" style="12" customWidth="1"/>
    <col min="52" max="52" width="15" style="12" customWidth="1"/>
    <col min="53" max="53" width="13.28515625" style="12" customWidth="1"/>
    <col min="54" max="54" width="14" style="12" customWidth="1"/>
    <col min="55" max="55" width="12.42578125" style="12" customWidth="1"/>
    <col min="56" max="56" width="12" style="12" customWidth="1"/>
    <col min="57" max="57" width="14.28515625" style="12" customWidth="1"/>
    <col min="58" max="58" width="14.5703125" style="5" customWidth="1"/>
    <col min="59" max="16384" width="9.140625" style="5"/>
  </cols>
  <sheetData>
    <row r="1" spans="1:58" x14ac:dyDescent="0.2">
      <c r="A1" s="1" t="s">
        <v>0</v>
      </c>
      <c r="B1" s="2"/>
      <c r="T1" s="7"/>
      <c r="U1" s="8"/>
      <c r="AV1" s="10"/>
      <c r="AW1" s="11"/>
    </row>
    <row r="2" spans="1:58" x14ac:dyDescent="0.2">
      <c r="A2" s="1" t="s">
        <v>1</v>
      </c>
      <c r="B2" s="2"/>
      <c r="T2" s="7"/>
      <c r="U2" s="8"/>
      <c r="AV2" s="10"/>
      <c r="AW2" s="11"/>
    </row>
    <row r="3" spans="1:58" x14ac:dyDescent="0.2">
      <c r="A3" s="1"/>
      <c r="B3" s="2"/>
      <c r="T3" s="7"/>
      <c r="U3" s="8"/>
      <c r="AJ3" s="13" t="s">
        <v>2</v>
      </c>
      <c r="AV3" s="10"/>
      <c r="AW3" s="11"/>
    </row>
    <row r="4" spans="1:58" x14ac:dyDescent="0.2">
      <c r="A4" s="14" t="str">
        <f>+'[1]Purchase.Sales Summary'!A3</f>
        <v>SEPTEMBER 2000</v>
      </c>
      <c r="B4" s="2"/>
      <c r="T4" s="15"/>
      <c r="U4" s="8"/>
      <c r="AD4" s="16"/>
      <c r="AE4" s="16"/>
      <c r="AF4" s="17"/>
      <c r="AV4" s="10"/>
      <c r="AW4" s="11"/>
    </row>
    <row r="5" spans="1:58" ht="25.5" customHeight="1" x14ac:dyDescent="0.25">
      <c r="A5" s="18"/>
      <c r="B5" s="19"/>
      <c r="C5" s="20"/>
      <c r="D5" s="21" t="s">
        <v>3</v>
      </c>
      <c r="E5" s="20"/>
      <c r="F5" s="20"/>
      <c r="G5" s="20"/>
      <c r="H5" s="22"/>
      <c r="I5" s="23" t="s">
        <v>4</v>
      </c>
      <c r="J5" s="24"/>
      <c r="K5" s="25" t="s">
        <v>5</v>
      </c>
      <c r="L5" s="26"/>
      <c r="M5" s="26"/>
      <c r="N5" s="26"/>
      <c r="O5" s="26"/>
      <c r="P5" s="26"/>
      <c r="Q5" s="26"/>
      <c r="R5" s="26"/>
      <c r="S5" s="26"/>
      <c r="T5" s="167" t="s">
        <v>6</v>
      </c>
      <c r="U5" s="163"/>
      <c r="V5" s="163"/>
      <c r="W5" s="163"/>
      <c r="X5" s="163"/>
      <c r="Y5" s="163"/>
      <c r="Z5" s="168"/>
      <c r="AA5" s="169" t="s">
        <v>7</v>
      </c>
      <c r="AB5" s="170"/>
      <c r="AC5" s="170"/>
      <c r="AD5" s="162" t="s">
        <v>8</v>
      </c>
      <c r="AE5" s="163"/>
      <c r="AF5" s="163"/>
      <c r="AG5" s="162" t="s">
        <v>9</v>
      </c>
      <c r="AH5" s="163"/>
      <c r="AI5" s="168"/>
      <c r="AJ5" s="162" t="s">
        <v>10</v>
      </c>
      <c r="AK5" s="163"/>
      <c r="AL5" s="27"/>
      <c r="AM5" s="164" t="s">
        <v>11</v>
      </c>
      <c r="AN5" s="165"/>
      <c r="AO5" s="166"/>
      <c r="AP5" s="28"/>
      <c r="AQ5" s="29"/>
      <c r="AR5" s="29"/>
      <c r="AS5" s="30" t="s">
        <v>12</v>
      </c>
      <c r="AT5" s="31"/>
      <c r="AU5" s="31"/>
      <c r="AV5" s="32" t="s">
        <v>13</v>
      </c>
      <c r="AW5" s="33"/>
      <c r="AX5" s="33"/>
      <c r="AY5" s="33"/>
      <c r="AZ5" s="33"/>
      <c r="BA5" s="33"/>
      <c r="BB5" s="33"/>
      <c r="BC5" s="33"/>
      <c r="BD5" s="33"/>
      <c r="BE5" s="33"/>
    </row>
    <row r="6" spans="1:58" x14ac:dyDescent="0.2">
      <c r="A6" s="34"/>
      <c r="B6" s="35"/>
      <c r="C6" s="36"/>
      <c r="D6" s="35" t="s">
        <v>14</v>
      </c>
      <c r="E6" s="36"/>
      <c r="F6" s="35" t="s">
        <v>14</v>
      </c>
      <c r="G6" s="36"/>
      <c r="H6" s="37" t="s">
        <v>15</v>
      </c>
      <c r="I6" s="38">
        <v>4.6399999999999997</v>
      </c>
      <c r="J6" s="16" t="s">
        <v>16</v>
      </c>
      <c r="K6" s="39" t="s">
        <v>17</v>
      </c>
      <c r="L6" s="1"/>
      <c r="M6" s="1"/>
      <c r="N6" s="40" t="s">
        <v>17</v>
      </c>
      <c r="O6" s="40"/>
      <c r="P6" s="1"/>
      <c r="Q6" s="1"/>
      <c r="R6" s="1"/>
      <c r="S6" s="1"/>
      <c r="T6" s="7"/>
      <c r="U6" s="8"/>
      <c r="X6" s="5" t="s">
        <v>18</v>
      </c>
      <c r="Y6" s="41"/>
      <c r="Z6" s="5" t="s">
        <v>18</v>
      </c>
      <c r="AA6" s="42"/>
      <c r="AB6" s="43">
        <f>+I6-0.05</f>
        <v>4.59</v>
      </c>
      <c r="AC6" s="44" t="s">
        <v>19</v>
      </c>
      <c r="AD6" s="45" t="s">
        <v>20</v>
      </c>
      <c r="AE6" s="41"/>
      <c r="AF6" s="5" t="s">
        <v>20</v>
      </c>
      <c r="AG6" s="42"/>
      <c r="AI6" s="8"/>
      <c r="AJ6" s="46"/>
      <c r="AM6" s="46"/>
      <c r="AP6" s="46"/>
      <c r="AS6" s="47"/>
      <c r="AT6" s="41"/>
      <c r="AU6" s="41"/>
      <c r="AV6" s="48" t="s">
        <v>21</v>
      </c>
      <c r="AW6" s="49" t="s">
        <v>22</v>
      </c>
      <c r="AX6" s="50" t="s">
        <v>21</v>
      </c>
      <c r="AY6" s="50" t="s">
        <v>22</v>
      </c>
      <c r="AZ6" s="51" t="s">
        <v>21</v>
      </c>
      <c r="BA6" s="49" t="s">
        <v>22</v>
      </c>
      <c r="BB6" s="50" t="s">
        <v>21</v>
      </c>
      <c r="BC6" s="50" t="s">
        <v>22</v>
      </c>
      <c r="BD6" s="37" t="s">
        <v>23</v>
      </c>
      <c r="BE6" s="37"/>
      <c r="BF6" s="52" t="s">
        <v>24</v>
      </c>
    </row>
    <row r="7" spans="1:58" x14ac:dyDescent="0.2">
      <c r="A7" s="34"/>
      <c r="B7" s="35" t="s">
        <v>25</v>
      </c>
      <c r="C7" s="40" t="s">
        <v>26</v>
      </c>
      <c r="D7" s="40" t="s">
        <v>26</v>
      </c>
      <c r="E7" s="40" t="s">
        <v>26</v>
      </c>
      <c r="F7" s="40" t="s">
        <v>26</v>
      </c>
      <c r="G7" s="40" t="s">
        <v>27</v>
      </c>
      <c r="H7" s="37" t="s">
        <v>28</v>
      </c>
      <c r="I7" s="41" t="s">
        <v>29</v>
      </c>
      <c r="J7" s="41" t="s">
        <v>30</v>
      </c>
      <c r="K7" s="39" t="s">
        <v>31</v>
      </c>
      <c r="L7" s="35" t="s">
        <v>29</v>
      </c>
      <c r="M7" s="35"/>
      <c r="N7" s="35" t="s">
        <v>32</v>
      </c>
      <c r="O7" s="35" t="s">
        <v>30</v>
      </c>
      <c r="P7" s="35"/>
      <c r="Q7" s="35" t="s">
        <v>27</v>
      </c>
      <c r="R7" s="35" t="s">
        <v>33</v>
      </c>
      <c r="S7" s="35" t="s">
        <v>27</v>
      </c>
      <c r="T7" s="47" t="s">
        <v>34</v>
      </c>
      <c r="U7" s="41" t="s">
        <v>35</v>
      </c>
      <c r="V7" s="41" t="s">
        <v>29</v>
      </c>
      <c r="W7" s="41" t="s">
        <v>36</v>
      </c>
      <c r="X7" s="41" t="s">
        <v>37</v>
      </c>
      <c r="Y7" s="5" t="s">
        <v>38</v>
      </c>
      <c r="Z7" s="41" t="s">
        <v>39</v>
      </c>
      <c r="AA7" s="45" t="s">
        <v>22</v>
      </c>
      <c r="AB7" s="41" t="s">
        <v>40</v>
      </c>
      <c r="AC7" s="41" t="s">
        <v>41</v>
      </c>
      <c r="AD7" s="45" t="s">
        <v>42</v>
      </c>
      <c r="AE7" s="41" t="s">
        <v>43</v>
      </c>
      <c r="AF7" s="41" t="s">
        <v>21</v>
      </c>
      <c r="AG7" s="45" t="s">
        <v>44</v>
      </c>
      <c r="AH7" s="41" t="s">
        <v>29</v>
      </c>
      <c r="AI7" s="41"/>
      <c r="AJ7" s="45" t="s">
        <v>10</v>
      </c>
      <c r="AK7" s="41" t="s">
        <v>29</v>
      </c>
      <c r="AL7" s="41"/>
      <c r="AM7" s="45" t="s">
        <v>45</v>
      </c>
      <c r="AN7" s="41" t="s">
        <v>29</v>
      </c>
      <c r="AO7" s="41"/>
      <c r="AP7" s="45" t="s">
        <v>27</v>
      </c>
      <c r="AQ7" s="41" t="s">
        <v>33</v>
      </c>
      <c r="AR7" s="41" t="s">
        <v>27</v>
      </c>
      <c r="AS7" s="10" t="s">
        <v>46</v>
      </c>
      <c r="AT7" s="11" t="s">
        <v>47</v>
      </c>
      <c r="AU7" s="11" t="s">
        <v>48</v>
      </c>
      <c r="AV7" s="48" t="s">
        <v>49</v>
      </c>
      <c r="AW7" s="53" t="s">
        <v>49</v>
      </c>
      <c r="AX7" s="50" t="s">
        <v>50</v>
      </c>
      <c r="AY7" s="50" t="s">
        <v>50</v>
      </c>
      <c r="AZ7" s="53" t="s">
        <v>49</v>
      </c>
      <c r="BA7" s="53" t="s">
        <v>49</v>
      </c>
      <c r="BB7" s="50" t="s">
        <v>50</v>
      </c>
      <c r="BC7" s="50" t="s">
        <v>50</v>
      </c>
      <c r="BD7" s="37" t="s">
        <v>51</v>
      </c>
      <c r="BE7" s="37" t="s">
        <v>52</v>
      </c>
      <c r="BF7" s="34" t="s">
        <v>53</v>
      </c>
    </row>
    <row r="8" spans="1:58" x14ac:dyDescent="0.2">
      <c r="A8" s="54" t="s">
        <v>54</v>
      </c>
      <c r="B8" s="54" t="s">
        <v>55</v>
      </c>
      <c r="C8" s="54" t="s">
        <v>34</v>
      </c>
      <c r="D8" s="54" t="s">
        <v>44</v>
      </c>
      <c r="E8" s="54" t="s">
        <v>10</v>
      </c>
      <c r="F8" s="54" t="s">
        <v>45</v>
      </c>
      <c r="G8" s="54" t="s">
        <v>56</v>
      </c>
      <c r="H8" s="55" t="s">
        <v>57</v>
      </c>
      <c r="I8" s="56" t="s">
        <v>58</v>
      </c>
      <c r="J8" s="56" t="s">
        <v>59</v>
      </c>
      <c r="K8" s="57" t="s">
        <v>60</v>
      </c>
      <c r="L8" s="54" t="s">
        <v>61</v>
      </c>
      <c r="M8" s="54"/>
      <c r="N8" s="54" t="s">
        <v>62</v>
      </c>
      <c r="O8" s="54" t="s">
        <v>63</v>
      </c>
      <c r="P8" s="54"/>
      <c r="Q8" s="54" t="s">
        <v>64</v>
      </c>
      <c r="R8" s="54" t="s">
        <v>65</v>
      </c>
      <c r="S8" s="54" t="s">
        <v>66</v>
      </c>
      <c r="T8" s="58" t="s">
        <v>57</v>
      </c>
      <c r="U8" s="56" t="s">
        <v>67</v>
      </c>
      <c r="V8" s="56" t="s">
        <v>68</v>
      </c>
      <c r="W8" s="56" t="s">
        <v>69</v>
      </c>
      <c r="X8" s="56"/>
      <c r="Y8" s="59">
        <v>-0.1</v>
      </c>
      <c r="Z8" s="60" t="s">
        <v>70</v>
      </c>
      <c r="AA8" s="61" t="s">
        <v>53</v>
      </c>
      <c r="AB8" s="56" t="s">
        <v>71</v>
      </c>
      <c r="AC8" s="60"/>
      <c r="AD8" s="61">
        <v>0.08</v>
      </c>
      <c r="AE8" s="56" t="s">
        <v>72</v>
      </c>
      <c r="AF8" s="60"/>
      <c r="AG8" s="61" t="s">
        <v>57</v>
      </c>
      <c r="AH8" s="56" t="s">
        <v>73</v>
      </c>
      <c r="AI8" s="56"/>
      <c r="AJ8" s="61" t="s">
        <v>57</v>
      </c>
      <c r="AK8" s="56" t="s">
        <v>74</v>
      </c>
      <c r="AL8" s="56"/>
      <c r="AM8" s="61" t="s">
        <v>57</v>
      </c>
      <c r="AN8" s="56" t="s">
        <v>75</v>
      </c>
      <c r="AO8" s="56"/>
      <c r="AP8" s="61" t="s">
        <v>56</v>
      </c>
      <c r="AQ8" s="56" t="s">
        <v>65</v>
      </c>
      <c r="AR8" s="56" t="s">
        <v>50</v>
      </c>
      <c r="AS8" s="62" t="s">
        <v>51</v>
      </c>
      <c r="AT8" s="63" t="s">
        <v>76</v>
      </c>
      <c r="AU8" s="63" t="s">
        <v>77</v>
      </c>
      <c r="AV8" s="64" t="s">
        <v>78</v>
      </c>
      <c r="AW8" s="65" t="s">
        <v>78</v>
      </c>
      <c r="AX8" s="66" t="s">
        <v>79</v>
      </c>
      <c r="AY8" s="66" t="s">
        <v>79</v>
      </c>
      <c r="AZ8" s="65" t="s">
        <v>80</v>
      </c>
      <c r="BA8" s="65" t="s">
        <v>80</v>
      </c>
      <c r="BB8" s="66" t="s">
        <v>81</v>
      </c>
      <c r="BC8" s="66" t="s">
        <v>81</v>
      </c>
      <c r="BD8" s="55" t="s">
        <v>82</v>
      </c>
      <c r="BE8" s="55" t="s">
        <v>83</v>
      </c>
      <c r="BF8" s="67"/>
    </row>
    <row r="9" spans="1:58" x14ac:dyDescent="0.2">
      <c r="A9" s="16"/>
      <c r="C9" s="16"/>
      <c r="D9" s="16"/>
      <c r="E9" s="16"/>
      <c r="F9" s="16"/>
      <c r="G9" s="16"/>
      <c r="K9" s="68"/>
      <c r="T9" s="7"/>
      <c r="U9" s="8"/>
      <c r="AA9" s="46"/>
      <c r="AC9" s="16"/>
      <c r="AD9" s="46"/>
      <c r="AE9" s="8"/>
      <c r="AG9" s="46"/>
      <c r="AI9" s="8"/>
      <c r="AJ9" s="46"/>
      <c r="AM9" s="46"/>
      <c r="AP9" s="46"/>
      <c r="AS9" s="69"/>
      <c r="AV9" s="70"/>
    </row>
    <row r="10" spans="1:58" x14ac:dyDescent="0.2">
      <c r="A10" s="16">
        <v>1</v>
      </c>
      <c r="B10" s="71">
        <v>30241.41</v>
      </c>
      <c r="C10" s="71">
        <v>8557</v>
      </c>
      <c r="D10" s="71">
        <v>21500</v>
      </c>
      <c r="E10" s="71">
        <v>0</v>
      </c>
      <c r="F10" s="71">
        <v>0</v>
      </c>
      <c r="G10" s="72">
        <f>SUM(C10:F10)</f>
        <v>30057</v>
      </c>
      <c r="H10" s="72">
        <f>G10-B10</f>
        <v>-184.40999999999985</v>
      </c>
      <c r="I10" s="73">
        <f>$I$6</f>
        <v>4.6399999999999997</v>
      </c>
      <c r="J10" s="38">
        <v>4.82</v>
      </c>
      <c r="K10" s="74">
        <f>IF(G10*1.03&gt;B10,B10,G10*1.03)</f>
        <v>30241.41</v>
      </c>
      <c r="L10" s="73">
        <f>+I10-0.04</f>
        <v>4.5999999999999996</v>
      </c>
      <c r="M10" s="75">
        <f>+K10*L10</f>
        <v>139110.48599999998</v>
      </c>
      <c r="N10" s="76">
        <f>+B10-K10</f>
        <v>0</v>
      </c>
      <c r="O10" s="73">
        <f>+J10-0.02</f>
        <v>4.8000000000000007</v>
      </c>
      <c r="P10" s="77">
        <f>+N10*O10</f>
        <v>0</v>
      </c>
      <c r="Q10" s="76">
        <f>+K10+N10</f>
        <v>30241.41</v>
      </c>
      <c r="R10" s="78">
        <f t="shared" ref="R10:R38" si="0">IF(ISERR(S10/Q10),0,S10/Q10)</f>
        <v>4.5999999999999996</v>
      </c>
      <c r="S10" s="77">
        <f t="shared" ref="S10:S38" si="1">+M10+P10</f>
        <v>139110.48599999998</v>
      </c>
      <c r="T10" s="74">
        <f>+C10</f>
        <v>8557</v>
      </c>
      <c r="U10" s="76">
        <f>IF(B10&gt;0,T10,"0")</f>
        <v>8557</v>
      </c>
      <c r="V10" s="79">
        <f>+I10-0.05</f>
        <v>4.59</v>
      </c>
      <c r="W10" s="80">
        <f>IF(B10=0,"0", T10*V10)</f>
        <v>39276.629999999997</v>
      </c>
      <c r="X10" s="16" t="str">
        <f>IF(B10=0,T10,"0")</f>
        <v>0</v>
      </c>
      <c r="Y10" s="77">
        <f>+J10-0.1</f>
        <v>4.7200000000000006</v>
      </c>
      <c r="Z10" s="77">
        <f>+X10*Y10</f>
        <v>0</v>
      </c>
      <c r="AA10" s="81">
        <f>+C10</f>
        <v>8557</v>
      </c>
      <c r="AB10" s="77">
        <f>+AA10*$AB$6</f>
        <v>39276.629999999997</v>
      </c>
      <c r="AC10" s="80">
        <f>+Z10-AB10</f>
        <v>-39276.629999999997</v>
      </c>
      <c r="AD10" s="82">
        <f>(+B10-D10-F10)*0.92</f>
        <v>8042.0972000000002</v>
      </c>
      <c r="AE10" s="83">
        <v>4.7300000000000004</v>
      </c>
      <c r="AF10" s="77">
        <f>+AD10*AE10</f>
        <v>38039.119756000007</v>
      </c>
      <c r="AG10" s="84">
        <f>+D10</f>
        <v>21500</v>
      </c>
      <c r="AH10" s="79">
        <f>+I10-0.06</f>
        <v>4.58</v>
      </c>
      <c r="AI10" s="85">
        <f>+AG10*AH10</f>
        <v>98470</v>
      </c>
      <c r="AJ10" s="84">
        <f>+E10</f>
        <v>0</v>
      </c>
      <c r="AK10" s="79">
        <f>+I10-0.0375</f>
        <v>4.6025</v>
      </c>
      <c r="AL10" s="77">
        <f>+AJ10*AK10</f>
        <v>0</v>
      </c>
      <c r="AM10" s="84">
        <f>+F10</f>
        <v>0</v>
      </c>
      <c r="AN10" s="79">
        <f>+I10-0.0825</f>
        <v>4.5575000000000001</v>
      </c>
      <c r="AO10" s="77">
        <f>AM10*AN10</f>
        <v>0</v>
      </c>
      <c r="AP10" s="84">
        <f t="shared" ref="AP10:AP40" si="2">+T10+AG10+AJ10+AM10</f>
        <v>30057</v>
      </c>
      <c r="AQ10" s="78">
        <f t="shared" ref="AQ10:AQ38" si="3">IF(ISERR(AR10/AP10),0,AR10/AP10)</f>
        <v>4.5828469241773968</v>
      </c>
      <c r="AR10" s="77">
        <f t="shared" ref="AR10:AR40" si="4">+W10+Z10+AI10+AL10+AO10</f>
        <v>137746.63</v>
      </c>
      <c r="AS10" s="86">
        <v>101</v>
      </c>
      <c r="AT10" s="77">
        <f>I$6-0.06</f>
        <v>4.58</v>
      </c>
      <c r="AU10" s="77">
        <f>AS10*AT10</f>
        <v>462.58</v>
      </c>
      <c r="AV10" s="87">
        <f t="shared" ref="AV10:AV38" si="5">S10</f>
        <v>139110.48599999998</v>
      </c>
      <c r="AW10" s="88">
        <f>+Q10</f>
        <v>30241.41</v>
      </c>
      <c r="AX10" s="85">
        <f>+W10+Z10+AI10+AL10</f>
        <v>137746.63</v>
      </c>
      <c r="AY10" s="88">
        <f>+U10+X10+AG10+AJ10</f>
        <v>30057</v>
      </c>
      <c r="AZ10" s="85">
        <f>+AB10</f>
        <v>39276.629999999997</v>
      </c>
      <c r="BA10" s="89">
        <f>+AA10</f>
        <v>8557</v>
      </c>
      <c r="BB10" s="85">
        <f>+AF10</f>
        <v>38039.119756000007</v>
      </c>
      <c r="BC10" s="88">
        <f>+AD10</f>
        <v>8042.0972000000002</v>
      </c>
      <c r="BD10" s="85">
        <f>AU10</f>
        <v>462.58</v>
      </c>
      <c r="BE10" s="85">
        <f>-AV10+AX10-BD10</f>
        <v>-1826.4359999999706</v>
      </c>
      <c r="BF10" s="77">
        <f>(+AX10+BB10)-AV10-AZ10-BD10</f>
        <v>-3063.9462439999679</v>
      </c>
    </row>
    <row r="11" spans="1:58" x14ac:dyDescent="0.2">
      <c r="A11" s="16">
        <f>A10 + 1</f>
        <v>2</v>
      </c>
      <c r="B11" s="71">
        <v>29512.3</v>
      </c>
      <c r="C11" s="71">
        <v>8475</v>
      </c>
      <c r="D11" s="71">
        <v>21500</v>
      </c>
      <c r="E11" s="71">
        <v>0</v>
      </c>
      <c r="F11" s="71">
        <v>0</v>
      </c>
      <c r="G11" s="72">
        <f t="shared" ref="G11:G40" si="6">SUM(C11:F11)</f>
        <v>29975</v>
      </c>
      <c r="H11" s="72">
        <f>G11-B11</f>
        <v>462.70000000000073</v>
      </c>
      <c r="I11" s="73">
        <f>$I$6</f>
        <v>4.6399999999999997</v>
      </c>
      <c r="J11" s="38">
        <v>4.7699999999999996</v>
      </c>
      <c r="K11" s="74">
        <f>IF(G11*1.03&gt;B11,B11,G11*1.03)</f>
        <v>29512.3</v>
      </c>
      <c r="L11" s="73">
        <f>+I11-0.04</f>
        <v>4.5999999999999996</v>
      </c>
      <c r="M11" s="75">
        <f>+K11*L11</f>
        <v>135756.57999999999</v>
      </c>
      <c r="N11" s="76">
        <f>+B11-K11</f>
        <v>0</v>
      </c>
      <c r="O11" s="73">
        <f>+J11-0.02</f>
        <v>4.75</v>
      </c>
      <c r="P11" s="77">
        <f>+N11*O11</f>
        <v>0</v>
      </c>
      <c r="Q11" s="76">
        <f t="shared" ref="Q11:Q38" si="7">+K11+N11</f>
        <v>29512.3</v>
      </c>
      <c r="R11" s="78">
        <f t="shared" si="0"/>
        <v>4.5999999999999996</v>
      </c>
      <c r="S11" s="77">
        <f t="shared" si="1"/>
        <v>135756.57999999999</v>
      </c>
      <c r="T11" s="74">
        <f t="shared" ref="T11:T38" si="8">+C11</f>
        <v>8475</v>
      </c>
      <c r="U11" s="76">
        <f t="shared" ref="U11:U40" si="9">IF(B11&gt;0,T11,"0")</f>
        <v>8475</v>
      </c>
      <c r="V11" s="79">
        <f t="shared" ref="V11:V38" si="10">+I11-0.05</f>
        <v>4.59</v>
      </c>
      <c r="W11" s="80">
        <f t="shared" ref="W11:W40" si="11">IF(B11=0,"0", T11*V11)</f>
        <v>38900.25</v>
      </c>
      <c r="X11" s="16" t="str">
        <f t="shared" ref="X11:X40" si="12">IF(B11=0,T11,"0")</f>
        <v>0</v>
      </c>
      <c r="Y11" s="77">
        <f>+J11-0.1</f>
        <v>4.67</v>
      </c>
      <c r="Z11" s="77">
        <f t="shared" ref="Z11:Z40" si="13">+X11*Y11</f>
        <v>0</v>
      </c>
      <c r="AA11" s="81">
        <f t="shared" ref="AA11:AA40" si="14">+C11</f>
        <v>8475</v>
      </c>
      <c r="AB11" s="77">
        <f t="shared" ref="AB11:AB40" si="15">+AA11*$AB$6</f>
        <v>38900.25</v>
      </c>
      <c r="AC11" s="80"/>
      <c r="AD11" s="82">
        <f>(+B11-D11-F11)*0.92</f>
        <v>7371.3159999999998</v>
      </c>
      <c r="AE11" s="83">
        <v>4.6849999999999996</v>
      </c>
      <c r="AF11" s="77">
        <f>+AD11*AE11</f>
        <v>34534.615459999994</v>
      </c>
      <c r="AG11" s="84">
        <f t="shared" ref="AG11:AG27" si="16">+D11</f>
        <v>21500</v>
      </c>
      <c r="AH11" s="79">
        <f t="shared" ref="AH11:AH38" si="17">+I11-0.06</f>
        <v>4.58</v>
      </c>
      <c r="AI11" s="85">
        <f t="shared" ref="AI11:AI38" si="18">+AG11*AH11</f>
        <v>98470</v>
      </c>
      <c r="AJ11" s="84">
        <f t="shared" ref="AJ11:AJ40" si="19">+E11</f>
        <v>0</v>
      </c>
      <c r="AK11" s="79">
        <f t="shared" ref="AK11:AK40" si="20">+I11-0.0375</f>
        <v>4.6025</v>
      </c>
      <c r="AL11" s="77">
        <f t="shared" ref="AL11:AL40" si="21">+AJ11*AK11</f>
        <v>0</v>
      </c>
      <c r="AM11" s="84">
        <f t="shared" ref="AM11:AM40" si="22">+F11</f>
        <v>0</v>
      </c>
      <c r="AN11" s="79">
        <f t="shared" ref="AN11:AN40" si="23">+I11-0.0825</f>
        <v>4.5575000000000001</v>
      </c>
      <c r="AO11" s="77">
        <f t="shared" ref="AO11:AO40" si="24">AM11*AN11</f>
        <v>0</v>
      </c>
      <c r="AP11" s="84">
        <f t="shared" si="2"/>
        <v>29975</v>
      </c>
      <c r="AQ11" s="78">
        <f t="shared" si="3"/>
        <v>4.5828273561301085</v>
      </c>
      <c r="AR11" s="77">
        <f t="shared" si="4"/>
        <v>137370.25</v>
      </c>
      <c r="AS11" s="86">
        <v>77</v>
      </c>
      <c r="AT11" s="77">
        <f t="shared" ref="AT11:AT40" si="25">I$6-0.06</f>
        <v>4.58</v>
      </c>
      <c r="AU11" s="77">
        <f t="shared" ref="AU11:AU40" si="26">AS11*AT11</f>
        <v>352.66</v>
      </c>
      <c r="AV11" s="87">
        <f t="shared" si="5"/>
        <v>135756.57999999999</v>
      </c>
      <c r="AW11" s="88">
        <f t="shared" ref="AW11:AW39" si="27">+Q11</f>
        <v>29512.3</v>
      </c>
      <c r="AX11" s="85">
        <f t="shared" ref="AX11:AX40" si="28">+W11+Z11+AI11+AL11</f>
        <v>137370.25</v>
      </c>
      <c r="AY11" s="88">
        <f t="shared" ref="AY11:AY40" si="29">+U11+X11+AG11+AJ11</f>
        <v>29975</v>
      </c>
      <c r="AZ11" s="85">
        <f t="shared" ref="AZ11:AZ40" si="30">+AB11</f>
        <v>38900.25</v>
      </c>
      <c r="BA11" s="89">
        <f t="shared" ref="BA11:BA40" si="31">+AA11</f>
        <v>8475</v>
      </c>
      <c r="BB11" s="85">
        <f t="shared" ref="BB11:BB40" si="32">+AF11</f>
        <v>34534.615459999994</v>
      </c>
      <c r="BC11" s="88">
        <f t="shared" ref="BC11:BC40" si="33">+AD11</f>
        <v>7371.3159999999998</v>
      </c>
      <c r="BD11" s="85">
        <f t="shared" ref="BD11:BD40" si="34">AU11</f>
        <v>352.66</v>
      </c>
      <c r="BE11" s="85">
        <f>-AV11+AX11-BD11</f>
        <v>1261.0100000000127</v>
      </c>
      <c r="BF11" s="77">
        <f>(+AX11+BB11)-AV11-AZ11-BD11</f>
        <v>-3104.6245399999862</v>
      </c>
    </row>
    <row r="12" spans="1:58" x14ac:dyDescent="0.2">
      <c r="A12" s="16">
        <f t="shared" ref="A12:A37" si="35">A11 + 1</f>
        <v>3</v>
      </c>
      <c r="B12" s="71">
        <v>30155.81</v>
      </c>
      <c r="C12" s="71">
        <v>8229</v>
      </c>
      <c r="D12" s="71">
        <v>21500</v>
      </c>
      <c r="E12" s="71">
        <v>0</v>
      </c>
      <c r="F12" s="71">
        <v>0</v>
      </c>
      <c r="G12" s="72">
        <f t="shared" si="6"/>
        <v>29729</v>
      </c>
      <c r="H12" s="72">
        <f>G12-B12</f>
        <v>-426.81000000000131</v>
      </c>
      <c r="I12" s="73">
        <f>$I$6</f>
        <v>4.6399999999999997</v>
      </c>
      <c r="J12" s="38">
        <v>4.7699999999999996</v>
      </c>
      <c r="K12" s="74">
        <f>IF(G12*1.03&gt;B12,B12,G12*1.03)</f>
        <v>30155.81</v>
      </c>
      <c r="L12" s="73">
        <f>+I12-0.04</f>
        <v>4.5999999999999996</v>
      </c>
      <c r="M12" s="75">
        <f>+K12*L12</f>
        <v>138716.726</v>
      </c>
      <c r="N12" s="76">
        <f>+B12-K12</f>
        <v>0</v>
      </c>
      <c r="O12" s="73">
        <f>+J12-0.02</f>
        <v>4.75</v>
      </c>
      <c r="P12" s="77">
        <f>+N12*O12</f>
        <v>0</v>
      </c>
      <c r="Q12" s="76">
        <f t="shared" si="7"/>
        <v>30155.81</v>
      </c>
      <c r="R12" s="78">
        <f t="shared" si="0"/>
        <v>4.5999999999999996</v>
      </c>
      <c r="S12" s="77">
        <f t="shared" si="1"/>
        <v>138716.726</v>
      </c>
      <c r="T12" s="74">
        <f t="shared" si="8"/>
        <v>8229</v>
      </c>
      <c r="U12" s="76">
        <f t="shared" si="9"/>
        <v>8229</v>
      </c>
      <c r="V12" s="79">
        <f t="shared" si="10"/>
        <v>4.59</v>
      </c>
      <c r="W12" s="80">
        <f t="shared" si="11"/>
        <v>37771.11</v>
      </c>
      <c r="X12" s="16" t="str">
        <f t="shared" si="12"/>
        <v>0</v>
      </c>
      <c r="Y12" s="77">
        <f t="shared" ref="Y12:Y40" si="36">+J12-0.1</f>
        <v>4.67</v>
      </c>
      <c r="Z12" s="77">
        <f t="shared" si="13"/>
        <v>0</v>
      </c>
      <c r="AA12" s="81">
        <f t="shared" si="14"/>
        <v>8229</v>
      </c>
      <c r="AB12" s="77">
        <f t="shared" si="15"/>
        <v>37771.11</v>
      </c>
      <c r="AC12" s="80"/>
      <c r="AD12" s="82">
        <f t="shared" ref="AD12:AD40" si="37">(+B12-D12-F12)*0.92</f>
        <v>7963.3452000000016</v>
      </c>
      <c r="AE12" s="83">
        <v>4.6849999999999996</v>
      </c>
      <c r="AF12" s="77">
        <f>+AD12*AE12</f>
        <v>37308.272262000006</v>
      </c>
      <c r="AG12" s="84">
        <f t="shared" si="16"/>
        <v>21500</v>
      </c>
      <c r="AH12" s="79">
        <f t="shared" si="17"/>
        <v>4.58</v>
      </c>
      <c r="AI12" s="85">
        <f t="shared" si="18"/>
        <v>98470</v>
      </c>
      <c r="AJ12" s="84">
        <f t="shared" si="19"/>
        <v>0</v>
      </c>
      <c r="AK12" s="79">
        <f t="shared" si="20"/>
        <v>4.6025</v>
      </c>
      <c r="AL12" s="77">
        <f t="shared" si="21"/>
        <v>0</v>
      </c>
      <c r="AM12" s="84">
        <f t="shared" si="22"/>
        <v>0</v>
      </c>
      <c r="AN12" s="79">
        <f t="shared" si="23"/>
        <v>4.5575000000000001</v>
      </c>
      <c r="AO12" s="77">
        <f t="shared" si="24"/>
        <v>0</v>
      </c>
      <c r="AP12" s="84">
        <f t="shared" si="2"/>
        <v>29729</v>
      </c>
      <c r="AQ12" s="78">
        <f t="shared" si="3"/>
        <v>4.5827680043055601</v>
      </c>
      <c r="AR12" s="77">
        <f t="shared" si="4"/>
        <v>136241.10999999999</v>
      </c>
      <c r="AS12" s="86">
        <v>73</v>
      </c>
      <c r="AT12" s="77">
        <f t="shared" si="25"/>
        <v>4.58</v>
      </c>
      <c r="AU12" s="77">
        <f t="shared" si="26"/>
        <v>334.34000000000003</v>
      </c>
      <c r="AV12" s="87">
        <f t="shared" si="5"/>
        <v>138716.726</v>
      </c>
      <c r="AW12" s="88">
        <f t="shared" si="27"/>
        <v>30155.81</v>
      </c>
      <c r="AX12" s="85">
        <f t="shared" si="28"/>
        <v>136241.10999999999</v>
      </c>
      <c r="AY12" s="88">
        <f t="shared" si="29"/>
        <v>29729</v>
      </c>
      <c r="AZ12" s="85">
        <f t="shared" si="30"/>
        <v>37771.11</v>
      </c>
      <c r="BA12" s="89">
        <f t="shared" si="31"/>
        <v>8229</v>
      </c>
      <c r="BB12" s="85">
        <f t="shared" si="32"/>
        <v>37308.272262000006</v>
      </c>
      <c r="BC12" s="88">
        <f t="shared" si="33"/>
        <v>7963.3452000000016</v>
      </c>
      <c r="BD12" s="85">
        <f t="shared" si="34"/>
        <v>334.34000000000003</v>
      </c>
      <c r="BE12" s="85">
        <f t="shared" ref="BE12:BE40" si="38">-AV12+AX12-BD12</f>
        <v>-2809.9560000000092</v>
      </c>
      <c r="BF12" s="77">
        <f t="shared" ref="BF12:BF40" si="39">(+AX12+BB12)-AV12-AZ12-BD12</f>
        <v>-3272.7937379999967</v>
      </c>
    </row>
    <row r="13" spans="1:58" x14ac:dyDescent="0.2">
      <c r="A13" s="16">
        <f t="shared" si="35"/>
        <v>4</v>
      </c>
      <c r="B13" s="71">
        <v>30234.080000000002</v>
      </c>
      <c r="C13" s="71">
        <v>7900</v>
      </c>
      <c r="D13" s="71">
        <v>21500</v>
      </c>
      <c r="E13" s="71">
        <v>0</v>
      </c>
      <c r="F13" s="71">
        <v>0</v>
      </c>
      <c r="G13" s="72">
        <f t="shared" si="6"/>
        <v>29400</v>
      </c>
      <c r="H13" s="72">
        <f t="shared" ref="H13:H38" si="40">G13-B13</f>
        <v>-834.08000000000175</v>
      </c>
      <c r="I13" s="73">
        <f t="shared" ref="I13:I40" si="41">$I$6</f>
        <v>4.6399999999999997</v>
      </c>
      <c r="J13" s="38">
        <v>4.7699999999999996</v>
      </c>
      <c r="K13" s="74">
        <f t="shared" ref="K13:K38" si="42">IF(G13*1.03&gt;B13,B13,G13*1.03)</f>
        <v>30234.080000000002</v>
      </c>
      <c r="L13" s="73">
        <f t="shared" ref="L13:L38" si="43">+I13-0.04</f>
        <v>4.5999999999999996</v>
      </c>
      <c r="M13" s="75">
        <f t="shared" ref="M13:M38" si="44">+K13*L13</f>
        <v>139076.76800000001</v>
      </c>
      <c r="N13" s="76">
        <f t="shared" ref="N13:N38" si="45">+B13-K13</f>
        <v>0</v>
      </c>
      <c r="O13" s="73">
        <f t="shared" ref="O13:O38" si="46">+J13-0.02</f>
        <v>4.75</v>
      </c>
      <c r="P13" s="77">
        <f t="shared" ref="P13:P38" si="47">+N13*O13</f>
        <v>0</v>
      </c>
      <c r="Q13" s="76">
        <f t="shared" si="7"/>
        <v>30234.080000000002</v>
      </c>
      <c r="R13" s="78">
        <f t="shared" si="0"/>
        <v>4.6000000000000005</v>
      </c>
      <c r="S13" s="77">
        <f t="shared" si="1"/>
        <v>139076.76800000001</v>
      </c>
      <c r="T13" s="74">
        <f t="shared" si="8"/>
        <v>7900</v>
      </c>
      <c r="U13" s="76">
        <f t="shared" si="9"/>
        <v>7900</v>
      </c>
      <c r="V13" s="79">
        <f t="shared" si="10"/>
        <v>4.59</v>
      </c>
      <c r="W13" s="80">
        <f t="shared" si="11"/>
        <v>36261</v>
      </c>
      <c r="X13" s="16" t="str">
        <f t="shared" si="12"/>
        <v>0</v>
      </c>
      <c r="Y13" s="77">
        <f t="shared" si="36"/>
        <v>4.67</v>
      </c>
      <c r="Z13" s="77">
        <f t="shared" si="13"/>
        <v>0</v>
      </c>
      <c r="AA13" s="81">
        <f t="shared" si="14"/>
        <v>7900</v>
      </c>
      <c r="AB13" s="77">
        <f t="shared" si="15"/>
        <v>36261</v>
      </c>
      <c r="AC13" s="80"/>
      <c r="AD13" s="82">
        <f t="shared" si="37"/>
        <v>8035.3536000000022</v>
      </c>
      <c r="AE13" s="83">
        <v>4.6849999999999996</v>
      </c>
      <c r="AF13" s="77">
        <f>+AD13*AE13</f>
        <v>37645.631616000006</v>
      </c>
      <c r="AG13" s="84">
        <f t="shared" si="16"/>
        <v>21500</v>
      </c>
      <c r="AH13" s="79">
        <f t="shared" si="17"/>
        <v>4.58</v>
      </c>
      <c r="AI13" s="85">
        <f t="shared" si="18"/>
        <v>98470</v>
      </c>
      <c r="AJ13" s="84">
        <f t="shared" si="19"/>
        <v>0</v>
      </c>
      <c r="AK13" s="79">
        <f t="shared" si="20"/>
        <v>4.6025</v>
      </c>
      <c r="AL13" s="77">
        <f t="shared" si="21"/>
        <v>0</v>
      </c>
      <c r="AM13" s="84">
        <f t="shared" si="22"/>
        <v>0</v>
      </c>
      <c r="AN13" s="79">
        <f t="shared" si="23"/>
        <v>4.5575000000000001</v>
      </c>
      <c r="AO13" s="77">
        <f t="shared" si="24"/>
        <v>0</v>
      </c>
      <c r="AP13" s="84">
        <f t="shared" si="2"/>
        <v>29400</v>
      </c>
      <c r="AQ13" s="78">
        <f t="shared" si="3"/>
        <v>4.5826870748299315</v>
      </c>
      <c r="AR13" s="77">
        <f t="shared" si="4"/>
        <v>134731</v>
      </c>
      <c r="AS13" s="86">
        <v>75</v>
      </c>
      <c r="AT13" s="77">
        <f t="shared" si="25"/>
        <v>4.58</v>
      </c>
      <c r="AU13" s="77">
        <f t="shared" si="26"/>
        <v>343.5</v>
      </c>
      <c r="AV13" s="87">
        <f t="shared" si="5"/>
        <v>139076.76800000001</v>
      </c>
      <c r="AW13" s="88">
        <f t="shared" si="27"/>
        <v>30234.080000000002</v>
      </c>
      <c r="AX13" s="85">
        <f t="shared" si="28"/>
        <v>134731</v>
      </c>
      <c r="AY13" s="88">
        <f t="shared" si="29"/>
        <v>29400</v>
      </c>
      <c r="AZ13" s="85">
        <f t="shared" si="30"/>
        <v>36261</v>
      </c>
      <c r="BA13" s="89">
        <f t="shared" si="31"/>
        <v>7900</v>
      </c>
      <c r="BB13" s="85">
        <f t="shared" si="32"/>
        <v>37645.631616000006</v>
      </c>
      <c r="BC13" s="88">
        <f t="shared" si="33"/>
        <v>8035.3536000000022</v>
      </c>
      <c r="BD13" s="85">
        <f t="shared" si="34"/>
        <v>343.5</v>
      </c>
      <c r="BE13" s="85">
        <f t="shared" si="38"/>
        <v>-4689.2680000000109</v>
      </c>
      <c r="BF13" s="77">
        <f t="shared" si="39"/>
        <v>-3304.6363840000122</v>
      </c>
    </row>
    <row r="14" spans="1:58" x14ac:dyDescent="0.2">
      <c r="A14" s="16">
        <f t="shared" si="35"/>
        <v>5</v>
      </c>
      <c r="B14" s="71">
        <v>30261.759999999998</v>
      </c>
      <c r="C14" s="71">
        <v>6891</v>
      </c>
      <c r="D14" s="71">
        <v>21500</v>
      </c>
      <c r="E14" s="71">
        <v>0</v>
      </c>
      <c r="F14" s="71">
        <v>0</v>
      </c>
      <c r="G14" s="72">
        <f t="shared" si="6"/>
        <v>28391</v>
      </c>
      <c r="H14" s="72">
        <f t="shared" si="40"/>
        <v>-1870.7599999999984</v>
      </c>
      <c r="I14" s="73">
        <f t="shared" si="41"/>
        <v>4.6399999999999997</v>
      </c>
      <c r="J14" s="38">
        <v>4.7699999999999996</v>
      </c>
      <c r="K14" s="74">
        <f t="shared" si="42"/>
        <v>29242.73</v>
      </c>
      <c r="L14" s="73">
        <f t="shared" si="43"/>
        <v>4.5999999999999996</v>
      </c>
      <c r="M14" s="75">
        <f t="shared" si="44"/>
        <v>134516.55799999999</v>
      </c>
      <c r="N14" s="76">
        <f t="shared" si="45"/>
        <v>1019.0299999999988</v>
      </c>
      <c r="O14" s="73">
        <f t="shared" si="46"/>
        <v>4.75</v>
      </c>
      <c r="P14" s="77">
        <f t="shared" si="47"/>
        <v>4840.3924999999945</v>
      </c>
      <c r="Q14" s="76">
        <f t="shared" si="7"/>
        <v>30261.759999999998</v>
      </c>
      <c r="R14" s="78">
        <f t="shared" si="0"/>
        <v>4.605051077663691</v>
      </c>
      <c r="S14" s="77">
        <f t="shared" si="1"/>
        <v>139356.95049999998</v>
      </c>
      <c r="T14" s="74">
        <f t="shared" si="8"/>
        <v>6891</v>
      </c>
      <c r="U14" s="76">
        <f t="shared" si="9"/>
        <v>6891</v>
      </c>
      <c r="V14" s="79">
        <f t="shared" si="10"/>
        <v>4.59</v>
      </c>
      <c r="W14" s="80">
        <f t="shared" si="11"/>
        <v>31629.69</v>
      </c>
      <c r="X14" s="16" t="str">
        <f t="shared" si="12"/>
        <v>0</v>
      </c>
      <c r="Y14" s="77">
        <f t="shared" si="36"/>
        <v>4.67</v>
      </c>
      <c r="Z14" s="77">
        <f t="shared" si="13"/>
        <v>0</v>
      </c>
      <c r="AA14" s="81">
        <f t="shared" si="14"/>
        <v>6891</v>
      </c>
      <c r="AB14" s="77">
        <f t="shared" si="15"/>
        <v>31629.69</v>
      </c>
      <c r="AC14" s="80"/>
      <c r="AD14" s="82">
        <f t="shared" si="37"/>
        <v>8060.819199999999</v>
      </c>
      <c r="AE14" s="83">
        <v>4.6849999999999996</v>
      </c>
      <c r="AF14" s="77">
        <f t="shared" ref="AF14:AF40" si="48">+AD14*AE14</f>
        <v>37764.937951999993</v>
      </c>
      <c r="AG14" s="84">
        <f t="shared" si="16"/>
        <v>21500</v>
      </c>
      <c r="AH14" s="79">
        <f t="shared" si="17"/>
        <v>4.58</v>
      </c>
      <c r="AI14" s="85">
        <f t="shared" si="18"/>
        <v>98470</v>
      </c>
      <c r="AJ14" s="84">
        <f t="shared" si="19"/>
        <v>0</v>
      </c>
      <c r="AK14" s="79">
        <f t="shared" si="20"/>
        <v>4.6025</v>
      </c>
      <c r="AL14" s="77">
        <f t="shared" si="21"/>
        <v>0</v>
      </c>
      <c r="AM14" s="84">
        <f t="shared" si="22"/>
        <v>0</v>
      </c>
      <c r="AN14" s="79">
        <f t="shared" si="23"/>
        <v>4.5575000000000001</v>
      </c>
      <c r="AO14" s="77">
        <f t="shared" si="24"/>
        <v>0</v>
      </c>
      <c r="AP14" s="84">
        <f t="shared" si="2"/>
        <v>28391</v>
      </c>
      <c r="AQ14" s="78">
        <f t="shared" si="3"/>
        <v>4.5824271776267125</v>
      </c>
      <c r="AR14" s="77">
        <f t="shared" si="4"/>
        <v>130099.69</v>
      </c>
      <c r="AS14" s="86">
        <v>82</v>
      </c>
      <c r="AT14" s="77">
        <f t="shared" si="25"/>
        <v>4.58</v>
      </c>
      <c r="AU14" s="77">
        <f t="shared" si="26"/>
        <v>375.56</v>
      </c>
      <c r="AV14" s="87">
        <f t="shared" si="5"/>
        <v>139356.95049999998</v>
      </c>
      <c r="AW14" s="88">
        <f t="shared" si="27"/>
        <v>30261.759999999998</v>
      </c>
      <c r="AX14" s="85">
        <f t="shared" si="28"/>
        <v>130099.69</v>
      </c>
      <c r="AY14" s="88">
        <f t="shared" si="29"/>
        <v>28391</v>
      </c>
      <c r="AZ14" s="85">
        <f t="shared" si="30"/>
        <v>31629.69</v>
      </c>
      <c r="BA14" s="89">
        <f t="shared" si="31"/>
        <v>6891</v>
      </c>
      <c r="BB14" s="85">
        <f t="shared" si="32"/>
        <v>37764.937951999993</v>
      </c>
      <c r="BC14" s="88">
        <f t="shared" si="33"/>
        <v>8060.819199999999</v>
      </c>
      <c r="BD14" s="85">
        <f t="shared" si="34"/>
        <v>375.56</v>
      </c>
      <c r="BE14" s="85">
        <f t="shared" si="38"/>
        <v>-9632.8204999999743</v>
      </c>
      <c r="BF14" s="77">
        <f t="shared" si="39"/>
        <v>-3497.572547999966</v>
      </c>
    </row>
    <row r="15" spans="1:58" x14ac:dyDescent="0.2">
      <c r="A15" s="16">
        <f t="shared" si="35"/>
        <v>6</v>
      </c>
      <c r="B15" s="71">
        <v>30252.82</v>
      </c>
      <c r="C15" s="71">
        <v>7264</v>
      </c>
      <c r="D15" s="71">
        <v>0</v>
      </c>
      <c r="E15" s="90">
        <v>10545</v>
      </c>
      <c r="F15" s="71">
        <v>10955</v>
      </c>
      <c r="G15" s="72">
        <f t="shared" si="6"/>
        <v>28764</v>
      </c>
      <c r="H15" s="72">
        <f t="shared" si="40"/>
        <v>-1488.8199999999997</v>
      </c>
      <c r="I15" s="73">
        <f t="shared" si="41"/>
        <v>4.6399999999999997</v>
      </c>
      <c r="J15" s="38">
        <v>4.8550000000000004</v>
      </c>
      <c r="K15" s="74">
        <f t="shared" si="42"/>
        <v>29626.920000000002</v>
      </c>
      <c r="L15" s="73">
        <f t="shared" si="43"/>
        <v>4.5999999999999996</v>
      </c>
      <c r="M15" s="75">
        <f t="shared" si="44"/>
        <v>136283.83199999999</v>
      </c>
      <c r="N15" s="76">
        <f t="shared" si="45"/>
        <v>625.89999999999782</v>
      </c>
      <c r="O15" s="73">
        <f t="shared" si="46"/>
        <v>4.8350000000000009</v>
      </c>
      <c r="P15" s="77">
        <f t="shared" si="47"/>
        <v>3026.2264999999898</v>
      </c>
      <c r="Q15" s="76">
        <f t="shared" si="7"/>
        <v>30252.82</v>
      </c>
      <c r="R15" s="78">
        <f t="shared" si="0"/>
        <v>4.6048619103938071</v>
      </c>
      <c r="S15" s="77">
        <f t="shared" si="1"/>
        <v>139310.05849999998</v>
      </c>
      <c r="T15" s="74">
        <f t="shared" si="8"/>
        <v>7264</v>
      </c>
      <c r="U15" s="76">
        <f t="shared" si="9"/>
        <v>7264</v>
      </c>
      <c r="V15" s="79">
        <f t="shared" si="10"/>
        <v>4.59</v>
      </c>
      <c r="W15" s="80">
        <f t="shared" si="11"/>
        <v>33341.760000000002</v>
      </c>
      <c r="X15" s="16" t="str">
        <f t="shared" si="12"/>
        <v>0</v>
      </c>
      <c r="Y15" s="77">
        <f t="shared" si="36"/>
        <v>4.7550000000000008</v>
      </c>
      <c r="Z15" s="77">
        <f t="shared" si="13"/>
        <v>0</v>
      </c>
      <c r="AA15" s="81">
        <f t="shared" si="14"/>
        <v>7264</v>
      </c>
      <c r="AB15" s="77">
        <f t="shared" si="15"/>
        <v>33341.760000000002</v>
      </c>
      <c r="AC15" s="80"/>
      <c r="AD15" s="82">
        <f t="shared" si="37"/>
        <v>17753.9944</v>
      </c>
      <c r="AE15" s="83">
        <v>4.7750000000000004</v>
      </c>
      <c r="AF15" s="77">
        <f t="shared" si="48"/>
        <v>84775.323260000005</v>
      </c>
      <c r="AG15" s="84">
        <f t="shared" si="16"/>
        <v>0</v>
      </c>
      <c r="AH15" s="79">
        <f t="shared" si="17"/>
        <v>4.58</v>
      </c>
      <c r="AI15" s="85">
        <f t="shared" si="18"/>
        <v>0</v>
      </c>
      <c r="AJ15" s="84">
        <v>10545</v>
      </c>
      <c r="AK15" s="91">
        <f>+J15+0.04</f>
        <v>4.8950000000000005</v>
      </c>
      <c r="AL15" s="77">
        <f t="shared" si="21"/>
        <v>51617.775000000001</v>
      </c>
      <c r="AM15" s="84">
        <f t="shared" si="22"/>
        <v>10955</v>
      </c>
      <c r="AN15" s="79">
        <f t="shared" si="23"/>
        <v>4.5575000000000001</v>
      </c>
      <c r="AO15" s="77">
        <f t="shared" si="24"/>
        <v>49927.412499999999</v>
      </c>
      <c r="AP15" s="84">
        <f t="shared" si="2"/>
        <v>28764</v>
      </c>
      <c r="AQ15" s="78">
        <f t="shared" si="3"/>
        <v>4.6894363614240024</v>
      </c>
      <c r="AR15" s="77">
        <f t="shared" si="4"/>
        <v>134886.94750000001</v>
      </c>
      <c r="AS15" s="86">
        <v>0</v>
      </c>
      <c r="AT15" s="77">
        <f t="shared" si="25"/>
        <v>4.58</v>
      </c>
      <c r="AU15" s="77">
        <f t="shared" si="26"/>
        <v>0</v>
      </c>
      <c r="AV15" s="87">
        <f t="shared" si="5"/>
        <v>139310.05849999998</v>
      </c>
      <c r="AW15" s="88">
        <f t="shared" si="27"/>
        <v>30252.82</v>
      </c>
      <c r="AX15" s="85">
        <f>+W15+Z15+AI15+AL15+AO15</f>
        <v>134886.94750000001</v>
      </c>
      <c r="AY15" s="88">
        <f>+U15+X15+AG15+AJ15+AM15</f>
        <v>28764</v>
      </c>
      <c r="AZ15" s="85">
        <f t="shared" si="30"/>
        <v>33341.760000000002</v>
      </c>
      <c r="BA15" s="89">
        <f t="shared" si="31"/>
        <v>7264</v>
      </c>
      <c r="BB15" s="85">
        <f t="shared" si="32"/>
        <v>84775.323260000005</v>
      </c>
      <c r="BC15" s="88">
        <f t="shared" si="33"/>
        <v>17753.9944</v>
      </c>
      <c r="BD15" s="85">
        <f t="shared" si="34"/>
        <v>0</v>
      </c>
      <c r="BE15" s="85">
        <f t="shared" si="38"/>
        <v>-4423.1109999999753</v>
      </c>
      <c r="BF15" s="77">
        <f t="shared" si="39"/>
        <v>47010.452260000027</v>
      </c>
    </row>
    <row r="16" spans="1:58" x14ac:dyDescent="0.2">
      <c r="A16" s="16">
        <f t="shared" si="35"/>
        <v>7</v>
      </c>
      <c r="B16" s="71">
        <v>31497</v>
      </c>
      <c r="C16" s="71">
        <v>9040</v>
      </c>
      <c r="D16" s="71">
        <v>0</v>
      </c>
      <c r="E16" s="71">
        <v>0</v>
      </c>
      <c r="F16" s="71">
        <v>21500</v>
      </c>
      <c r="G16" s="72">
        <f t="shared" si="6"/>
        <v>30540</v>
      </c>
      <c r="H16" s="72">
        <f t="shared" si="40"/>
        <v>-957</v>
      </c>
      <c r="I16" s="73">
        <f t="shared" si="41"/>
        <v>4.6399999999999997</v>
      </c>
      <c r="J16" s="38">
        <v>4.96</v>
      </c>
      <c r="K16" s="74">
        <f t="shared" si="42"/>
        <v>31456.2</v>
      </c>
      <c r="L16" s="73">
        <f t="shared" si="43"/>
        <v>4.5999999999999996</v>
      </c>
      <c r="M16" s="75">
        <f t="shared" si="44"/>
        <v>144698.51999999999</v>
      </c>
      <c r="N16" s="76">
        <f t="shared" si="45"/>
        <v>40.799999999999272</v>
      </c>
      <c r="O16" s="73">
        <f t="shared" si="46"/>
        <v>4.9400000000000004</v>
      </c>
      <c r="P16" s="77">
        <f t="shared" si="47"/>
        <v>201.55199999999641</v>
      </c>
      <c r="Q16" s="76">
        <f t="shared" si="7"/>
        <v>31497</v>
      </c>
      <c r="R16" s="78">
        <f t="shared" si="0"/>
        <v>4.6004404228974183</v>
      </c>
      <c r="S16" s="77">
        <f t="shared" si="1"/>
        <v>144900.07199999999</v>
      </c>
      <c r="T16" s="74">
        <f t="shared" si="8"/>
        <v>9040</v>
      </c>
      <c r="U16" s="76">
        <f t="shared" si="9"/>
        <v>9040</v>
      </c>
      <c r="V16" s="79">
        <f t="shared" si="10"/>
        <v>4.59</v>
      </c>
      <c r="W16" s="80">
        <f t="shared" si="11"/>
        <v>41493.599999999999</v>
      </c>
      <c r="X16" s="16" t="str">
        <f t="shared" si="12"/>
        <v>0</v>
      </c>
      <c r="Y16" s="77">
        <f t="shared" si="36"/>
        <v>4.8600000000000003</v>
      </c>
      <c r="Z16" s="77">
        <f t="shared" si="13"/>
        <v>0</v>
      </c>
      <c r="AA16" s="81">
        <f t="shared" si="14"/>
        <v>9040</v>
      </c>
      <c r="AB16" s="77">
        <f t="shared" si="15"/>
        <v>41493.599999999999</v>
      </c>
      <c r="AC16" s="80"/>
      <c r="AD16" s="82">
        <f t="shared" si="37"/>
        <v>9197.24</v>
      </c>
      <c r="AE16" s="83">
        <v>4.87</v>
      </c>
      <c r="AF16" s="77">
        <f t="shared" si="48"/>
        <v>44790.558799999999</v>
      </c>
      <c r="AG16" s="84">
        <f t="shared" si="16"/>
        <v>0</v>
      </c>
      <c r="AH16" s="79">
        <f t="shared" si="17"/>
        <v>4.58</v>
      </c>
      <c r="AI16" s="85">
        <f t="shared" si="18"/>
        <v>0</v>
      </c>
      <c r="AJ16" s="84">
        <v>0</v>
      </c>
      <c r="AK16" s="79">
        <f t="shared" si="20"/>
        <v>4.6025</v>
      </c>
      <c r="AL16" s="77">
        <f t="shared" si="21"/>
        <v>0</v>
      </c>
      <c r="AM16" s="84">
        <f t="shared" si="22"/>
        <v>21500</v>
      </c>
      <c r="AN16" s="79">
        <f t="shared" si="23"/>
        <v>4.5575000000000001</v>
      </c>
      <c r="AO16" s="77">
        <f t="shared" si="24"/>
        <v>97986.25</v>
      </c>
      <c r="AP16" s="84">
        <f t="shared" si="2"/>
        <v>30540</v>
      </c>
      <c r="AQ16" s="78">
        <f t="shared" si="3"/>
        <v>4.5671201702685007</v>
      </c>
      <c r="AR16" s="77">
        <f t="shared" si="4"/>
        <v>139479.85</v>
      </c>
      <c r="AS16" s="86">
        <v>0</v>
      </c>
      <c r="AT16" s="77">
        <f t="shared" si="25"/>
        <v>4.58</v>
      </c>
      <c r="AU16" s="77">
        <f t="shared" si="26"/>
        <v>0</v>
      </c>
      <c r="AV16" s="87">
        <f t="shared" si="5"/>
        <v>144900.07199999999</v>
      </c>
      <c r="AW16" s="88">
        <f t="shared" si="27"/>
        <v>31497</v>
      </c>
      <c r="AX16" s="85">
        <f>+W16+Z16+AI16+AL16+AO16</f>
        <v>139479.85</v>
      </c>
      <c r="AY16" s="88">
        <f>+U16+X16+AG16+AJ16+AM16</f>
        <v>30540</v>
      </c>
      <c r="AZ16" s="85">
        <f t="shared" si="30"/>
        <v>41493.599999999999</v>
      </c>
      <c r="BA16" s="89">
        <f t="shared" si="31"/>
        <v>9040</v>
      </c>
      <c r="BB16" s="85">
        <f t="shared" si="32"/>
        <v>44790.558799999999</v>
      </c>
      <c r="BC16" s="88">
        <f t="shared" si="33"/>
        <v>9197.24</v>
      </c>
      <c r="BD16" s="85">
        <f t="shared" si="34"/>
        <v>0</v>
      </c>
      <c r="BE16" s="85">
        <f t="shared" si="38"/>
        <v>-5420.2219999999797</v>
      </c>
      <c r="BF16" s="77">
        <f t="shared" si="39"/>
        <v>-2123.2631999999794</v>
      </c>
    </row>
    <row r="17" spans="1:58" x14ac:dyDescent="0.2">
      <c r="A17" s="16">
        <f t="shared" si="35"/>
        <v>8</v>
      </c>
      <c r="B17" s="71">
        <v>3851.61</v>
      </c>
      <c r="C17" s="71">
        <v>8981</v>
      </c>
      <c r="D17" s="71">
        <v>0</v>
      </c>
      <c r="E17" s="71">
        <v>0</v>
      </c>
      <c r="F17" s="71">
        <v>0</v>
      </c>
      <c r="G17" s="72">
        <f t="shared" si="6"/>
        <v>8981</v>
      </c>
      <c r="H17" s="72">
        <f t="shared" si="40"/>
        <v>5129.3899999999994</v>
      </c>
      <c r="I17" s="73">
        <f t="shared" si="41"/>
        <v>4.6399999999999997</v>
      </c>
      <c r="J17" s="38">
        <v>4.87</v>
      </c>
      <c r="K17" s="74">
        <f t="shared" si="42"/>
        <v>3851.61</v>
      </c>
      <c r="L17" s="73">
        <f t="shared" si="43"/>
        <v>4.5999999999999996</v>
      </c>
      <c r="M17" s="75">
        <f t="shared" si="44"/>
        <v>17717.405999999999</v>
      </c>
      <c r="N17" s="76">
        <f t="shared" si="45"/>
        <v>0</v>
      </c>
      <c r="O17" s="73">
        <f t="shared" si="46"/>
        <v>4.8500000000000005</v>
      </c>
      <c r="P17" s="77">
        <f t="shared" si="47"/>
        <v>0</v>
      </c>
      <c r="Q17" s="76">
        <f t="shared" si="7"/>
        <v>3851.61</v>
      </c>
      <c r="R17" s="78">
        <f t="shared" si="0"/>
        <v>4.5999999999999996</v>
      </c>
      <c r="S17" s="77">
        <f t="shared" si="1"/>
        <v>17717.405999999999</v>
      </c>
      <c r="T17" s="74">
        <f t="shared" si="8"/>
        <v>8981</v>
      </c>
      <c r="U17" s="76">
        <f t="shared" si="9"/>
        <v>8981</v>
      </c>
      <c r="V17" s="79">
        <f t="shared" si="10"/>
        <v>4.59</v>
      </c>
      <c r="W17" s="80">
        <f t="shared" si="11"/>
        <v>41222.79</v>
      </c>
      <c r="X17" s="16" t="str">
        <f t="shared" si="12"/>
        <v>0</v>
      </c>
      <c r="Y17" s="77">
        <f t="shared" si="36"/>
        <v>4.7700000000000005</v>
      </c>
      <c r="Z17" s="77">
        <f t="shared" si="13"/>
        <v>0</v>
      </c>
      <c r="AA17" s="81">
        <f t="shared" si="14"/>
        <v>8981</v>
      </c>
      <c r="AB17" s="77">
        <f t="shared" si="15"/>
        <v>41222.79</v>
      </c>
      <c r="AC17" s="80"/>
      <c r="AD17" s="82">
        <f t="shared" si="37"/>
        <v>3543.4812000000002</v>
      </c>
      <c r="AE17" s="83">
        <v>4.8</v>
      </c>
      <c r="AF17" s="77">
        <f t="shared" si="48"/>
        <v>17008.709760000002</v>
      </c>
      <c r="AG17" s="84">
        <f t="shared" si="16"/>
        <v>0</v>
      </c>
      <c r="AH17" s="79">
        <f t="shared" si="17"/>
        <v>4.58</v>
      </c>
      <c r="AI17" s="85">
        <f t="shared" si="18"/>
        <v>0</v>
      </c>
      <c r="AJ17" s="84">
        <f t="shared" si="19"/>
        <v>0</v>
      </c>
      <c r="AK17" s="79">
        <f t="shared" si="20"/>
        <v>4.6025</v>
      </c>
      <c r="AL17" s="77">
        <f t="shared" si="21"/>
        <v>0</v>
      </c>
      <c r="AM17" s="84">
        <f t="shared" si="22"/>
        <v>0</v>
      </c>
      <c r="AN17" s="79">
        <f t="shared" si="23"/>
        <v>4.5575000000000001</v>
      </c>
      <c r="AO17" s="77">
        <f t="shared" si="24"/>
        <v>0</v>
      </c>
      <c r="AP17" s="84">
        <f t="shared" si="2"/>
        <v>8981</v>
      </c>
      <c r="AQ17" s="78">
        <f t="shared" si="3"/>
        <v>4.59</v>
      </c>
      <c r="AR17" s="77">
        <f t="shared" si="4"/>
        <v>41222.79</v>
      </c>
      <c r="AS17" s="86">
        <v>0</v>
      </c>
      <c r="AT17" s="77">
        <f t="shared" si="25"/>
        <v>4.58</v>
      </c>
      <c r="AU17" s="77">
        <f t="shared" si="26"/>
        <v>0</v>
      </c>
      <c r="AV17" s="87">
        <f t="shared" si="5"/>
        <v>17717.405999999999</v>
      </c>
      <c r="AW17" s="88">
        <f t="shared" si="27"/>
        <v>3851.61</v>
      </c>
      <c r="AX17" s="85">
        <f t="shared" si="28"/>
        <v>41222.79</v>
      </c>
      <c r="AY17" s="88">
        <f t="shared" si="29"/>
        <v>8981</v>
      </c>
      <c r="AZ17" s="85">
        <f t="shared" si="30"/>
        <v>41222.79</v>
      </c>
      <c r="BA17" s="89">
        <f t="shared" si="31"/>
        <v>8981</v>
      </c>
      <c r="BB17" s="85">
        <f t="shared" si="32"/>
        <v>17008.709760000002</v>
      </c>
      <c r="BC17" s="88">
        <f t="shared" si="33"/>
        <v>3543.4812000000002</v>
      </c>
      <c r="BD17" s="85">
        <f t="shared" si="34"/>
        <v>0</v>
      </c>
      <c r="BE17" s="85">
        <f t="shared" si="38"/>
        <v>23505.384000000002</v>
      </c>
      <c r="BF17" s="77">
        <f t="shared" si="39"/>
        <v>-708.69623999999749</v>
      </c>
    </row>
    <row r="18" spans="1:58" x14ac:dyDescent="0.2">
      <c r="A18" s="16">
        <f t="shared" si="35"/>
        <v>9</v>
      </c>
      <c r="B18" s="71">
        <v>27997.27</v>
      </c>
      <c r="C18" s="71">
        <v>8361</v>
      </c>
      <c r="D18" s="71">
        <v>15000</v>
      </c>
      <c r="E18" s="71">
        <v>0</v>
      </c>
      <c r="F18" s="71">
        <v>6500</v>
      </c>
      <c r="G18" s="72">
        <f t="shared" si="6"/>
        <v>29861</v>
      </c>
      <c r="H18" s="72">
        <f t="shared" si="40"/>
        <v>1863.7299999999996</v>
      </c>
      <c r="I18" s="73">
        <f t="shared" si="41"/>
        <v>4.6399999999999997</v>
      </c>
      <c r="J18" s="38">
        <v>4.7750000000000004</v>
      </c>
      <c r="K18" s="74">
        <f t="shared" si="42"/>
        <v>27997.27</v>
      </c>
      <c r="L18" s="73">
        <f t="shared" si="43"/>
        <v>4.5999999999999996</v>
      </c>
      <c r="M18" s="75">
        <f t="shared" si="44"/>
        <v>128787.442</v>
      </c>
      <c r="N18" s="76">
        <f t="shared" si="45"/>
        <v>0</v>
      </c>
      <c r="O18" s="73">
        <f t="shared" si="46"/>
        <v>4.7550000000000008</v>
      </c>
      <c r="P18" s="77">
        <f t="shared" si="47"/>
        <v>0</v>
      </c>
      <c r="Q18" s="76">
        <f t="shared" si="7"/>
        <v>27997.27</v>
      </c>
      <c r="R18" s="78">
        <f t="shared" si="0"/>
        <v>4.5999999999999996</v>
      </c>
      <c r="S18" s="77">
        <f t="shared" si="1"/>
        <v>128787.442</v>
      </c>
      <c r="T18" s="74">
        <f t="shared" si="8"/>
        <v>8361</v>
      </c>
      <c r="U18" s="76">
        <f t="shared" si="9"/>
        <v>8361</v>
      </c>
      <c r="V18" s="79">
        <f t="shared" si="10"/>
        <v>4.59</v>
      </c>
      <c r="W18" s="80">
        <f t="shared" si="11"/>
        <v>38376.99</v>
      </c>
      <c r="X18" s="16" t="str">
        <f t="shared" si="12"/>
        <v>0</v>
      </c>
      <c r="Y18" s="77">
        <f t="shared" si="36"/>
        <v>4.6750000000000007</v>
      </c>
      <c r="Z18" s="77">
        <f t="shared" si="13"/>
        <v>0</v>
      </c>
      <c r="AA18" s="81">
        <f t="shared" si="14"/>
        <v>8361</v>
      </c>
      <c r="AB18" s="77">
        <f t="shared" si="15"/>
        <v>38376.99</v>
      </c>
      <c r="AC18" s="80">
        <f t="shared" ref="AC18:AC40" si="49">+Z18-AB18</f>
        <v>-38376.99</v>
      </c>
      <c r="AD18" s="82">
        <f t="shared" si="37"/>
        <v>5977.4884000000011</v>
      </c>
      <c r="AE18" s="83">
        <v>4.7149999999999999</v>
      </c>
      <c r="AF18" s="77">
        <f t="shared" si="48"/>
        <v>28183.857806000004</v>
      </c>
      <c r="AG18" s="84">
        <f t="shared" si="16"/>
        <v>15000</v>
      </c>
      <c r="AH18" s="79">
        <f t="shared" si="17"/>
        <v>4.58</v>
      </c>
      <c r="AI18" s="85">
        <f t="shared" si="18"/>
        <v>68700</v>
      </c>
      <c r="AJ18" s="84">
        <f t="shared" si="19"/>
        <v>0</v>
      </c>
      <c r="AK18" s="79">
        <f t="shared" si="20"/>
        <v>4.6025</v>
      </c>
      <c r="AL18" s="77">
        <f t="shared" si="21"/>
        <v>0</v>
      </c>
      <c r="AM18" s="84">
        <f t="shared" si="22"/>
        <v>6500</v>
      </c>
      <c r="AN18" s="79">
        <f t="shared" si="23"/>
        <v>4.5575000000000001</v>
      </c>
      <c r="AO18" s="77">
        <f t="shared" si="24"/>
        <v>29623.75</v>
      </c>
      <c r="AP18" s="84">
        <f t="shared" si="2"/>
        <v>29861</v>
      </c>
      <c r="AQ18" s="78">
        <f t="shared" si="3"/>
        <v>4.577902280566625</v>
      </c>
      <c r="AR18" s="77">
        <f t="shared" si="4"/>
        <v>136700.74</v>
      </c>
      <c r="AS18" s="86">
        <v>0</v>
      </c>
      <c r="AT18" s="77">
        <f t="shared" si="25"/>
        <v>4.58</v>
      </c>
      <c r="AU18" s="77">
        <f t="shared" si="26"/>
        <v>0</v>
      </c>
      <c r="AV18" s="87">
        <f t="shared" si="5"/>
        <v>128787.442</v>
      </c>
      <c r="AW18" s="88">
        <f t="shared" si="27"/>
        <v>27997.27</v>
      </c>
      <c r="AX18" s="85">
        <f>+W18+Z18+AI18+AL18+AO18</f>
        <v>136700.74</v>
      </c>
      <c r="AY18" s="88">
        <f>+U18+X18+AG18+AJ18+AM18</f>
        <v>29861</v>
      </c>
      <c r="AZ18" s="85">
        <f t="shared" si="30"/>
        <v>38376.99</v>
      </c>
      <c r="BA18" s="89">
        <f t="shared" si="31"/>
        <v>8361</v>
      </c>
      <c r="BB18" s="85">
        <f t="shared" si="32"/>
        <v>28183.857806000004</v>
      </c>
      <c r="BC18" s="88">
        <f t="shared" si="33"/>
        <v>5977.4884000000011</v>
      </c>
      <c r="BD18" s="85">
        <f t="shared" si="34"/>
        <v>0</v>
      </c>
      <c r="BE18" s="85">
        <f t="shared" si="38"/>
        <v>7913.2979999999952</v>
      </c>
      <c r="BF18" s="77">
        <f t="shared" si="39"/>
        <v>-2279.8341939999882</v>
      </c>
    </row>
    <row r="19" spans="1:58" x14ac:dyDescent="0.2">
      <c r="A19" s="16">
        <f t="shared" si="35"/>
        <v>10</v>
      </c>
      <c r="B19" s="71">
        <v>29435.64</v>
      </c>
      <c r="C19" s="71">
        <v>8266</v>
      </c>
      <c r="D19" s="71">
        <v>15000</v>
      </c>
      <c r="E19" s="71">
        <v>0</v>
      </c>
      <c r="F19" s="71">
        <v>6500</v>
      </c>
      <c r="G19" s="72">
        <f t="shared" si="6"/>
        <v>29766</v>
      </c>
      <c r="H19" s="72">
        <f t="shared" si="40"/>
        <v>330.36000000000058</v>
      </c>
      <c r="I19" s="73">
        <f t="shared" si="41"/>
        <v>4.6399999999999997</v>
      </c>
      <c r="J19" s="38">
        <v>4.7750000000000004</v>
      </c>
      <c r="K19" s="74">
        <f t="shared" si="42"/>
        <v>29435.64</v>
      </c>
      <c r="L19" s="73">
        <f t="shared" si="43"/>
        <v>4.5999999999999996</v>
      </c>
      <c r="M19" s="75">
        <f t="shared" si="44"/>
        <v>135403.94399999999</v>
      </c>
      <c r="N19" s="76">
        <f t="shared" si="45"/>
        <v>0</v>
      </c>
      <c r="O19" s="73">
        <f t="shared" si="46"/>
        <v>4.7550000000000008</v>
      </c>
      <c r="P19" s="77">
        <f t="shared" si="47"/>
        <v>0</v>
      </c>
      <c r="Q19" s="76">
        <f t="shared" si="7"/>
        <v>29435.64</v>
      </c>
      <c r="R19" s="78">
        <f t="shared" si="0"/>
        <v>4.5999999999999996</v>
      </c>
      <c r="S19" s="77">
        <f t="shared" si="1"/>
        <v>135403.94399999999</v>
      </c>
      <c r="T19" s="74">
        <f t="shared" si="8"/>
        <v>8266</v>
      </c>
      <c r="U19" s="76">
        <f t="shared" si="9"/>
        <v>8266</v>
      </c>
      <c r="V19" s="79">
        <f t="shared" si="10"/>
        <v>4.59</v>
      </c>
      <c r="W19" s="80">
        <f t="shared" si="11"/>
        <v>37940.94</v>
      </c>
      <c r="X19" s="16" t="str">
        <f t="shared" si="12"/>
        <v>0</v>
      </c>
      <c r="Y19" s="77">
        <f t="shared" si="36"/>
        <v>4.6750000000000007</v>
      </c>
      <c r="Z19" s="77">
        <f t="shared" si="13"/>
        <v>0</v>
      </c>
      <c r="AA19" s="81">
        <f t="shared" si="14"/>
        <v>8266</v>
      </c>
      <c r="AB19" s="77">
        <f t="shared" si="15"/>
        <v>37940.94</v>
      </c>
      <c r="AC19" s="80">
        <f t="shared" si="49"/>
        <v>-37940.94</v>
      </c>
      <c r="AD19" s="82">
        <f t="shared" si="37"/>
        <v>7300.7887999999994</v>
      </c>
      <c r="AE19" s="83">
        <v>4.7149999999999999</v>
      </c>
      <c r="AF19" s="77">
        <f t="shared" si="48"/>
        <v>34423.219191999997</v>
      </c>
      <c r="AG19" s="84">
        <f t="shared" si="16"/>
        <v>15000</v>
      </c>
      <c r="AH19" s="79">
        <f t="shared" si="17"/>
        <v>4.58</v>
      </c>
      <c r="AI19" s="85">
        <f t="shared" si="18"/>
        <v>68700</v>
      </c>
      <c r="AJ19" s="84">
        <f t="shared" si="19"/>
        <v>0</v>
      </c>
      <c r="AK19" s="79">
        <f t="shared" si="20"/>
        <v>4.6025</v>
      </c>
      <c r="AL19" s="77">
        <f t="shared" si="21"/>
        <v>0</v>
      </c>
      <c r="AM19" s="84">
        <f t="shared" si="22"/>
        <v>6500</v>
      </c>
      <c r="AN19" s="79">
        <f t="shared" si="23"/>
        <v>4.5575000000000001</v>
      </c>
      <c r="AO19" s="77">
        <f t="shared" si="24"/>
        <v>29623.75</v>
      </c>
      <c r="AP19" s="84">
        <f t="shared" si="2"/>
        <v>29766</v>
      </c>
      <c r="AQ19" s="78">
        <f t="shared" si="3"/>
        <v>4.5778636699590134</v>
      </c>
      <c r="AR19" s="77">
        <f t="shared" si="4"/>
        <v>136264.69</v>
      </c>
      <c r="AS19" s="86">
        <v>66</v>
      </c>
      <c r="AT19" s="77">
        <f t="shared" si="25"/>
        <v>4.58</v>
      </c>
      <c r="AU19" s="77">
        <f t="shared" si="26"/>
        <v>302.28000000000003</v>
      </c>
      <c r="AV19" s="87">
        <f t="shared" si="5"/>
        <v>135403.94399999999</v>
      </c>
      <c r="AW19" s="88">
        <f t="shared" si="27"/>
        <v>29435.64</v>
      </c>
      <c r="AX19" s="85">
        <f>+W19+Z19+AI19+AL19+AO19</f>
        <v>136264.69</v>
      </c>
      <c r="AY19" s="88">
        <f>+U19+X19+AG19+AJ19+AM19</f>
        <v>29766</v>
      </c>
      <c r="AZ19" s="85">
        <f t="shared" si="30"/>
        <v>37940.94</v>
      </c>
      <c r="BA19" s="89">
        <f t="shared" si="31"/>
        <v>8266</v>
      </c>
      <c r="BB19" s="85">
        <f t="shared" si="32"/>
        <v>34423.219191999997</v>
      </c>
      <c r="BC19" s="88">
        <f t="shared" si="33"/>
        <v>7300.7887999999994</v>
      </c>
      <c r="BD19" s="85">
        <f t="shared" si="34"/>
        <v>302.28000000000003</v>
      </c>
      <c r="BE19" s="85">
        <f t="shared" si="38"/>
        <v>558.46600000001376</v>
      </c>
      <c r="BF19" s="77">
        <f t="shared" si="39"/>
        <v>-2959.2548079999992</v>
      </c>
    </row>
    <row r="20" spans="1:58" x14ac:dyDescent="0.2">
      <c r="A20" s="16">
        <f t="shared" si="35"/>
        <v>11</v>
      </c>
      <c r="B20" s="71">
        <v>29359.200000000001</v>
      </c>
      <c r="C20" s="71">
        <v>8403</v>
      </c>
      <c r="D20" s="71">
        <v>15000</v>
      </c>
      <c r="E20" s="71">
        <v>0</v>
      </c>
      <c r="F20" s="71">
        <v>6500</v>
      </c>
      <c r="G20" s="72">
        <f t="shared" si="6"/>
        <v>29903</v>
      </c>
      <c r="H20" s="72">
        <f t="shared" si="40"/>
        <v>543.79999999999927</v>
      </c>
      <c r="I20" s="73">
        <f t="shared" si="41"/>
        <v>4.6399999999999997</v>
      </c>
      <c r="J20" s="38">
        <v>4.7750000000000004</v>
      </c>
      <c r="K20" s="74">
        <f t="shared" si="42"/>
        <v>29359.200000000001</v>
      </c>
      <c r="L20" s="73">
        <f t="shared" si="43"/>
        <v>4.5999999999999996</v>
      </c>
      <c r="M20" s="75">
        <f t="shared" si="44"/>
        <v>135052.32</v>
      </c>
      <c r="N20" s="76">
        <f t="shared" si="45"/>
        <v>0</v>
      </c>
      <c r="O20" s="73">
        <f t="shared" si="46"/>
        <v>4.7550000000000008</v>
      </c>
      <c r="P20" s="77">
        <f t="shared" si="47"/>
        <v>0</v>
      </c>
      <c r="Q20" s="76">
        <f t="shared" si="7"/>
        <v>29359.200000000001</v>
      </c>
      <c r="R20" s="78">
        <f t="shared" si="0"/>
        <v>4.6000000000000005</v>
      </c>
      <c r="S20" s="77">
        <f t="shared" si="1"/>
        <v>135052.32</v>
      </c>
      <c r="T20" s="74">
        <f t="shared" si="8"/>
        <v>8403</v>
      </c>
      <c r="U20" s="76">
        <f t="shared" si="9"/>
        <v>8403</v>
      </c>
      <c r="V20" s="79">
        <f t="shared" si="10"/>
        <v>4.59</v>
      </c>
      <c r="W20" s="80">
        <f t="shared" si="11"/>
        <v>38569.769999999997</v>
      </c>
      <c r="X20" s="16" t="str">
        <f t="shared" si="12"/>
        <v>0</v>
      </c>
      <c r="Y20" s="77">
        <f t="shared" si="36"/>
        <v>4.6750000000000007</v>
      </c>
      <c r="Z20" s="77">
        <f t="shared" si="13"/>
        <v>0</v>
      </c>
      <c r="AA20" s="81">
        <f t="shared" si="14"/>
        <v>8403</v>
      </c>
      <c r="AB20" s="77">
        <f t="shared" si="15"/>
        <v>38569.769999999997</v>
      </c>
      <c r="AC20" s="80">
        <f t="shared" si="49"/>
        <v>-38569.769999999997</v>
      </c>
      <c r="AD20" s="82">
        <f t="shared" si="37"/>
        <v>7230.4640000000009</v>
      </c>
      <c r="AE20" s="83">
        <v>4.7149999999999999</v>
      </c>
      <c r="AF20" s="77">
        <f t="shared" si="48"/>
        <v>34091.637760000005</v>
      </c>
      <c r="AG20" s="84">
        <f t="shared" si="16"/>
        <v>15000</v>
      </c>
      <c r="AH20" s="79">
        <f t="shared" si="17"/>
        <v>4.58</v>
      </c>
      <c r="AI20" s="85">
        <f t="shared" si="18"/>
        <v>68700</v>
      </c>
      <c r="AJ20" s="84">
        <f t="shared" si="19"/>
        <v>0</v>
      </c>
      <c r="AK20" s="79">
        <f t="shared" si="20"/>
        <v>4.6025</v>
      </c>
      <c r="AL20" s="77">
        <f t="shared" si="21"/>
        <v>0</v>
      </c>
      <c r="AM20" s="84">
        <f t="shared" si="22"/>
        <v>6500</v>
      </c>
      <c r="AN20" s="79">
        <f t="shared" si="23"/>
        <v>4.5575000000000001</v>
      </c>
      <c r="AO20" s="77">
        <f t="shared" si="24"/>
        <v>29623.75</v>
      </c>
      <c r="AP20" s="84">
        <f t="shared" si="2"/>
        <v>29903</v>
      </c>
      <c r="AQ20" s="78">
        <f t="shared" si="3"/>
        <v>4.5779192723138147</v>
      </c>
      <c r="AR20" s="77">
        <f t="shared" si="4"/>
        <v>136893.51999999999</v>
      </c>
      <c r="AS20" s="86">
        <v>66</v>
      </c>
      <c r="AT20" s="77">
        <f t="shared" si="25"/>
        <v>4.58</v>
      </c>
      <c r="AU20" s="77">
        <f t="shared" si="26"/>
        <v>302.28000000000003</v>
      </c>
      <c r="AV20" s="87">
        <f t="shared" si="5"/>
        <v>135052.32</v>
      </c>
      <c r="AW20" s="88">
        <f t="shared" si="27"/>
        <v>29359.200000000001</v>
      </c>
      <c r="AX20" s="85">
        <f>+W20+Z20+AI20+AL20+AO20</f>
        <v>136893.51999999999</v>
      </c>
      <c r="AY20" s="88">
        <f>+U20+X20+AG20+AJ20+AM20</f>
        <v>29903</v>
      </c>
      <c r="AZ20" s="85">
        <f t="shared" si="30"/>
        <v>38569.769999999997</v>
      </c>
      <c r="BA20" s="89">
        <f t="shared" si="31"/>
        <v>8403</v>
      </c>
      <c r="BB20" s="85">
        <f t="shared" si="32"/>
        <v>34091.637760000005</v>
      </c>
      <c r="BC20" s="88">
        <f t="shared" si="33"/>
        <v>7230.4640000000009</v>
      </c>
      <c r="BD20" s="85">
        <f t="shared" si="34"/>
        <v>302.28000000000003</v>
      </c>
      <c r="BE20" s="85">
        <f t="shared" si="38"/>
        <v>1538.9199999999826</v>
      </c>
      <c r="BF20" s="77">
        <f t="shared" si="39"/>
        <v>-2939.2122400000021</v>
      </c>
    </row>
    <row r="21" spans="1:58" x14ac:dyDescent="0.2">
      <c r="A21" s="16">
        <f t="shared" si="35"/>
        <v>12</v>
      </c>
      <c r="B21" s="71">
        <v>30292.62</v>
      </c>
      <c r="C21" s="71">
        <v>7851</v>
      </c>
      <c r="D21" s="71">
        <v>15000</v>
      </c>
      <c r="E21" s="71">
        <v>0</v>
      </c>
      <c r="F21" s="71">
        <v>6500</v>
      </c>
      <c r="G21" s="72">
        <f t="shared" si="6"/>
        <v>29351</v>
      </c>
      <c r="H21" s="72">
        <f t="shared" si="40"/>
        <v>-941.61999999999898</v>
      </c>
      <c r="I21" s="73">
        <f t="shared" si="41"/>
        <v>4.6399999999999997</v>
      </c>
      <c r="J21" s="38">
        <v>4.9349999999999996</v>
      </c>
      <c r="K21" s="74">
        <f t="shared" si="42"/>
        <v>30231.530000000002</v>
      </c>
      <c r="L21" s="73">
        <f t="shared" si="43"/>
        <v>4.5999999999999996</v>
      </c>
      <c r="M21" s="75">
        <f t="shared" si="44"/>
        <v>139065.038</v>
      </c>
      <c r="N21" s="76">
        <f t="shared" si="45"/>
        <v>61.089999999996508</v>
      </c>
      <c r="O21" s="73">
        <f t="shared" si="46"/>
        <v>4.915</v>
      </c>
      <c r="P21" s="77">
        <f t="shared" si="47"/>
        <v>300.25734999998286</v>
      </c>
      <c r="Q21" s="76">
        <f t="shared" si="7"/>
        <v>30292.62</v>
      </c>
      <c r="R21" s="78">
        <f t="shared" si="0"/>
        <v>4.6006352487833659</v>
      </c>
      <c r="S21" s="77">
        <f t="shared" si="1"/>
        <v>139365.29534999997</v>
      </c>
      <c r="T21" s="74">
        <f t="shared" si="8"/>
        <v>7851</v>
      </c>
      <c r="U21" s="76">
        <f t="shared" si="9"/>
        <v>7851</v>
      </c>
      <c r="V21" s="79">
        <f t="shared" si="10"/>
        <v>4.59</v>
      </c>
      <c r="W21" s="80">
        <f t="shared" si="11"/>
        <v>36036.089999999997</v>
      </c>
      <c r="X21" s="16" t="str">
        <f t="shared" si="12"/>
        <v>0</v>
      </c>
      <c r="Y21" s="77">
        <f t="shared" si="36"/>
        <v>4.835</v>
      </c>
      <c r="Z21" s="77">
        <f t="shared" si="13"/>
        <v>0</v>
      </c>
      <c r="AA21" s="81">
        <f t="shared" si="14"/>
        <v>7851</v>
      </c>
      <c r="AB21" s="77">
        <f t="shared" si="15"/>
        <v>36036.089999999997</v>
      </c>
      <c r="AC21" s="80">
        <f t="shared" si="49"/>
        <v>-36036.089999999997</v>
      </c>
      <c r="AD21" s="82">
        <f t="shared" si="37"/>
        <v>8089.210399999999</v>
      </c>
      <c r="AE21" s="83">
        <v>4.8250000000000002</v>
      </c>
      <c r="AF21" s="77">
        <f t="shared" si="48"/>
        <v>39030.440179999998</v>
      </c>
      <c r="AG21" s="84">
        <f t="shared" si="16"/>
        <v>15000</v>
      </c>
      <c r="AH21" s="79">
        <f t="shared" si="17"/>
        <v>4.58</v>
      </c>
      <c r="AI21" s="85">
        <f t="shared" si="18"/>
        <v>68700</v>
      </c>
      <c r="AJ21" s="84">
        <f t="shared" si="19"/>
        <v>0</v>
      </c>
      <c r="AK21" s="79">
        <f t="shared" si="20"/>
        <v>4.6025</v>
      </c>
      <c r="AL21" s="77">
        <f t="shared" si="21"/>
        <v>0</v>
      </c>
      <c r="AM21" s="84">
        <f t="shared" si="22"/>
        <v>6500</v>
      </c>
      <c r="AN21" s="79">
        <f t="shared" si="23"/>
        <v>4.5575000000000001</v>
      </c>
      <c r="AO21" s="77">
        <f t="shared" si="24"/>
        <v>29623.75</v>
      </c>
      <c r="AP21" s="84">
        <f t="shared" si="2"/>
        <v>29351</v>
      </c>
      <c r="AQ21" s="78">
        <f t="shared" si="3"/>
        <v>4.5776920718203806</v>
      </c>
      <c r="AR21" s="77">
        <f t="shared" si="4"/>
        <v>134359.84</v>
      </c>
      <c r="AS21" s="86">
        <v>66</v>
      </c>
      <c r="AT21" s="77">
        <f t="shared" si="25"/>
        <v>4.58</v>
      </c>
      <c r="AU21" s="77">
        <f t="shared" si="26"/>
        <v>302.28000000000003</v>
      </c>
      <c r="AV21" s="87">
        <f t="shared" si="5"/>
        <v>139365.29534999997</v>
      </c>
      <c r="AW21" s="88">
        <f t="shared" si="27"/>
        <v>30292.62</v>
      </c>
      <c r="AX21" s="85">
        <f>+W21+Z21+AI21+AL21+AO21</f>
        <v>134359.84</v>
      </c>
      <c r="AY21" s="88">
        <f>+U21+X21+AG21+AJ21+AM21</f>
        <v>29351</v>
      </c>
      <c r="AZ21" s="85">
        <f t="shared" si="30"/>
        <v>36036.089999999997</v>
      </c>
      <c r="BA21" s="89">
        <f t="shared" si="31"/>
        <v>7851</v>
      </c>
      <c r="BB21" s="85">
        <f t="shared" si="32"/>
        <v>39030.440179999998</v>
      </c>
      <c r="BC21" s="88">
        <f t="shared" si="33"/>
        <v>8089.210399999999</v>
      </c>
      <c r="BD21" s="85">
        <f t="shared" si="34"/>
        <v>302.28000000000003</v>
      </c>
      <c r="BE21" s="85">
        <f t="shared" si="38"/>
        <v>-5307.7353499999745</v>
      </c>
      <c r="BF21" s="77">
        <f t="shared" si="39"/>
        <v>-2313.3851699999664</v>
      </c>
    </row>
    <row r="22" spans="1:58" x14ac:dyDescent="0.2">
      <c r="A22" s="16">
        <f t="shared" si="35"/>
        <v>13</v>
      </c>
      <c r="B22" s="71">
        <v>29228.98</v>
      </c>
      <c r="C22" s="71">
        <v>7831</v>
      </c>
      <c r="D22" s="71">
        <v>21500</v>
      </c>
      <c r="E22" s="71">
        <v>0</v>
      </c>
      <c r="F22" s="71">
        <v>0</v>
      </c>
      <c r="G22" s="72">
        <f t="shared" si="6"/>
        <v>29331</v>
      </c>
      <c r="H22" s="72">
        <f t="shared" si="40"/>
        <v>102.02000000000044</v>
      </c>
      <c r="I22" s="73">
        <f t="shared" si="41"/>
        <v>4.6399999999999997</v>
      </c>
      <c r="J22" s="38">
        <v>5.04</v>
      </c>
      <c r="K22" s="74">
        <f t="shared" si="42"/>
        <v>29228.98</v>
      </c>
      <c r="L22" s="73">
        <f t="shared" si="43"/>
        <v>4.5999999999999996</v>
      </c>
      <c r="M22" s="75">
        <f t="shared" si="44"/>
        <v>134453.30799999999</v>
      </c>
      <c r="N22" s="76">
        <f t="shared" si="45"/>
        <v>0</v>
      </c>
      <c r="O22" s="73">
        <f t="shared" si="46"/>
        <v>5.0200000000000005</v>
      </c>
      <c r="P22" s="77">
        <f t="shared" si="47"/>
        <v>0</v>
      </c>
      <c r="Q22" s="76">
        <f t="shared" si="7"/>
        <v>29228.98</v>
      </c>
      <c r="R22" s="78">
        <f t="shared" si="0"/>
        <v>4.5999999999999996</v>
      </c>
      <c r="S22" s="77">
        <f t="shared" si="1"/>
        <v>134453.30799999999</v>
      </c>
      <c r="T22" s="74">
        <f t="shared" si="8"/>
        <v>7831</v>
      </c>
      <c r="U22" s="76">
        <f t="shared" si="9"/>
        <v>7831</v>
      </c>
      <c r="V22" s="79">
        <f t="shared" si="10"/>
        <v>4.59</v>
      </c>
      <c r="W22" s="80">
        <f t="shared" si="11"/>
        <v>35944.29</v>
      </c>
      <c r="X22" s="16" t="str">
        <f t="shared" si="12"/>
        <v>0</v>
      </c>
      <c r="Y22" s="77">
        <f t="shared" si="36"/>
        <v>4.9400000000000004</v>
      </c>
      <c r="Z22" s="77">
        <f t="shared" si="13"/>
        <v>0</v>
      </c>
      <c r="AA22" s="81">
        <f t="shared" si="14"/>
        <v>7831</v>
      </c>
      <c r="AB22" s="77">
        <f t="shared" si="15"/>
        <v>35944.29</v>
      </c>
      <c r="AC22" s="80">
        <f t="shared" si="49"/>
        <v>-35944.29</v>
      </c>
      <c r="AD22" s="82">
        <f t="shared" si="37"/>
        <v>7110.6615999999995</v>
      </c>
      <c r="AE22" s="83">
        <v>4.9450000000000003</v>
      </c>
      <c r="AF22" s="77">
        <f t="shared" si="48"/>
        <v>35162.221612000001</v>
      </c>
      <c r="AG22" s="84">
        <f t="shared" si="16"/>
        <v>21500</v>
      </c>
      <c r="AH22" s="79">
        <f t="shared" si="17"/>
        <v>4.58</v>
      </c>
      <c r="AI22" s="85">
        <f t="shared" si="18"/>
        <v>98470</v>
      </c>
      <c r="AJ22" s="84">
        <f t="shared" si="19"/>
        <v>0</v>
      </c>
      <c r="AK22" s="79">
        <f t="shared" si="20"/>
        <v>4.6025</v>
      </c>
      <c r="AL22" s="77">
        <f t="shared" si="21"/>
        <v>0</v>
      </c>
      <c r="AM22" s="84">
        <f t="shared" si="22"/>
        <v>0</v>
      </c>
      <c r="AN22" s="79">
        <f t="shared" si="23"/>
        <v>4.5575000000000001</v>
      </c>
      <c r="AO22" s="77">
        <f t="shared" si="24"/>
        <v>0</v>
      </c>
      <c r="AP22" s="84">
        <f t="shared" si="2"/>
        <v>29331</v>
      </c>
      <c r="AQ22" s="78">
        <f t="shared" si="3"/>
        <v>4.5826698714670488</v>
      </c>
      <c r="AR22" s="77">
        <f t="shared" si="4"/>
        <v>134414.29</v>
      </c>
      <c r="AS22" s="86">
        <v>79</v>
      </c>
      <c r="AT22" s="77">
        <f t="shared" si="25"/>
        <v>4.58</v>
      </c>
      <c r="AU22" s="77">
        <f t="shared" si="26"/>
        <v>361.82</v>
      </c>
      <c r="AV22" s="87">
        <f t="shared" si="5"/>
        <v>134453.30799999999</v>
      </c>
      <c r="AW22" s="88">
        <f t="shared" si="27"/>
        <v>29228.98</v>
      </c>
      <c r="AX22" s="85">
        <f t="shared" si="28"/>
        <v>134414.29</v>
      </c>
      <c r="AY22" s="88">
        <f t="shared" si="29"/>
        <v>29331</v>
      </c>
      <c r="AZ22" s="85">
        <f t="shared" si="30"/>
        <v>35944.29</v>
      </c>
      <c r="BA22" s="89">
        <f t="shared" si="31"/>
        <v>7831</v>
      </c>
      <c r="BB22" s="85">
        <f t="shared" si="32"/>
        <v>35162.221612000001</v>
      </c>
      <c r="BC22" s="88">
        <f t="shared" si="33"/>
        <v>7110.6615999999995</v>
      </c>
      <c r="BD22" s="85">
        <f t="shared" si="34"/>
        <v>361.82</v>
      </c>
      <c r="BE22" s="85">
        <f t="shared" si="38"/>
        <v>-400.83799999998183</v>
      </c>
      <c r="BF22" s="77">
        <f t="shared" si="39"/>
        <v>-1182.9063879999887</v>
      </c>
    </row>
    <row r="23" spans="1:58" x14ac:dyDescent="0.2">
      <c r="A23" s="16">
        <f t="shared" si="35"/>
        <v>14</v>
      </c>
      <c r="B23" s="71">
        <v>29044.07</v>
      </c>
      <c r="C23" s="71">
        <v>7662</v>
      </c>
      <c r="D23" s="71">
        <v>21500</v>
      </c>
      <c r="E23" s="71">
        <v>0</v>
      </c>
      <c r="F23" s="71">
        <v>0</v>
      </c>
      <c r="G23" s="72">
        <f t="shared" si="6"/>
        <v>29162</v>
      </c>
      <c r="H23" s="72">
        <f t="shared" si="40"/>
        <v>117.93000000000029</v>
      </c>
      <c r="I23" s="73">
        <f t="shared" si="41"/>
        <v>4.6399999999999997</v>
      </c>
      <c r="J23" s="38">
        <v>5.0999999999999996</v>
      </c>
      <c r="K23" s="74">
        <f t="shared" si="42"/>
        <v>29044.07</v>
      </c>
      <c r="L23" s="73">
        <f t="shared" si="43"/>
        <v>4.5999999999999996</v>
      </c>
      <c r="M23" s="75">
        <f t="shared" si="44"/>
        <v>133602.72199999998</v>
      </c>
      <c r="N23" s="76">
        <f t="shared" si="45"/>
        <v>0</v>
      </c>
      <c r="O23" s="73">
        <f t="shared" si="46"/>
        <v>5.08</v>
      </c>
      <c r="P23" s="77">
        <f t="shared" si="47"/>
        <v>0</v>
      </c>
      <c r="Q23" s="76">
        <f t="shared" si="7"/>
        <v>29044.07</v>
      </c>
      <c r="R23" s="78">
        <f t="shared" si="0"/>
        <v>4.5999999999999996</v>
      </c>
      <c r="S23" s="77">
        <f t="shared" si="1"/>
        <v>133602.72199999998</v>
      </c>
      <c r="T23" s="74">
        <f t="shared" si="8"/>
        <v>7662</v>
      </c>
      <c r="U23" s="76">
        <f t="shared" si="9"/>
        <v>7662</v>
      </c>
      <c r="V23" s="79">
        <f t="shared" si="10"/>
        <v>4.59</v>
      </c>
      <c r="W23" s="80">
        <f t="shared" si="11"/>
        <v>35168.58</v>
      </c>
      <c r="X23" s="16" t="str">
        <f t="shared" si="12"/>
        <v>0</v>
      </c>
      <c r="Y23" s="77">
        <f t="shared" si="36"/>
        <v>5</v>
      </c>
      <c r="Z23" s="77">
        <f t="shared" si="13"/>
        <v>0</v>
      </c>
      <c r="AA23" s="81">
        <f t="shared" si="14"/>
        <v>7662</v>
      </c>
      <c r="AB23" s="77">
        <f t="shared" si="15"/>
        <v>35168.58</v>
      </c>
      <c r="AC23" s="80">
        <f t="shared" si="49"/>
        <v>-35168.58</v>
      </c>
      <c r="AD23" s="82">
        <f t="shared" si="37"/>
        <v>6940.5443999999998</v>
      </c>
      <c r="AE23" s="83">
        <v>4.9749999999999996</v>
      </c>
      <c r="AF23" s="77">
        <f t="shared" si="48"/>
        <v>34529.20839</v>
      </c>
      <c r="AG23" s="84">
        <f t="shared" si="16"/>
        <v>21500</v>
      </c>
      <c r="AH23" s="79">
        <f t="shared" si="17"/>
        <v>4.58</v>
      </c>
      <c r="AI23" s="85">
        <f t="shared" si="18"/>
        <v>98470</v>
      </c>
      <c r="AJ23" s="84">
        <f t="shared" si="19"/>
        <v>0</v>
      </c>
      <c r="AK23" s="79">
        <f t="shared" si="20"/>
        <v>4.6025</v>
      </c>
      <c r="AL23" s="77">
        <f t="shared" si="21"/>
        <v>0</v>
      </c>
      <c r="AM23" s="84">
        <f t="shared" si="22"/>
        <v>0</v>
      </c>
      <c r="AN23" s="79">
        <f t="shared" si="23"/>
        <v>4.5575000000000001</v>
      </c>
      <c r="AO23" s="77">
        <f t="shared" si="24"/>
        <v>0</v>
      </c>
      <c r="AP23" s="84">
        <f t="shared" si="2"/>
        <v>29162</v>
      </c>
      <c r="AQ23" s="78">
        <f t="shared" si="3"/>
        <v>4.5826273918112621</v>
      </c>
      <c r="AR23" s="77">
        <f t="shared" si="4"/>
        <v>133638.58000000002</v>
      </c>
      <c r="AS23" s="86">
        <v>97</v>
      </c>
      <c r="AT23" s="77">
        <f t="shared" si="25"/>
        <v>4.58</v>
      </c>
      <c r="AU23" s="77">
        <f t="shared" si="26"/>
        <v>444.26</v>
      </c>
      <c r="AV23" s="87">
        <f t="shared" si="5"/>
        <v>133602.72199999998</v>
      </c>
      <c r="AW23" s="88">
        <f t="shared" si="27"/>
        <v>29044.07</v>
      </c>
      <c r="AX23" s="85">
        <f t="shared" si="28"/>
        <v>133638.58000000002</v>
      </c>
      <c r="AY23" s="88">
        <f t="shared" si="29"/>
        <v>29162</v>
      </c>
      <c r="AZ23" s="85">
        <f t="shared" si="30"/>
        <v>35168.58</v>
      </c>
      <c r="BA23" s="89">
        <f t="shared" si="31"/>
        <v>7662</v>
      </c>
      <c r="BB23" s="85">
        <f t="shared" si="32"/>
        <v>34529.20839</v>
      </c>
      <c r="BC23" s="88">
        <f t="shared" si="33"/>
        <v>6940.5443999999998</v>
      </c>
      <c r="BD23" s="85">
        <f t="shared" si="34"/>
        <v>444.26</v>
      </c>
      <c r="BE23" s="85">
        <f t="shared" si="38"/>
        <v>-408.40199999996344</v>
      </c>
      <c r="BF23" s="77">
        <f t="shared" si="39"/>
        <v>-1047.77360999998</v>
      </c>
    </row>
    <row r="24" spans="1:58" x14ac:dyDescent="0.2">
      <c r="A24" s="16">
        <f t="shared" si="35"/>
        <v>15</v>
      </c>
      <c r="B24" s="71">
        <v>31736.37</v>
      </c>
      <c r="C24" s="71">
        <v>7878</v>
      </c>
      <c r="D24" s="71">
        <v>21500</v>
      </c>
      <c r="E24" s="71">
        <v>0</v>
      </c>
      <c r="F24" s="71">
        <v>0</v>
      </c>
      <c r="G24" s="72">
        <f t="shared" si="6"/>
        <v>29378</v>
      </c>
      <c r="H24" s="72">
        <f t="shared" si="40"/>
        <v>-2358.369999999999</v>
      </c>
      <c r="I24" s="73">
        <f t="shared" si="41"/>
        <v>4.6399999999999997</v>
      </c>
      <c r="J24" s="38">
        <v>5.1050000000000004</v>
      </c>
      <c r="K24" s="74">
        <f t="shared" si="42"/>
        <v>30259.34</v>
      </c>
      <c r="L24" s="73">
        <f t="shared" si="43"/>
        <v>4.5999999999999996</v>
      </c>
      <c r="M24" s="75">
        <f t="shared" si="44"/>
        <v>139192.96399999998</v>
      </c>
      <c r="N24" s="76">
        <f t="shared" si="45"/>
        <v>1477.0299999999988</v>
      </c>
      <c r="O24" s="73">
        <f t="shared" si="46"/>
        <v>5.0850000000000009</v>
      </c>
      <c r="P24" s="77">
        <f t="shared" si="47"/>
        <v>7510.6975499999953</v>
      </c>
      <c r="Q24" s="76">
        <f t="shared" si="7"/>
        <v>31736.37</v>
      </c>
      <c r="R24" s="78">
        <f t="shared" si="0"/>
        <v>4.6225721955598562</v>
      </c>
      <c r="S24" s="77">
        <f t="shared" si="1"/>
        <v>146703.66154999996</v>
      </c>
      <c r="T24" s="74">
        <f t="shared" si="8"/>
        <v>7878</v>
      </c>
      <c r="U24" s="76">
        <f t="shared" si="9"/>
        <v>7878</v>
      </c>
      <c r="V24" s="79">
        <f t="shared" si="10"/>
        <v>4.59</v>
      </c>
      <c r="W24" s="80">
        <f t="shared" si="11"/>
        <v>36160.019999999997</v>
      </c>
      <c r="X24" s="16" t="str">
        <f t="shared" si="12"/>
        <v>0</v>
      </c>
      <c r="Y24" s="77">
        <f t="shared" si="36"/>
        <v>5.0050000000000008</v>
      </c>
      <c r="Z24" s="77">
        <f t="shared" si="13"/>
        <v>0</v>
      </c>
      <c r="AA24" s="81">
        <f t="shared" si="14"/>
        <v>7878</v>
      </c>
      <c r="AB24" s="77">
        <f t="shared" si="15"/>
        <v>36160.019999999997</v>
      </c>
      <c r="AC24" s="80">
        <f t="shared" si="49"/>
        <v>-36160.019999999997</v>
      </c>
      <c r="AD24" s="82">
        <f t="shared" si="37"/>
        <v>9417.4603999999999</v>
      </c>
      <c r="AE24" s="83">
        <v>4.99</v>
      </c>
      <c r="AF24" s="77">
        <f t="shared" si="48"/>
        <v>46993.127396000004</v>
      </c>
      <c r="AG24" s="84">
        <f t="shared" si="16"/>
        <v>21500</v>
      </c>
      <c r="AH24" s="79">
        <f t="shared" si="17"/>
        <v>4.58</v>
      </c>
      <c r="AI24" s="85">
        <f t="shared" si="18"/>
        <v>98470</v>
      </c>
      <c r="AJ24" s="84">
        <f t="shared" si="19"/>
        <v>0</v>
      </c>
      <c r="AK24" s="79">
        <f t="shared" si="20"/>
        <v>4.6025</v>
      </c>
      <c r="AL24" s="77">
        <f t="shared" si="21"/>
        <v>0</v>
      </c>
      <c r="AM24" s="84">
        <f t="shared" si="22"/>
        <v>0</v>
      </c>
      <c r="AN24" s="79">
        <f t="shared" si="23"/>
        <v>4.5575000000000001</v>
      </c>
      <c r="AO24" s="77">
        <f t="shared" si="24"/>
        <v>0</v>
      </c>
      <c r="AP24" s="84">
        <f t="shared" si="2"/>
        <v>29378</v>
      </c>
      <c r="AQ24" s="78">
        <f t="shared" si="3"/>
        <v>4.5826815984750491</v>
      </c>
      <c r="AR24" s="77">
        <f t="shared" si="4"/>
        <v>134630.01999999999</v>
      </c>
      <c r="AS24" s="86">
        <v>82</v>
      </c>
      <c r="AT24" s="77">
        <f t="shared" si="25"/>
        <v>4.58</v>
      </c>
      <c r="AU24" s="77">
        <f t="shared" si="26"/>
        <v>375.56</v>
      </c>
      <c r="AV24" s="87">
        <f t="shared" si="5"/>
        <v>146703.66154999996</v>
      </c>
      <c r="AW24" s="88">
        <f t="shared" si="27"/>
        <v>31736.37</v>
      </c>
      <c r="AX24" s="85">
        <f t="shared" si="28"/>
        <v>134630.01999999999</v>
      </c>
      <c r="AY24" s="88">
        <f t="shared" si="29"/>
        <v>29378</v>
      </c>
      <c r="AZ24" s="85">
        <f t="shared" si="30"/>
        <v>36160.019999999997</v>
      </c>
      <c r="BA24" s="89">
        <f t="shared" si="31"/>
        <v>7878</v>
      </c>
      <c r="BB24" s="85">
        <f t="shared" si="32"/>
        <v>46993.127396000004</v>
      </c>
      <c r="BC24" s="88">
        <f t="shared" si="33"/>
        <v>9417.4603999999999</v>
      </c>
      <c r="BD24" s="85">
        <f t="shared" si="34"/>
        <v>375.56</v>
      </c>
      <c r="BE24" s="85">
        <f t="shared" si="38"/>
        <v>-12449.201549999971</v>
      </c>
      <c r="BF24" s="77">
        <f t="shared" si="39"/>
        <v>-1616.0941539999717</v>
      </c>
    </row>
    <row r="25" spans="1:58" x14ac:dyDescent="0.2">
      <c r="A25" s="16">
        <f t="shared" si="35"/>
        <v>16</v>
      </c>
      <c r="B25" s="71">
        <v>1285.22</v>
      </c>
      <c r="C25" s="71">
        <v>7534</v>
      </c>
      <c r="D25" s="71">
        <v>0</v>
      </c>
      <c r="E25" s="71">
        <v>0</v>
      </c>
      <c r="F25" s="71">
        <v>0</v>
      </c>
      <c r="G25" s="72">
        <f t="shared" si="6"/>
        <v>7534</v>
      </c>
      <c r="H25" s="72">
        <f t="shared" si="40"/>
        <v>6248.78</v>
      </c>
      <c r="I25" s="73">
        <f t="shared" si="41"/>
        <v>4.6399999999999997</v>
      </c>
      <c r="J25" s="38">
        <v>5.2549999999999999</v>
      </c>
      <c r="K25" s="74">
        <f t="shared" si="42"/>
        <v>1285.22</v>
      </c>
      <c r="L25" s="73">
        <f t="shared" si="43"/>
        <v>4.5999999999999996</v>
      </c>
      <c r="M25" s="75">
        <f t="shared" si="44"/>
        <v>5912.0119999999997</v>
      </c>
      <c r="N25" s="76">
        <f t="shared" si="45"/>
        <v>0</v>
      </c>
      <c r="O25" s="73">
        <f t="shared" si="46"/>
        <v>5.2350000000000003</v>
      </c>
      <c r="P25" s="77">
        <f t="shared" si="47"/>
        <v>0</v>
      </c>
      <c r="Q25" s="76">
        <f t="shared" si="7"/>
        <v>1285.22</v>
      </c>
      <c r="R25" s="78">
        <f t="shared" si="0"/>
        <v>4.5999999999999996</v>
      </c>
      <c r="S25" s="77">
        <f t="shared" si="1"/>
        <v>5912.0119999999997</v>
      </c>
      <c r="T25" s="74">
        <f t="shared" si="8"/>
        <v>7534</v>
      </c>
      <c r="U25" s="76">
        <f t="shared" si="9"/>
        <v>7534</v>
      </c>
      <c r="V25" s="79">
        <f t="shared" si="10"/>
        <v>4.59</v>
      </c>
      <c r="W25" s="80">
        <f t="shared" si="11"/>
        <v>34581.06</v>
      </c>
      <c r="X25" s="16" t="str">
        <f t="shared" si="12"/>
        <v>0</v>
      </c>
      <c r="Y25" s="77">
        <f t="shared" si="36"/>
        <v>5.1550000000000002</v>
      </c>
      <c r="Z25" s="77">
        <f t="shared" si="13"/>
        <v>0</v>
      </c>
      <c r="AA25" s="81">
        <f t="shared" si="14"/>
        <v>7534</v>
      </c>
      <c r="AB25" s="77">
        <f t="shared" si="15"/>
        <v>34581.06</v>
      </c>
      <c r="AC25" s="80">
        <f t="shared" si="49"/>
        <v>-34581.06</v>
      </c>
      <c r="AD25" s="82">
        <f t="shared" si="37"/>
        <v>1182.4024000000002</v>
      </c>
      <c r="AE25" s="83">
        <v>5.1849999999999996</v>
      </c>
      <c r="AF25" s="77">
        <f t="shared" si="48"/>
        <v>6130.7564440000006</v>
      </c>
      <c r="AG25" s="84">
        <f t="shared" si="16"/>
        <v>0</v>
      </c>
      <c r="AH25" s="79">
        <f t="shared" si="17"/>
        <v>4.58</v>
      </c>
      <c r="AI25" s="85">
        <f t="shared" si="18"/>
        <v>0</v>
      </c>
      <c r="AJ25" s="84">
        <f t="shared" si="19"/>
        <v>0</v>
      </c>
      <c r="AK25" s="79">
        <f t="shared" si="20"/>
        <v>4.6025</v>
      </c>
      <c r="AL25" s="77">
        <f t="shared" si="21"/>
        <v>0</v>
      </c>
      <c r="AM25" s="84">
        <f t="shared" si="22"/>
        <v>0</v>
      </c>
      <c r="AN25" s="79">
        <f t="shared" si="23"/>
        <v>4.5575000000000001</v>
      </c>
      <c r="AO25" s="77">
        <f t="shared" si="24"/>
        <v>0</v>
      </c>
      <c r="AP25" s="84">
        <f t="shared" si="2"/>
        <v>7534</v>
      </c>
      <c r="AQ25" s="78">
        <f t="shared" si="3"/>
        <v>4.59</v>
      </c>
      <c r="AR25" s="77">
        <f t="shared" si="4"/>
        <v>34581.06</v>
      </c>
      <c r="AS25" s="86">
        <v>90</v>
      </c>
      <c r="AT25" s="77">
        <f t="shared" si="25"/>
        <v>4.58</v>
      </c>
      <c r="AU25" s="77">
        <f t="shared" si="26"/>
        <v>412.2</v>
      </c>
      <c r="AV25" s="87">
        <f t="shared" si="5"/>
        <v>5912.0119999999997</v>
      </c>
      <c r="AW25" s="88">
        <f t="shared" si="27"/>
        <v>1285.22</v>
      </c>
      <c r="AX25" s="85">
        <f t="shared" si="28"/>
        <v>34581.06</v>
      </c>
      <c r="AY25" s="88">
        <f t="shared" si="29"/>
        <v>7534</v>
      </c>
      <c r="AZ25" s="85">
        <f t="shared" si="30"/>
        <v>34581.06</v>
      </c>
      <c r="BA25" s="89">
        <f t="shared" si="31"/>
        <v>7534</v>
      </c>
      <c r="BB25" s="85">
        <f t="shared" si="32"/>
        <v>6130.7564440000006</v>
      </c>
      <c r="BC25" s="88">
        <f t="shared" si="33"/>
        <v>1182.4024000000002</v>
      </c>
      <c r="BD25" s="85">
        <f t="shared" si="34"/>
        <v>412.2</v>
      </c>
      <c r="BE25" s="85">
        <f t="shared" si="38"/>
        <v>28256.847999999998</v>
      </c>
      <c r="BF25" s="77">
        <f t="shared" si="39"/>
        <v>-193.4555560000037</v>
      </c>
    </row>
    <row r="26" spans="1:58" x14ac:dyDescent="0.2">
      <c r="A26" s="16">
        <f t="shared" si="35"/>
        <v>17</v>
      </c>
      <c r="B26" s="71">
        <v>0</v>
      </c>
      <c r="C26" s="71">
        <v>7735</v>
      </c>
      <c r="D26" s="71">
        <v>0</v>
      </c>
      <c r="E26" s="71">
        <v>0</v>
      </c>
      <c r="F26" s="71">
        <v>0</v>
      </c>
      <c r="G26" s="72">
        <f t="shared" si="6"/>
        <v>7735</v>
      </c>
      <c r="H26" s="72">
        <f t="shared" si="40"/>
        <v>7735</v>
      </c>
      <c r="I26" s="73">
        <f t="shared" si="41"/>
        <v>4.6399999999999997</v>
      </c>
      <c r="J26" s="38">
        <v>5.2549999999999999</v>
      </c>
      <c r="K26" s="74">
        <f t="shared" si="42"/>
        <v>0</v>
      </c>
      <c r="L26" s="73">
        <f t="shared" si="43"/>
        <v>4.5999999999999996</v>
      </c>
      <c r="M26" s="75">
        <f t="shared" si="44"/>
        <v>0</v>
      </c>
      <c r="N26" s="76">
        <f t="shared" si="45"/>
        <v>0</v>
      </c>
      <c r="O26" s="73">
        <f t="shared" si="46"/>
        <v>5.2350000000000003</v>
      </c>
      <c r="P26" s="77">
        <f t="shared" si="47"/>
        <v>0</v>
      </c>
      <c r="Q26" s="76">
        <f t="shared" si="7"/>
        <v>0</v>
      </c>
      <c r="R26" s="78">
        <f t="shared" si="0"/>
        <v>0</v>
      </c>
      <c r="S26" s="77">
        <f t="shared" si="1"/>
        <v>0</v>
      </c>
      <c r="T26" s="74">
        <f t="shared" si="8"/>
        <v>7735</v>
      </c>
      <c r="U26" s="76" t="str">
        <f t="shared" si="9"/>
        <v>0</v>
      </c>
      <c r="V26" s="79">
        <f t="shared" si="10"/>
        <v>4.59</v>
      </c>
      <c r="W26" s="80" t="str">
        <f t="shared" si="11"/>
        <v>0</v>
      </c>
      <c r="X26" s="16">
        <f t="shared" si="12"/>
        <v>7735</v>
      </c>
      <c r="Y26" s="77">
        <f t="shared" si="36"/>
        <v>5.1550000000000002</v>
      </c>
      <c r="Z26" s="77">
        <f t="shared" si="13"/>
        <v>39873.925000000003</v>
      </c>
      <c r="AA26" s="81">
        <f t="shared" si="14"/>
        <v>7735</v>
      </c>
      <c r="AB26" s="77">
        <f t="shared" si="15"/>
        <v>35503.65</v>
      </c>
      <c r="AC26" s="80">
        <f t="shared" si="49"/>
        <v>4370.2750000000015</v>
      </c>
      <c r="AD26" s="82">
        <f t="shared" si="37"/>
        <v>0</v>
      </c>
      <c r="AE26" s="83">
        <v>5.1849999999999996</v>
      </c>
      <c r="AF26" s="77">
        <f t="shared" si="48"/>
        <v>0</v>
      </c>
      <c r="AG26" s="84">
        <f t="shared" si="16"/>
        <v>0</v>
      </c>
      <c r="AH26" s="79">
        <f t="shared" si="17"/>
        <v>4.58</v>
      </c>
      <c r="AI26" s="85">
        <f t="shared" si="18"/>
        <v>0</v>
      </c>
      <c r="AJ26" s="84">
        <f t="shared" si="19"/>
        <v>0</v>
      </c>
      <c r="AK26" s="79">
        <f t="shared" si="20"/>
        <v>4.6025</v>
      </c>
      <c r="AL26" s="77">
        <f t="shared" si="21"/>
        <v>0</v>
      </c>
      <c r="AM26" s="84">
        <f t="shared" si="22"/>
        <v>0</v>
      </c>
      <c r="AN26" s="79">
        <f t="shared" si="23"/>
        <v>4.5575000000000001</v>
      </c>
      <c r="AO26" s="77">
        <f t="shared" si="24"/>
        <v>0</v>
      </c>
      <c r="AP26" s="84">
        <f t="shared" si="2"/>
        <v>7735</v>
      </c>
      <c r="AQ26" s="78">
        <f t="shared" si="3"/>
        <v>5.1550000000000002</v>
      </c>
      <c r="AR26" s="77">
        <f t="shared" si="4"/>
        <v>39873.925000000003</v>
      </c>
      <c r="AS26" s="86">
        <v>0</v>
      </c>
      <c r="AT26" s="77">
        <f t="shared" si="25"/>
        <v>4.58</v>
      </c>
      <c r="AU26" s="77">
        <f t="shared" si="26"/>
        <v>0</v>
      </c>
      <c r="AV26" s="87">
        <f t="shared" si="5"/>
        <v>0</v>
      </c>
      <c r="AW26" s="88">
        <f t="shared" si="27"/>
        <v>0</v>
      </c>
      <c r="AX26" s="85">
        <f t="shared" si="28"/>
        <v>39873.925000000003</v>
      </c>
      <c r="AY26" s="88">
        <f t="shared" si="29"/>
        <v>7735</v>
      </c>
      <c r="AZ26" s="85">
        <f t="shared" si="30"/>
        <v>35503.65</v>
      </c>
      <c r="BA26" s="89">
        <f t="shared" si="31"/>
        <v>7735</v>
      </c>
      <c r="BB26" s="85">
        <f t="shared" si="32"/>
        <v>0</v>
      </c>
      <c r="BC26" s="88">
        <f t="shared" si="33"/>
        <v>0</v>
      </c>
      <c r="BD26" s="85">
        <f t="shared" si="34"/>
        <v>0</v>
      </c>
      <c r="BE26" s="85">
        <f t="shared" si="38"/>
        <v>39873.925000000003</v>
      </c>
      <c r="BF26" s="77">
        <f t="shared" si="39"/>
        <v>4370.2750000000015</v>
      </c>
    </row>
    <row r="27" spans="1:58" x14ac:dyDescent="0.2">
      <c r="A27" s="16">
        <f t="shared" si="35"/>
        <v>18</v>
      </c>
      <c r="B27" s="71">
        <v>0</v>
      </c>
      <c r="C27" s="71">
        <v>7025</v>
      </c>
      <c r="D27" s="71">
        <v>0</v>
      </c>
      <c r="E27" s="71">
        <v>0</v>
      </c>
      <c r="F27" s="71">
        <v>0</v>
      </c>
      <c r="G27" s="72">
        <f t="shared" si="6"/>
        <v>7025</v>
      </c>
      <c r="H27" s="72">
        <f t="shared" si="40"/>
        <v>7025</v>
      </c>
      <c r="I27" s="73">
        <f t="shared" si="41"/>
        <v>4.6399999999999997</v>
      </c>
      <c r="J27" s="38">
        <v>5.2549999999999999</v>
      </c>
      <c r="K27" s="74">
        <f t="shared" si="42"/>
        <v>0</v>
      </c>
      <c r="L27" s="73">
        <f t="shared" si="43"/>
        <v>4.5999999999999996</v>
      </c>
      <c r="M27" s="75">
        <f t="shared" si="44"/>
        <v>0</v>
      </c>
      <c r="N27" s="76">
        <f t="shared" si="45"/>
        <v>0</v>
      </c>
      <c r="O27" s="73">
        <f t="shared" si="46"/>
        <v>5.2350000000000003</v>
      </c>
      <c r="P27" s="77">
        <f t="shared" si="47"/>
        <v>0</v>
      </c>
      <c r="Q27" s="76">
        <f t="shared" si="7"/>
        <v>0</v>
      </c>
      <c r="R27" s="78">
        <f t="shared" si="0"/>
        <v>0</v>
      </c>
      <c r="S27" s="77">
        <f t="shared" si="1"/>
        <v>0</v>
      </c>
      <c r="T27" s="74">
        <f t="shared" si="8"/>
        <v>7025</v>
      </c>
      <c r="U27" s="76" t="str">
        <f t="shared" si="9"/>
        <v>0</v>
      </c>
      <c r="V27" s="79">
        <f t="shared" si="10"/>
        <v>4.59</v>
      </c>
      <c r="W27" s="80" t="str">
        <f t="shared" si="11"/>
        <v>0</v>
      </c>
      <c r="X27" s="16">
        <f t="shared" si="12"/>
        <v>7025</v>
      </c>
      <c r="Y27" s="77">
        <f t="shared" si="36"/>
        <v>5.1550000000000002</v>
      </c>
      <c r="Z27" s="77">
        <f t="shared" si="13"/>
        <v>36213.875</v>
      </c>
      <c r="AA27" s="81">
        <f t="shared" si="14"/>
        <v>7025</v>
      </c>
      <c r="AB27" s="77">
        <f t="shared" si="15"/>
        <v>32244.75</v>
      </c>
      <c r="AC27" s="80">
        <f t="shared" si="49"/>
        <v>3969.125</v>
      </c>
      <c r="AD27" s="82">
        <f t="shared" si="37"/>
        <v>0</v>
      </c>
      <c r="AE27" s="83">
        <v>5.1849999999999996</v>
      </c>
      <c r="AF27" s="77">
        <f t="shared" si="48"/>
        <v>0</v>
      </c>
      <c r="AG27" s="84">
        <f t="shared" si="16"/>
        <v>0</v>
      </c>
      <c r="AH27" s="79">
        <f t="shared" si="17"/>
        <v>4.58</v>
      </c>
      <c r="AI27" s="85">
        <f t="shared" si="18"/>
        <v>0</v>
      </c>
      <c r="AJ27" s="84">
        <f t="shared" si="19"/>
        <v>0</v>
      </c>
      <c r="AK27" s="79">
        <f t="shared" si="20"/>
        <v>4.6025</v>
      </c>
      <c r="AL27" s="77">
        <f t="shared" si="21"/>
        <v>0</v>
      </c>
      <c r="AM27" s="84">
        <f t="shared" si="22"/>
        <v>0</v>
      </c>
      <c r="AN27" s="79">
        <f t="shared" si="23"/>
        <v>4.5575000000000001</v>
      </c>
      <c r="AO27" s="77">
        <f t="shared" si="24"/>
        <v>0</v>
      </c>
      <c r="AP27" s="84">
        <f t="shared" si="2"/>
        <v>7025</v>
      </c>
      <c r="AQ27" s="78">
        <f t="shared" si="3"/>
        <v>5.1550000000000002</v>
      </c>
      <c r="AR27" s="77">
        <f t="shared" si="4"/>
        <v>36213.875</v>
      </c>
      <c r="AS27" s="86">
        <v>0</v>
      </c>
      <c r="AT27" s="77">
        <f t="shared" si="25"/>
        <v>4.58</v>
      </c>
      <c r="AU27" s="77">
        <f t="shared" si="26"/>
        <v>0</v>
      </c>
      <c r="AV27" s="87">
        <f t="shared" si="5"/>
        <v>0</v>
      </c>
      <c r="AW27" s="88">
        <f t="shared" si="27"/>
        <v>0</v>
      </c>
      <c r="AX27" s="85">
        <f t="shared" si="28"/>
        <v>36213.875</v>
      </c>
      <c r="AY27" s="88">
        <f t="shared" si="29"/>
        <v>7025</v>
      </c>
      <c r="AZ27" s="85">
        <f t="shared" si="30"/>
        <v>32244.75</v>
      </c>
      <c r="BA27" s="89">
        <f t="shared" si="31"/>
        <v>7025</v>
      </c>
      <c r="BB27" s="85">
        <f t="shared" si="32"/>
        <v>0</v>
      </c>
      <c r="BC27" s="88">
        <f t="shared" si="33"/>
        <v>0</v>
      </c>
      <c r="BD27" s="85">
        <f t="shared" si="34"/>
        <v>0</v>
      </c>
      <c r="BE27" s="85">
        <f t="shared" si="38"/>
        <v>36213.875</v>
      </c>
      <c r="BF27" s="77">
        <f t="shared" si="39"/>
        <v>3969.125</v>
      </c>
    </row>
    <row r="28" spans="1:58" x14ac:dyDescent="0.2">
      <c r="A28" s="16">
        <f t="shared" si="35"/>
        <v>19</v>
      </c>
      <c r="B28" s="71">
        <v>0</v>
      </c>
      <c r="C28" s="71">
        <v>7875</v>
      </c>
      <c r="D28" s="71">
        <v>0</v>
      </c>
      <c r="E28" s="71">
        <v>0</v>
      </c>
      <c r="F28" s="71">
        <v>0</v>
      </c>
      <c r="G28" s="72">
        <f t="shared" si="6"/>
        <v>7875</v>
      </c>
      <c r="H28" s="72">
        <f t="shared" si="40"/>
        <v>7875</v>
      </c>
      <c r="I28" s="73">
        <f t="shared" si="41"/>
        <v>4.6399999999999997</v>
      </c>
      <c r="J28" s="38">
        <v>5.07</v>
      </c>
      <c r="K28" s="74">
        <f t="shared" si="42"/>
        <v>0</v>
      </c>
      <c r="L28" s="73">
        <f t="shared" si="43"/>
        <v>4.5999999999999996</v>
      </c>
      <c r="M28" s="75">
        <f t="shared" si="44"/>
        <v>0</v>
      </c>
      <c r="N28" s="76">
        <f t="shared" si="45"/>
        <v>0</v>
      </c>
      <c r="O28" s="73">
        <f t="shared" si="46"/>
        <v>5.0500000000000007</v>
      </c>
      <c r="P28" s="77">
        <f t="shared" si="47"/>
        <v>0</v>
      </c>
      <c r="Q28" s="76">
        <f t="shared" si="7"/>
        <v>0</v>
      </c>
      <c r="R28" s="78">
        <f t="shared" si="0"/>
        <v>0</v>
      </c>
      <c r="S28" s="77">
        <f t="shared" si="1"/>
        <v>0</v>
      </c>
      <c r="T28" s="74">
        <f t="shared" si="8"/>
        <v>7875</v>
      </c>
      <c r="U28" s="76" t="str">
        <f t="shared" si="9"/>
        <v>0</v>
      </c>
      <c r="V28" s="79">
        <f t="shared" si="10"/>
        <v>4.59</v>
      </c>
      <c r="W28" s="80" t="str">
        <f t="shared" si="11"/>
        <v>0</v>
      </c>
      <c r="X28" s="16">
        <f t="shared" si="12"/>
        <v>7875</v>
      </c>
      <c r="Y28" s="77">
        <f t="shared" si="36"/>
        <v>4.9700000000000006</v>
      </c>
      <c r="Z28" s="77">
        <f t="shared" si="13"/>
        <v>39138.750000000007</v>
      </c>
      <c r="AA28" s="81">
        <f t="shared" si="14"/>
        <v>7875</v>
      </c>
      <c r="AB28" s="77">
        <f t="shared" si="15"/>
        <v>36146.25</v>
      </c>
      <c r="AC28" s="80">
        <f t="shared" si="49"/>
        <v>2992.5000000000073</v>
      </c>
      <c r="AD28" s="82">
        <f t="shared" si="37"/>
        <v>0</v>
      </c>
      <c r="AE28" s="83">
        <v>4.97</v>
      </c>
      <c r="AF28" s="77">
        <f t="shared" si="48"/>
        <v>0</v>
      </c>
      <c r="AG28" s="84">
        <f>+D28</f>
        <v>0</v>
      </c>
      <c r="AH28" s="79">
        <f t="shared" si="17"/>
        <v>4.58</v>
      </c>
      <c r="AI28" s="85">
        <f t="shared" si="18"/>
        <v>0</v>
      </c>
      <c r="AJ28" s="84">
        <f t="shared" si="19"/>
        <v>0</v>
      </c>
      <c r="AK28" s="79">
        <f t="shared" si="20"/>
        <v>4.6025</v>
      </c>
      <c r="AL28" s="77">
        <f t="shared" si="21"/>
        <v>0</v>
      </c>
      <c r="AM28" s="84">
        <f t="shared" si="22"/>
        <v>0</v>
      </c>
      <c r="AN28" s="79">
        <f t="shared" si="23"/>
        <v>4.5575000000000001</v>
      </c>
      <c r="AO28" s="77">
        <f t="shared" si="24"/>
        <v>0</v>
      </c>
      <c r="AP28" s="84">
        <f t="shared" si="2"/>
        <v>7875</v>
      </c>
      <c r="AQ28" s="78">
        <f t="shared" si="3"/>
        <v>4.9700000000000006</v>
      </c>
      <c r="AR28" s="77">
        <f t="shared" si="4"/>
        <v>39138.750000000007</v>
      </c>
      <c r="AS28" s="86">
        <v>0</v>
      </c>
      <c r="AT28" s="77">
        <f t="shared" si="25"/>
        <v>4.58</v>
      </c>
      <c r="AU28" s="77">
        <f t="shared" si="26"/>
        <v>0</v>
      </c>
      <c r="AV28" s="87">
        <f t="shared" si="5"/>
        <v>0</v>
      </c>
      <c r="AW28" s="88">
        <f t="shared" si="27"/>
        <v>0</v>
      </c>
      <c r="AX28" s="85">
        <f t="shared" si="28"/>
        <v>39138.750000000007</v>
      </c>
      <c r="AY28" s="88">
        <f t="shared" si="29"/>
        <v>7875</v>
      </c>
      <c r="AZ28" s="85">
        <f t="shared" si="30"/>
        <v>36146.25</v>
      </c>
      <c r="BA28" s="89">
        <f t="shared" si="31"/>
        <v>7875</v>
      </c>
      <c r="BB28" s="85">
        <f t="shared" si="32"/>
        <v>0</v>
      </c>
      <c r="BC28" s="88">
        <f t="shared" si="33"/>
        <v>0</v>
      </c>
      <c r="BD28" s="85">
        <f t="shared" si="34"/>
        <v>0</v>
      </c>
      <c r="BE28" s="85">
        <f t="shared" si="38"/>
        <v>39138.750000000007</v>
      </c>
      <c r="BF28" s="77">
        <f t="shared" si="39"/>
        <v>2992.5000000000073</v>
      </c>
    </row>
    <row r="29" spans="1:58" x14ac:dyDescent="0.2">
      <c r="A29" s="16">
        <f t="shared" si="35"/>
        <v>20</v>
      </c>
      <c r="B29" s="71">
        <v>0</v>
      </c>
      <c r="C29" s="71">
        <v>7661</v>
      </c>
      <c r="D29" s="71">
        <v>0</v>
      </c>
      <c r="E29" s="71">
        <v>0</v>
      </c>
      <c r="F29" s="71">
        <v>0</v>
      </c>
      <c r="G29" s="72">
        <f t="shared" si="6"/>
        <v>7661</v>
      </c>
      <c r="H29" s="72">
        <f t="shared" si="40"/>
        <v>7661</v>
      </c>
      <c r="I29" s="73">
        <f t="shared" si="41"/>
        <v>4.6399999999999997</v>
      </c>
      <c r="J29" s="38">
        <v>5.2</v>
      </c>
      <c r="K29" s="74">
        <f t="shared" si="42"/>
        <v>0</v>
      </c>
      <c r="L29" s="73">
        <f t="shared" si="43"/>
        <v>4.5999999999999996</v>
      </c>
      <c r="M29" s="75">
        <f t="shared" si="44"/>
        <v>0</v>
      </c>
      <c r="N29" s="76">
        <f t="shared" si="45"/>
        <v>0</v>
      </c>
      <c r="O29" s="73">
        <f t="shared" si="46"/>
        <v>5.1800000000000006</v>
      </c>
      <c r="P29" s="77">
        <f t="shared" si="47"/>
        <v>0</v>
      </c>
      <c r="Q29" s="76">
        <f t="shared" si="7"/>
        <v>0</v>
      </c>
      <c r="R29" s="78">
        <f t="shared" si="0"/>
        <v>0</v>
      </c>
      <c r="S29" s="77">
        <f t="shared" si="1"/>
        <v>0</v>
      </c>
      <c r="T29" s="74">
        <f t="shared" si="8"/>
        <v>7661</v>
      </c>
      <c r="U29" s="76" t="str">
        <f t="shared" si="9"/>
        <v>0</v>
      </c>
      <c r="V29" s="79">
        <f t="shared" si="10"/>
        <v>4.59</v>
      </c>
      <c r="W29" s="80" t="str">
        <f t="shared" si="11"/>
        <v>0</v>
      </c>
      <c r="X29" s="16">
        <f t="shared" si="12"/>
        <v>7661</v>
      </c>
      <c r="Y29" s="77">
        <f t="shared" si="36"/>
        <v>5.1000000000000005</v>
      </c>
      <c r="Z29" s="77">
        <f t="shared" si="13"/>
        <v>39071.100000000006</v>
      </c>
      <c r="AA29" s="81">
        <f t="shared" si="14"/>
        <v>7661</v>
      </c>
      <c r="AB29" s="77">
        <f t="shared" si="15"/>
        <v>35163.99</v>
      </c>
      <c r="AC29" s="80">
        <f t="shared" si="49"/>
        <v>3907.1100000000079</v>
      </c>
      <c r="AD29" s="82">
        <f t="shared" si="37"/>
        <v>0</v>
      </c>
      <c r="AE29" s="83">
        <v>5.14</v>
      </c>
      <c r="AF29" s="77">
        <f t="shared" si="48"/>
        <v>0</v>
      </c>
      <c r="AG29" s="84">
        <f t="shared" ref="AG29:AG40" si="50">+D29</f>
        <v>0</v>
      </c>
      <c r="AH29" s="79">
        <f t="shared" si="17"/>
        <v>4.58</v>
      </c>
      <c r="AI29" s="85">
        <f t="shared" si="18"/>
        <v>0</v>
      </c>
      <c r="AJ29" s="84">
        <f t="shared" si="19"/>
        <v>0</v>
      </c>
      <c r="AK29" s="79">
        <f t="shared" si="20"/>
        <v>4.6025</v>
      </c>
      <c r="AL29" s="77">
        <f t="shared" si="21"/>
        <v>0</v>
      </c>
      <c r="AM29" s="84">
        <f t="shared" si="22"/>
        <v>0</v>
      </c>
      <c r="AN29" s="79">
        <f t="shared" si="23"/>
        <v>4.5575000000000001</v>
      </c>
      <c r="AO29" s="77">
        <f t="shared" si="24"/>
        <v>0</v>
      </c>
      <c r="AP29" s="84">
        <f t="shared" si="2"/>
        <v>7661</v>
      </c>
      <c r="AQ29" s="78">
        <f t="shared" si="3"/>
        <v>5.1000000000000005</v>
      </c>
      <c r="AR29" s="77">
        <f t="shared" si="4"/>
        <v>39071.100000000006</v>
      </c>
      <c r="AS29" s="86">
        <v>0</v>
      </c>
      <c r="AT29" s="77">
        <f t="shared" si="25"/>
        <v>4.58</v>
      </c>
      <c r="AU29" s="77">
        <f t="shared" si="26"/>
        <v>0</v>
      </c>
      <c r="AV29" s="87">
        <f t="shared" si="5"/>
        <v>0</v>
      </c>
      <c r="AW29" s="88">
        <f t="shared" si="27"/>
        <v>0</v>
      </c>
      <c r="AX29" s="85">
        <f t="shared" si="28"/>
        <v>39071.100000000006</v>
      </c>
      <c r="AY29" s="88">
        <f t="shared" si="29"/>
        <v>7661</v>
      </c>
      <c r="AZ29" s="85">
        <f t="shared" si="30"/>
        <v>35163.99</v>
      </c>
      <c r="BA29" s="89">
        <f t="shared" si="31"/>
        <v>7661</v>
      </c>
      <c r="BB29" s="85">
        <f t="shared" si="32"/>
        <v>0</v>
      </c>
      <c r="BC29" s="88">
        <f t="shared" si="33"/>
        <v>0</v>
      </c>
      <c r="BD29" s="85">
        <f t="shared" si="34"/>
        <v>0</v>
      </c>
      <c r="BE29" s="85">
        <f t="shared" si="38"/>
        <v>39071.100000000006</v>
      </c>
      <c r="BF29" s="77">
        <f t="shared" si="39"/>
        <v>3907.1100000000079</v>
      </c>
    </row>
    <row r="30" spans="1:58" x14ac:dyDescent="0.2">
      <c r="A30" s="16">
        <f t="shared" si="35"/>
        <v>21</v>
      </c>
      <c r="B30" s="71">
        <v>0</v>
      </c>
      <c r="C30" s="71">
        <v>7824</v>
      </c>
      <c r="D30" s="71">
        <v>0</v>
      </c>
      <c r="E30" s="71">
        <v>0</v>
      </c>
      <c r="F30" s="71">
        <v>0</v>
      </c>
      <c r="G30" s="72">
        <f t="shared" si="6"/>
        <v>7824</v>
      </c>
      <c r="H30" s="72">
        <f t="shared" si="40"/>
        <v>7824</v>
      </c>
      <c r="I30" s="73">
        <f t="shared" si="41"/>
        <v>4.6399999999999997</v>
      </c>
      <c r="J30" s="38">
        <v>5.25</v>
      </c>
      <c r="K30" s="74">
        <f t="shared" si="42"/>
        <v>0</v>
      </c>
      <c r="L30" s="73">
        <f t="shared" si="43"/>
        <v>4.5999999999999996</v>
      </c>
      <c r="M30" s="75">
        <f t="shared" si="44"/>
        <v>0</v>
      </c>
      <c r="N30" s="76">
        <f t="shared" si="45"/>
        <v>0</v>
      </c>
      <c r="O30" s="73">
        <f t="shared" si="46"/>
        <v>5.23</v>
      </c>
      <c r="P30" s="77">
        <f t="shared" si="47"/>
        <v>0</v>
      </c>
      <c r="Q30" s="76">
        <f t="shared" si="7"/>
        <v>0</v>
      </c>
      <c r="R30" s="78">
        <f t="shared" si="0"/>
        <v>0</v>
      </c>
      <c r="S30" s="77">
        <f t="shared" si="1"/>
        <v>0</v>
      </c>
      <c r="T30" s="74">
        <f t="shared" si="8"/>
        <v>7824</v>
      </c>
      <c r="U30" s="76" t="str">
        <f t="shared" si="9"/>
        <v>0</v>
      </c>
      <c r="V30" s="79">
        <f t="shared" si="10"/>
        <v>4.59</v>
      </c>
      <c r="W30" s="80" t="str">
        <f t="shared" si="11"/>
        <v>0</v>
      </c>
      <c r="X30" s="16">
        <f t="shared" si="12"/>
        <v>7824</v>
      </c>
      <c r="Y30" s="77">
        <f t="shared" si="36"/>
        <v>5.15</v>
      </c>
      <c r="Z30" s="77">
        <f t="shared" si="13"/>
        <v>40293.600000000006</v>
      </c>
      <c r="AA30" s="81">
        <f t="shared" si="14"/>
        <v>7824</v>
      </c>
      <c r="AB30" s="77">
        <f t="shared" si="15"/>
        <v>35912.159999999996</v>
      </c>
      <c r="AC30" s="80">
        <f t="shared" si="49"/>
        <v>4381.4400000000096</v>
      </c>
      <c r="AD30" s="82">
        <f t="shared" si="37"/>
        <v>0</v>
      </c>
      <c r="AE30" s="83">
        <v>5.1849999999999996</v>
      </c>
      <c r="AF30" s="77">
        <f t="shared" si="48"/>
        <v>0</v>
      </c>
      <c r="AG30" s="84">
        <f t="shared" si="50"/>
        <v>0</v>
      </c>
      <c r="AH30" s="79">
        <f t="shared" si="17"/>
        <v>4.58</v>
      </c>
      <c r="AI30" s="85">
        <f t="shared" si="18"/>
        <v>0</v>
      </c>
      <c r="AJ30" s="84">
        <f t="shared" si="19"/>
        <v>0</v>
      </c>
      <c r="AK30" s="79">
        <f t="shared" si="20"/>
        <v>4.6025</v>
      </c>
      <c r="AL30" s="77">
        <f t="shared" si="21"/>
        <v>0</v>
      </c>
      <c r="AM30" s="84">
        <f t="shared" si="22"/>
        <v>0</v>
      </c>
      <c r="AN30" s="79">
        <f t="shared" si="23"/>
        <v>4.5575000000000001</v>
      </c>
      <c r="AO30" s="77">
        <f t="shared" si="24"/>
        <v>0</v>
      </c>
      <c r="AP30" s="84">
        <f t="shared" si="2"/>
        <v>7824</v>
      </c>
      <c r="AQ30" s="78">
        <f t="shared" si="3"/>
        <v>5.15</v>
      </c>
      <c r="AR30" s="77">
        <f t="shared" si="4"/>
        <v>40293.600000000006</v>
      </c>
      <c r="AS30" s="86">
        <v>0</v>
      </c>
      <c r="AT30" s="77">
        <f t="shared" si="25"/>
        <v>4.58</v>
      </c>
      <c r="AU30" s="77">
        <f t="shared" si="26"/>
        <v>0</v>
      </c>
      <c r="AV30" s="87">
        <f t="shared" si="5"/>
        <v>0</v>
      </c>
      <c r="AW30" s="88">
        <f t="shared" si="27"/>
        <v>0</v>
      </c>
      <c r="AX30" s="85">
        <f t="shared" si="28"/>
        <v>40293.600000000006</v>
      </c>
      <c r="AY30" s="88">
        <f t="shared" si="29"/>
        <v>7824</v>
      </c>
      <c r="AZ30" s="85">
        <f t="shared" si="30"/>
        <v>35912.159999999996</v>
      </c>
      <c r="BA30" s="89">
        <f t="shared" si="31"/>
        <v>7824</v>
      </c>
      <c r="BB30" s="85">
        <f t="shared" si="32"/>
        <v>0</v>
      </c>
      <c r="BC30" s="88">
        <f t="shared" si="33"/>
        <v>0</v>
      </c>
      <c r="BD30" s="85">
        <f t="shared" si="34"/>
        <v>0</v>
      </c>
      <c r="BE30" s="85">
        <f t="shared" si="38"/>
        <v>40293.600000000006</v>
      </c>
      <c r="BF30" s="77">
        <f t="shared" si="39"/>
        <v>4381.4400000000096</v>
      </c>
    </row>
    <row r="31" spans="1:58" x14ac:dyDescent="0.2">
      <c r="A31" s="16">
        <f t="shared" si="35"/>
        <v>22</v>
      </c>
      <c r="B31" s="71">
        <v>0</v>
      </c>
      <c r="C31" s="71">
        <v>7669</v>
      </c>
      <c r="D31" s="71">
        <v>0</v>
      </c>
      <c r="E31" s="71">
        <v>0</v>
      </c>
      <c r="F31" s="71">
        <v>0</v>
      </c>
      <c r="G31" s="72">
        <f t="shared" si="6"/>
        <v>7669</v>
      </c>
      <c r="H31" s="72">
        <f t="shared" si="40"/>
        <v>7669</v>
      </c>
      <c r="I31" s="73">
        <f t="shared" si="41"/>
        <v>4.6399999999999997</v>
      </c>
      <c r="J31" s="38">
        <v>5.16</v>
      </c>
      <c r="K31" s="74">
        <f t="shared" si="42"/>
        <v>0</v>
      </c>
      <c r="L31" s="73">
        <f t="shared" si="43"/>
        <v>4.5999999999999996</v>
      </c>
      <c r="M31" s="75">
        <f t="shared" si="44"/>
        <v>0</v>
      </c>
      <c r="N31" s="76">
        <f t="shared" si="45"/>
        <v>0</v>
      </c>
      <c r="O31" s="73">
        <f t="shared" si="46"/>
        <v>5.1400000000000006</v>
      </c>
      <c r="P31" s="77">
        <f t="shared" si="47"/>
        <v>0</v>
      </c>
      <c r="Q31" s="76">
        <f t="shared" si="7"/>
        <v>0</v>
      </c>
      <c r="R31" s="78">
        <f t="shared" si="0"/>
        <v>0</v>
      </c>
      <c r="S31" s="77">
        <f t="shared" si="1"/>
        <v>0</v>
      </c>
      <c r="T31" s="74">
        <f t="shared" si="8"/>
        <v>7669</v>
      </c>
      <c r="U31" s="76" t="str">
        <f t="shared" si="9"/>
        <v>0</v>
      </c>
      <c r="V31" s="79">
        <f t="shared" si="10"/>
        <v>4.59</v>
      </c>
      <c r="W31" s="80" t="str">
        <f t="shared" si="11"/>
        <v>0</v>
      </c>
      <c r="X31" s="16">
        <f t="shared" si="12"/>
        <v>7669</v>
      </c>
      <c r="Y31" s="77">
        <f t="shared" si="36"/>
        <v>5.0600000000000005</v>
      </c>
      <c r="Z31" s="77">
        <f t="shared" si="13"/>
        <v>38805.140000000007</v>
      </c>
      <c r="AA31" s="81">
        <f t="shared" si="14"/>
        <v>7669</v>
      </c>
      <c r="AB31" s="77">
        <f t="shared" si="15"/>
        <v>35200.71</v>
      </c>
      <c r="AC31" s="80">
        <f t="shared" si="49"/>
        <v>3604.4300000000076</v>
      </c>
      <c r="AD31" s="82">
        <f t="shared" si="37"/>
        <v>0</v>
      </c>
      <c r="AE31" s="83">
        <v>5.0999999999999996</v>
      </c>
      <c r="AF31" s="77">
        <f t="shared" si="48"/>
        <v>0</v>
      </c>
      <c r="AG31" s="84">
        <f t="shared" si="50"/>
        <v>0</v>
      </c>
      <c r="AH31" s="79">
        <f t="shared" si="17"/>
        <v>4.58</v>
      </c>
      <c r="AI31" s="85">
        <f t="shared" si="18"/>
        <v>0</v>
      </c>
      <c r="AJ31" s="84">
        <f t="shared" si="19"/>
        <v>0</v>
      </c>
      <c r="AK31" s="79">
        <f t="shared" si="20"/>
        <v>4.6025</v>
      </c>
      <c r="AL31" s="77">
        <f t="shared" si="21"/>
        <v>0</v>
      </c>
      <c r="AM31" s="84">
        <f t="shared" si="22"/>
        <v>0</v>
      </c>
      <c r="AN31" s="79">
        <f t="shared" si="23"/>
        <v>4.5575000000000001</v>
      </c>
      <c r="AO31" s="77">
        <f t="shared" si="24"/>
        <v>0</v>
      </c>
      <c r="AP31" s="84">
        <f t="shared" si="2"/>
        <v>7669</v>
      </c>
      <c r="AQ31" s="78">
        <f t="shared" si="3"/>
        <v>5.0600000000000005</v>
      </c>
      <c r="AR31" s="77">
        <f t="shared" si="4"/>
        <v>38805.140000000007</v>
      </c>
      <c r="AS31" s="86">
        <v>0</v>
      </c>
      <c r="AT31" s="77">
        <f t="shared" si="25"/>
        <v>4.58</v>
      </c>
      <c r="AU31" s="77">
        <f t="shared" si="26"/>
        <v>0</v>
      </c>
      <c r="AV31" s="87">
        <f t="shared" si="5"/>
        <v>0</v>
      </c>
      <c r="AW31" s="88">
        <f t="shared" si="27"/>
        <v>0</v>
      </c>
      <c r="AX31" s="85">
        <f t="shared" si="28"/>
        <v>38805.140000000007</v>
      </c>
      <c r="AY31" s="88">
        <f t="shared" si="29"/>
        <v>7669</v>
      </c>
      <c r="AZ31" s="85">
        <f t="shared" si="30"/>
        <v>35200.71</v>
      </c>
      <c r="BA31" s="89">
        <f t="shared" si="31"/>
        <v>7669</v>
      </c>
      <c r="BB31" s="85">
        <f t="shared" si="32"/>
        <v>0</v>
      </c>
      <c r="BC31" s="88">
        <f t="shared" si="33"/>
        <v>0</v>
      </c>
      <c r="BD31" s="85">
        <f t="shared" si="34"/>
        <v>0</v>
      </c>
      <c r="BE31" s="85">
        <f t="shared" si="38"/>
        <v>38805.140000000007</v>
      </c>
      <c r="BF31" s="77">
        <f t="shared" si="39"/>
        <v>3604.4300000000076</v>
      </c>
    </row>
    <row r="32" spans="1:58" x14ac:dyDescent="0.2">
      <c r="A32" s="16">
        <f>A31 + 1</f>
        <v>23</v>
      </c>
      <c r="B32" s="71">
        <v>24375.95</v>
      </c>
      <c r="C32" s="71">
        <v>7650</v>
      </c>
      <c r="D32" s="71">
        <v>22600</v>
      </c>
      <c r="E32" s="71">
        <v>0</v>
      </c>
      <c r="F32" s="71">
        <v>0</v>
      </c>
      <c r="G32" s="72">
        <f t="shared" si="6"/>
        <v>30250</v>
      </c>
      <c r="H32" s="72">
        <f t="shared" si="40"/>
        <v>5874.0499999999993</v>
      </c>
      <c r="I32" s="73">
        <f t="shared" si="41"/>
        <v>4.6399999999999997</v>
      </c>
      <c r="J32" s="38">
        <v>5.17</v>
      </c>
      <c r="K32" s="74">
        <f t="shared" si="42"/>
        <v>24375.95</v>
      </c>
      <c r="L32" s="73">
        <f t="shared" si="43"/>
        <v>4.5999999999999996</v>
      </c>
      <c r="M32" s="75">
        <f t="shared" si="44"/>
        <v>112129.37</v>
      </c>
      <c r="N32" s="76">
        <f t="shared" si="45"/>
        <v>0</v>
      </c>
      <c r="O32" s="73">
        <f t="shared" si="46"/>
        <v>5.15</v>
      </c>
      <c r="P32" s="77">
        <f t="shared" si="47"/>
        <v>0</v>
      </c>
      <c r="Q32" s="76">
        <f t="shared" si="7"/>
        <v>24375.95</v>
      </c>
      <c r="R32" s="78">
        <f t="shared" si="0"/>
        <v>4.5999999999999996</v>
      </c>
      <c r="S32" s="77">
        <f t="shared" si="1"/>
        <v>112129.37</v>
      </c>
      <c r="T32" s="74">
        <f t="shared" si="8"/>
        <v>7650</v>
      </c>
      <c r="U32" s="76">
        <f t="shared" si="9"/>
        <v>7650</v>
      </c>
      <c r="V32" s="79">
        <f t="shared" si="10"/>
        <v>4.59</v>
      </c>
      <c r="W32" s="80">
        <f t="shared" si="11"/>
        <v>35113.5</v>
      </c>
      <c r="X32" s="16" t="str">
        <f t="shared" si="12"/>
        <v>0</v>
      </c>
      <c r="Y32" s="77">
        <f t="shared" si="36"/>
        <v>5.07</v>
      </c>
      <c r="Z32" s="77">
        <f t="shared" si="13"/>
        <v>0</v>
      </c>
      <c r="AA32" s="81">
        <f t="shared" si="14"/>
        <v>7650</v>
      </c>
      <c r="AB32" s="77">
        <f t="shared" si="15"/>
        <v>35113.5</v>
      </c>
      <c r="AC32" s="80">
        <f t="shared" si="49"/>
        <v>-35113.5</v>
      </c>
      <c r="AD32" s="82">
        <f t="shared" si="37"/>
        <v>1633.8740000000007</v>
      </c>
      <c r="AE32" s="83">
        <v>5.0999999999999996</v>
      </c>
      <c r="AF32" s="77">
        <f t="shared" si="48"/>
        <v>8332.7574000000022</v>
      </c>
      <c r="AG32" s="84">
        <f t="shared" si="50"/>
        <v>22600</v>
      </c>
      <c r="AH32" s="79">
        <f t="shared" si="17"/>
        <v>4.58</v>
      </c>
      <c r="AI32" s="85">
        <f t="shared" si="18"/>
        <v>103508</v>
      </c>
      <c r="AJ32" s="84">
        <f t="shared" si="19"/>
        <v>0</v>
      </c>
      <c r="AK32" s="79">
        <f t="shared" si="20"/>
        <v>4.6025</v>
      </c>
      <c r="AL32" s="77">
        <f t="shared" si="21"/>
        <v>0</v>
      </c>
      <c r="AM32" s="84">
        <f t="shared" si="22"/>
        <v>0</v>
      </c>
      <c r="AN32" s="79">
        <f t="shared" si="23"/>
        <v>4.5575000000000001</v>
      </c>
      <c r="AO32" s="77">
        <f t="shared" si="24"/>
        <v>0</v>
      </c>
      <c r="AP32" s="84">
        <f t="shared" si="2"/>
        <v>30250</v>
      </c>
      <c r="AQ32" s="78">
        <f t="shared" si="3"/>
        <v>4.5825289256198349</v>
      </c>
      <c r="AR32" s="77">
        <f t="shared" si="4"/>
        <v>138621.5</v>
      </c>
      <c r="AS32" s="86">
        <v>69</v>
      </c>
      <c r="AT32" s="77">
        <f t="shared" si="25"/>
        <v>4.58</v>
      </c>
      <c r="AU32" s="77">
        <f t="shared" si="26"/>
        <v>316.02</v>
      </c>
      <c r="AV32" s="87">
        <f t="shared" si="5"/>
        <v>112129.37</v>
      </c>
      <c r="AW32" s="88">
        <f t="shared" si="27"/>
        <v>24375.95</v>
      </c>
      <c r="AX32" s="85">
        <f t="shared" si="28"/>
        <v>138621.5</v>
      </c>
      <c r="AY32" s="88">
        <f t="shared" si="29"/>
        <v>30250</v>
      </c>
      <c r="AZ32" s="85">
        <f t="shared" si="30"/>
        <v>35113.5</v>
      </c>
      <c r="BA32" s="89">
        <f t="shared" si="31"/>
        <v>7650</v>
      </c>
      <c r="BB32" s="85">
        <f t="shared" si="32"/>
        <v>8332.7574000000022</v>
      </c>
      <c r="BC32" s="88">
        <f t="shared" si="33"/>
        <v>1633.8740000000007</v>
      </c>
      <c r="BD32" s="85">
        <f t="shared" si="34"/>
        <v>316.02</v>
      </c>
      <c r="BE32" s="85">
        <f t="shared" si="38"/>
        <v>26176.110000000004</v>
      </c>
      <c r="BF32" s="77">
        <f t="shared" si="39"/>
        <v>-604.63259999999309</v>
      </c>
    </row>
    <row r="33" spans="1:58" x14ac:dyDescent="0.2">
      <c r="A33" s="16">
        <f t="shared" si="35"/>
        <v>24</v>
      </c>
      <c r="B33" s="71">
        <v>29279.32</v>
      </c>
      <c r="C33" s="71">
        <v>7778</v>
      </c>
      <c r="D33" s="71">
        <v>22600</v>
      </c>
      <c r="E33" s="71">
        <v>0</v>
      </c>
      <c r="F33" s="71">
        <v>0</v>
      </c>
      <c r="G33" s="72">
        <f t="shared" si="6"/>
        <v>30378</v>
      </c>
      <c r="H33" s="72">
        <f t="shared" si="40"/>
        <v>1098.6800000000003</v>
      </c>
      <c r="I33" s="73">
        <f t="shared" si="41"/>
        <v>4.6399999999999997</v>
      </c>
      <c r="J33" s="38">
        <v>5.17</v>
      </c>
      <c r="K33" s="74">
        <f t="shared" si="42"/>
        <v>29279.32</v>
      </c>
      <c r="L33" s="73">
        <f t="shared" si="43"/>
        <v>4.5999999999999996</v>
      </c>
      <c r="M33" s="75">
        <f t="shared" si="44"/>
        <v>134684.87199999997</v>
      </c>
      <c r="N33" s="76">
        <f t="shared" si="45"/>
        <v>0</v>
      </c>
      <c r="O33" s="73">
        <f t="shared" si="46"/>
        <v>5.15</v>
      </c>
      <c r="P33" s="77">
        <f t="shared" si="47"/>
        <v>0</v>
      </c>
      <c r="Q33" s="76">
        <f t="shared" si="7"/>
        <v>29279.32</v>
      </c>
      <c r="R33" s="78">
        <f t="shared" si="0"/>
        <v>4.5999999999999988</v>
      </c>
      <c r="S33" s="77">
        <f t="shared" si="1"/>
        <v>134684.87199999997</v>
      </c>
      <c r="T33" s="74">
        <f t="shared" si="8"/>
        <v>7778</v>
      </c>
      <c r="U33" s="76">
        <f t="shared" si="9"/>
        <v>7778</v>
      </c>
      <c r="V33" s="79">
        <f t="shared" si="10"/>
        <v>4.59</v>
      </c>
      <c r="W33" s="80">
        <f t="shared" si="11"/>
        <v>35701.019999999997</v>
      </c>
      <c r="X33" s="16" t="str">
        <f t="shared" si="12"/>
        <v>0</v>
      </c>
      <c r="Y33" s="77">
        <f t="shared" si="36"/>
        <v>5.07</v>
      </c>
      <c r="Z33" s="77">
        <f t="shared" si="13"/>
        <v>0</v>
      </c>
      <c r="AA33" s="81">
        <f t="shared" si="14"/>
        <v>7778</v>
      </c>
      <c r="AB33" s="77">
        <f t="shared" si="15"/>
        <v>35701.019999999997</v>
      </c>
      <c r="AC33" s="80">
        <f t="shared" si="49"/>
        <v>-35701.019999999997</v>
      </c>
      <c r="AD33" s="82">
        <f t="shared" si="37"/>
        <v>6144.9744000000001</v>
      </c>
      <c r="AE33" s="83">
        <v>5.0999999999999996</v>
      </c>
      <c r="AF33" s="77">
        <f t="shared" si="48"/>
        <v>31339.369439999999</v>
      </c>
      <c r="AG33" s="84">
        <f t="shared" si="50"/>
        <v>22600</v>
      </c>
      <c r="AH33" s="79">
        <f t="shared" si="17"/>
        <v>4.58</v>
      </c>
      <c r="AI33" s="85">
        <f t="shared" si="18"/>
        <v>103508</v>
      </c>
      <c r="AJ33" s="84">
        <f t="shared" si="19"/>
        <v>0</v>
      </c>
      <c r="AK33" s="79">
        <f t="shared" si="20"/>
        <v>4.6025</v>
      </c>
      <c r="AL33" s="77">
        <f t="shared" si="21"/>
        <v>0</v>
      </c>
      <c r="AM33" s="84">
        <f t="shared" si="22"/>
        <v>0</v>
      </c>
      <c r="AN33" s="79">
        <f t="shared" si="23"/>
        <v>4.5575000000000001</v>
      </c>
      <c r="AO33" s="77">
        <f t="shared" si="24"/>
        <v>0</v>
      </c>
      <c r="AP33" s="84">
        <f t="shared" si="2"/>
        <v>30378</v>
      </c>
      <c r="AQ33" s="78">
        <f t="shared" si="3"/>
        <v>4.5825604055566522</v>
      </c>
      <c r="AR33" s="77">
        <f t="shared" si="4"/>
        <v>139209.01999999999</v>
      </c>
      <c r="AS33" s="86">
        <v>0</v>
      </c>
      <c r="AT33" s="77">
        <f t="shared" si="25"/>
        <v>4.58</v>
      </c>
      <c r="AU33" s="77">
        <f t="shared" si="26"/>
        <v>0</v>
      </c>
      <c r="AV33" s="87">
        <f t="shared" si="5"/>
        <v>134684.87199999997</v>
      </c>
      <c r="AW33" s="88">
        <f t="shared" si="27"/>
        <v>29279.32</v>
      </c>
      <c r="AX33" s="85">
        <f t="shared" si="28"/>
        <v>139209.01999999999</v>
      </c>
      <c r="AY33" s="88">
        <f t="shared" si="29"/>
        <v>30378</v>
      </c>
      <c r="AZ33" s="85">
        <f t="shared" si="30"/>
        <v>35701.019999999997</v>
      </c>
      <c r="BA33" s="89">
        <f t="shared" si="31"/>
        <v>7778</v>
      </c>
      <c r="BB33" s="85">
        <f t="shared" si="32"/>
        <v>31339.369439999999</v>
      </c>
      <c r="BC33" s="88">
        <f t="shared" si="33"/>
        <v>6144.9744000000001</v>
      </c>
      <c r="BD33" s="85">
        <f t="shared" si="34"/>
        <v>0</v>
      </c>
      <c r="BE33" s="85">
        <f t="shared" si="38"/>
        <v>4524.1480000000156</v>
      </c>
      <c r="BF33" s="77">
        <f t="shared" si="39"/>
        <v>162.49744000002829</v>
      </c>
    </row>
    <row r="34" spans="1:58" x14ac:dyDescent="0.2">
      <c r="A34" s="16">
        <f t="shared" si="35"/>
        <v>25</v>
      </c>
      <c r="B34" s="71">
        <v>30059.43</v>
      </c>
      <c r="C34" s="71">
        <v>7378</v>
      </c>
      <c r="D34" s="71">
        <v>22600</v>
      </c>
      <c r="E34" s="71">
        <v>0</v>
      </c>
      <c r="F34" s="71">
        <v>0</v>
      </c>
      <c r="G34" s="72">
        <f t="shared" si="6"/>
        <v>29978</v>
      </c>
      <c r="H34" s="72">
        <f t="shared" si="40"/>
        <v>-81.430000000000291</v>
      </c>
      <c r="I34" s="73">
        <f t="shared" si="41"/>
        <v>4.6399999999999997</v>
      </c>
      <c r="J34" s="38">
        <v>5.17</v>
      </c>
      <c r="K34" s="74">
        <f t="shared" si="42"/>
        <v>30059.43</v>
      </c>
      <c r="L34" s="73">
        <f t="shared" si="43"/>
        <v>4.5999999999999996</v>
      </c>
      <c r="M34" s="75">
        <f t="shared" si="44"/>
        <v>138273.378</v>
      </c>
      <c r="N34" s="76">
        <f t="shared" si="45"/>
        <v>0</v>
      </c>
      <c r="O34" s="73">
        <f t="shared" si="46"/>
        <v>5.15</v>
      </c>
      <c r="P34" s="77">
        <f t="shared" si="47"/>
        <v>0</v>
      </c>
      <c r="Q34" s="76">
        <f t="shared" si="7"/>
        <v>30059.43</v>
      </c>
      <c r="R34" s="78">
        <f t="shared" si="0"/>
        <v>4.5999999999999996</v>
      </c>
      <c r="S34" s="77">
        <f t="shared" si="1"/>
        <v>138273.378</v>
      </c>
      <c r="T34" s="74">
        <f t="shared" si="8"/>
        <v>7378</v>
      </c>
      <c r="U34" s="76">
        <f t="shared" si="9"/>
        <v>7378</v>
      </c>
      <c r="V34" s="79">
        <f t="shared" si="10"/>
        <v>4.59</v>
      </c>
      <c r="W34" s="80">
        <f t="shared" si="11"/>
        <v>33865.019999999997</v>
      </c>
      <c r="X34" s="16" t="str">
        <f t="shared" si="12"/>
        <v>0</v>
      </c>
      <c r="Y34" s="77">
        <f t="shared" si="36"/>
        <v>5.07</v>
      </c>
      <c r="Z34" s="77">
        <f t="shared" si="13"/>
        <v>0</v>
      </c>
      <c r="AA34" s="81">
        <f t="shared" si="14"/>
        <v>7378</v>
      </c>
      <c r="AB34" s="77">
        <f t="shared" si="15"/>
        <v>33865.019999999997</v>
      </c>
      <c r="AC34" s="80">
        <f t="shared" si="49"/>
        <v>-33865.019999999997</v>
      </c>
      <c r="AD34" s="82">
        <f t="shared" si="37"/>
        <v>6862.6756000000005</v>
      </c>
      <c r="AE34" s="83">
        <v>5.0999999999999996</v>
      </c>
      <c r="AF34" s="77">
        <f t="shared" si="48"/>
        <v>34999.645559999997</v>
      </c>
      <c r="AG34" s="84">
        <f t="shared" si="50"/>
        <v>22600</v>
      </c>
      <c r="AH34" s="79">
        <f t="shared" si="17"/>
        <v>4.58</v>
      </c>
      <c r="AI34" s="85">
        <f t="shared" si="18"/>
        <v>103508</v>
      </c>
      <c r="AJ34" s="84">
        <f t="shared" si="19"/>
        <v>0</v>
      </c>
      <c r="AK34" s="79">
        <f t="shared" si="20"/>
        <v>4.6025</v>
      </c>
      <c r="AL34" s="77">
        <f t="shared" si="21"/>
        <v>0</v>
      </c>
      <c r="AM34" s="84">
        <f t="shared" si="22"/>
        <v>0</v>
      </c>
      <c r="AN34" s="79">
        <f t="shared" si="23"/>
        <v>4.5575000000000001</v>
      </c>
      <c r="AO34" s="77">
        <f t="shared" si="24"/>
        <v>0</v>
      </c>
      <c r="AP34" s="84">
        <f t="shared" si="2"/>
        <v>29978</v>
      </c>
      <c r="AQ34" s="78">
        <f t="shared" si="3"/>
        <v>4.5824611381679894</v>
      </c>
      <c r="AR34" s="77">
        <f t="shared" si="4"/>
        <v>137373.01999999999</v>
      </c>
      <c r="AS34" s="86">
        <v>184</v>
      </c>
      <c r="AT34" s="77">
        <f t="shared" si="25"/>
        <v>4.58</v>
      </c>
      <c r="AU34" s="77">
        <f t="shared" si="26"/>
        <v>842.72</v>
      </c>
      <c r="AV34" s="87">
        <f t="shared" si="5"/>
        <v>138273.378</v>
      </c>
      <c r="AW34" s="88">
        <f t="shared" si="27"/>
        <v>30059.43</v>
      </c>
      <c r="AX34" s="85">
        <f t="shared" si="28"/>
        <v>137373.01999999999</v>
      </c>
      <c r="AY34" s="88">
        <f t="shared" si="29"/>
        <v>29978</v>
      </c>
      <c r="AZ34" s="85">
        <f t="shared" si="30"/>
        <v>33865.019999999997</v>
      </c>
      <c r="BA34" s="89">
        <f t="shared" si="31"/>
        <v>7378</v>
      </c>
      <c r="BB34" s="85">
        <f t="shared" si="32"/>
        <v>34999.645559999997</v>
      </c>
      <c r="BC34" s="88">
        <f t="shared" si="33"/>
        <v>6862.6756000000005</v>
      </c>
      <c r="BD34" s="85">
        <f t="shared" si="34"/>
        <v>842.72</v>
      </c>
      <c r="BE34" s="85">
        <f t="shared" si="38"/>
        <v>-1743.0780000000075</v>
      </c>
      <c r="BF34" s="77">
        <f t="shared" si="39"/>
        <v>-608.4524399999998</v>
      </c>
    </row>
    <row r="35" spans="1:58" x14ac:dyDescent="0.2">
      <c r="A35" s="16">
        <f t="shared" si="35"/>
        <v>26</v>
      </c>
      <c r="B35" s="71">
        <v>30031.51</v>
      </c>
      <c r="C35" s="71">
        <v>7442</v>
      </c>
      <c r="D35" s="71">
        <v>22400</v>
      </c>
      <c r="E35" s="71">
        <v>0</v>
      </c>
      <c r="F35" s="71">
        <v>0</v>
      </c>
      <c r="G35" s="72">
        <f t="shared" si="6"/>
        <v>29842</v>
      </c>
      <c r="H35" s="72">
        <f t="shared" si="40"/>
        <v>-189.5099999999984</v>
      </c>
      <c r="I35" s="73">
        <f t="shared" si="41"/>
        <v>4.6399999999999997</v>
      </c>
      <c r="J35" s="38">
        <v>5.0999999999999996</v>
      </c>
      <c r="K35" s="74">
        <f t="shared" si="42"/>
        <v>30031.51</v>
      </c>
      <c r="L35" s="73">
        <f t="shared" si="43"/>
        <v>4.5999999999999996</v>
      </c>
      <c r="M35" s="75">
        <f t="shared" si="44"/>
        <v>138144.946</v>
      </c>
      <c r="N35" s="76">
        <f t="shared" si="45"/>
        <v>0</v>
      </c>
      <c r="O35" s="73">
        <f t="shared" si="46"/>
        <v>5.08</v>
      </c>
      <c r="P35" s="77">
        <f t="shared" si="47"/>
        <v>0</v>
      </c>
      <c r="Q35" s="76">
        <f t="shared" si="7"/>
        <v>30031.51</v>
      </c>
      <c r="R35" s="78">
        <f t="shared" si="0"/>
        <v>4.6000000000000005</v>
      </c>
      <c r="S35" s="77">
        <f t="shared" si="1"/>
        <v>138144.946</v>
      </c>
      <c r="T35" s="74">
        <f t="shared" si="8"/>
        <v>7442</v>
      </c>
      <c r="U35" s="76">
        <f t="shared" si="9"/>
        <v>7442</v>
      </c>
      <c r="V35" s="79">
        <f t="shared" si="10"/>
        <v>4.59</v>
      </c>
      <c r="W35" s="80">
        <f t="shared" si="11"/>
        <v>34158.78</v>
      </c>
      <c r="X35" s="16" t="str">
        <f t="shared" si="12"/>
        <v>0</v>
      </c>
      <c r="Y35" s="77">
        <f t="shared" si="36"/>
        <v>5</v>
      </c>
      <c r="Z35" s="77">
        <f t="shared" si="13"/>
        <v>0</v>
      </c>
      <c r="AA35" s="81">
        <f t="shared" si="14"/>
        <v>7442</v>
      </c>
      <c r="AB35" s="77">
        <f t="shared" si="15"/>
        <v>34158.78</v>
      </c>
      <c r="AC35" s="80">
        <f t="shared" si="49"/>
        <v>-34158.78</v>
      </c>
      <c r="AD35" s="82">
        <f t="shared" si="37"/>
        <v>7020.9891999999991</v>
      </c>
      <c r="AE35" s="83">
        <v>5.03</v>
      </c>
      <c r="AF35" s="77">
        <f t="shared" si="48"/>
        <v>35315.575676</v>
      </c>
      <c r="AG35" s="84">
        <f t="shared" si="50"/>
        <v>22400</v>
      </c>
      <c r="AH35" s="79">
        <f t="shared" si="17"/>
        <v>4.58</v>
      </c>
      <c r="AI35" s="85">
        <f t="shared" si="18"/>
        <v>102592</v>
      </c>
      <c r="AJ35" s="84">
        <f t="shared" si="19"/>
        <v>0</v>
      </c>
      <c r="AK35" s="79">
        <f t="shared" si="20"/>
        <v>4.6025</v>
      </c>
      <c r="AL35" s="77">
        <f t="shared" si="21"/>
        <v>0</v>
      </c>
      <c r="AM35" s="84">
        <f t="shared" si="22"/>
        <v>0</v>
      </c>
      <c r="AN35" s="79">
        <f t="shared" si="23"/>
        <v>4.5575000000000001</v>
      </c>
      <c r="AO35" s="77">
        <f t="shared" si="24"/>
        <v>0</v>
      </c>
      <c r="AP35" s="84">
        <f t="shared" si="2"/>
        <v>29842</v>
      </c>
      <c r="AQ35" s="78">
        <f t="shared" si="3"/>
        <v>4.5824938006836007</v>
      </c>
      <c r="AR35" s="77">
        <f t="shared" si="4"/>
        <v>136750.78</v>
      </c>
      <c r="AS35" s="86">
        <v>152</v>
      </c>
      <c r="AT35" s="77">
        <f t="shared" si="25"/>
        <v>4.58</v>
      </c>
      <c r="AU35" s="77">
        <f t="shared" si="26"/>
        <v>696.16</v>
      </c>
      <c r="AV35" s="87">
        <f t="shared" si="5"/>
        <v>138144.946</v>
      </c>
      <c r="AW35" s="88">
        <f t="shared" si="27"/>
        <v>30031.51</v>
      </c>
      <c r="AX35" s="85">
        <f t="shared" si="28"/>
        <v>136750.78</v>
      </c>
      <c r="AY35" s="88">
        <f t="shared" si="29"/>
        <v>29842</v>
      </c>
      <c r="AZ35" s="85">
        <f t="shared" si="30"/>
        <v>34158.78</v>
      </c>
      <c r="BA35" s="89">
        <f t="shared" si="31"/>
        <v>7442</v>
      </c>
      <c r="BB35" s="85">
        <f t="shared" si="32"/>
        <v>35315.575676</v>
      </c>
      <c r="BC35" s="88">
        <f t="shared" si="33"/>
        <v>7020.9891999999991</v>
      </c>
      <c r="BD35" s="85">
        <f t="shared" si="34"/>
        <v>696.16</v>
      </c>
      <c r="BE35" s="85">
        <f t="shared" si="38"/>
        <v>-2090.3259999999973</v>
      </c>
      <c r="BF35" s="77">
        <f t="shared" si="39"/>
        <v>-933.53032399998858</v>
      </c>
    </row>
    <row r="36" spans="1:58" x14ac:dyDescent="0.2">
      <c r="A36" s="16">
        <f t="shared" si="35"/>
        <v>27</v>
      </c>
      <c r="B36" s="71">
        <v>30029.200000000001</v>
      </c>
      <c r="C36" s="71">
        <v>7699</v>
      </c>
      <c r="D36" s="71">
        <v>22400</v>
      </c>
      <c r="E36" s="71">
        <v>0</v>
      </c>
      <c r="F36" s="71">
        <v>0</v>
      </c>
      <c r="G36" s="72">
        <f t="shared" si="6"/>
        <v>30099</v>
      </c>
      <c r="H36" s="72">
        <f t="shared" si="40"/>
        <v>69.799999999999272</v>
      </c>
      <c r="I36" s="73">
        <f t="shared" si="41"/>
        <v>4.6399999999999997</v>
      </c>
      <c r="J36" s="38">
        <v>5.2649999999999997</v>
      </c>
      <c r="K36" s="74">
        <f t="shared" si="42"/>
        <v>30029.200000000001</v>
      </c>
      <c r="L36" s="73">
        <f t="shared" si="43"/>
        <v>4.5999999999999996</v>
      </c>
      <c r="M36" s="75">
        <f t="shared" si="44"/>
        <v>138134.32</v>
      </c>
      <c r="N36" s="76">
        <f t="shared" si="45"/>
        <v>0</v>
      </c>
      <c r="O36" s="73">
        <f t="shared" si="46"/>
        <v>5.2450000000000001</v>
      </c>
      <c r="P36" s="77">
        <f t="shared" si="47"/>
        <v>0</v>
      </c>
      <c r="Q36" s="76">
        <f t="shared" si="7"/>
        <v>30029.200000000001</v>
      </c>
      <c r="R36" s="78">
        <f t="shared" si="0"/>
        <v>4.6000000000000005</v>
      </c>
      <c r="S36" s="77">
        <f t="shared" si="1"/>
        <v>138134.32</v>
      </c>
      <c r="T36" s="74">
        <f t="shared" si="8"/>
        <v>7699</v>
      </c>
      <c r="U36" s="76">
        <f t="shared" si="9"/>
        <v>7699</v>
      </c>
      <c r="V36" s="79">
        <f t="shared" si="10"/>
        <v>4.59</v>
      </c>
      <c r="W36" s="80">
        <f t="shared" si="11"/>
        <v>35338.409999999996</v>
      </c>
      <c r="X36" s="16" t="str">
        <f t="shared" si="12"/>
        <v>0</v>
      </c>
      <c r="Y36" s="77">
        <f t="shared" si="36"/>
        <v>5.165</v>
      </c>
      <c r="Z36" s="77">
        <f t="shared" si="13"/>
        <v>0</v>
      </c>
      <c r="AA36" s="81">
        <f t="shared" si="14"/>
        <v>7699</v>
      </c>
      <c r="AB36" s="77">
        <f t="shared" si="15"/>
        <v>35338.409999999996</v>
      </c>
      <c r="AC36" s="80">
        <f t="shared" si="49"/>
        <v>-35338.409999999996</v>
      </c>
      <c r="AD36" s="82">
        <f t="shared" si="37"/>
        <v>7018.8640000000014</v>
      </c>
      <c r="AE36" s="83">
        <v>5.19</v>
      </c>
      <c r="AF36" s="77">
        <f t="shared" si="48"/>
        <v>36427.904160000013</v>
      </c>
      <c r="AG36" s="84">
        <f t="shared" si="50"/>
        <v>22400</v>
      </c>
      <c r="AH36" s="79">
        <f t="shared" si="17"/>
        <v>4.58</v>
      </c>
      <c r="AI36" s="85">
        <f t="shared" si="18"/>
        <v>102592</v>
      </c>
      <c r="AJ36" s="84">
        <f t="shared" si="19"/>
        <v>0</v>
      </c>
      <c r="AK36" s="79">
        <f t="shared" si="20"/>
        <v>4.6025</v>
      </c>
      <c r="AL36" s="77">
        <f t="shared" si="21"/>
        <v>0</v>
      </c>
      <c r="AM36" s="84">
        <f t="shared" si="22"/>
        <v>0</v>
      </c>
      <c r="AN36" s="79">
        <f t="shared" si="23"/>
        <v>4.5575000000000001</v>
      </c>
      <c r="AO36" s="77">
        <f t="shared" si="24"/>
        <v>0</v>
      </c>
      <c r="AP36" s="84">
        <f t="shared" si="2"/>
        <v>30099</v>
      </c>
      <c r="AQ36" s="78">
        <f t="shared" si="3"/>
        <v>4.5825578922887802</v>
      </c>
      <c r="AR36" s="77">
        <f t="shared" si="4"/>
        <v>137930.41</v>
      </c>
      <c r="AS36" s="86">
        <v>151</v>
      </c>
      <c r="AT36" s="77">
        <f t="shared" si="25"/>
        <v>4.58</v>
      </c>
      <c r="AU36" s="77">
        <f t="shared" si="26"/>
        <v>691.58</v>
      </c>
      <c r="AV36" s="87">
        <f t="shared" si="5"/>
        <v>138134.32</v>
      </c>
      <c r="AW36" s="88">
        <f t="shared" si="27"/>
        <v>30029.200000000001</v>
      </c>
      <c r="AX36" s="85">
        <f t="shared" si="28"/>
        <v>137930.41</v>
      </c>
      <c r="AY36" s="88">
        <f t="shared" si="29"/>
        <v>30099</v>
      </c>
      <c r="AZ36" s="85">
        <f t="shared" si="30"/>
        <v>35338.409999999996</v>
      </c>
      <c r="BA36" s="89">
        <f t="shared" si="31"/>
        <v>7699</v>
      </c>
      <c r="BB36" s="85">
        <f t="shared" si="32"/>
        <v>36427.904160000013</v>
      </c>
      <c r="BC36" s="88">
        <f t="shared" si="33"/>
        <v>7018.8640000000014</v>
      </c>
      <c r="BD36" s="85">
        <f t="shared" si="34"/>
        <v>691.58</v>
      </c>
      <c r="BE36" s="85">
        <f t="shared" si="38"/>
        <v>-895.49000000000353</v>
      </c>
      <c r="BF36" s="77">
        <f t="shared" si="39"/>
        <v>194.00416000000575</v>
      </c>
    </row>
    <row r="37" spans="1:58" x14ac:dyDescent="0.2">
      <c r="A37" s="16">
        <f t="shared" si="35"/>
        <v>28</v>
      </c>
      <c r="B37" s="71">
        <v>1216.47</v>
      </c>
      <c r="C37" s="71">
        <v>8245</v>
      </c>
      <c r="D37" s="71">
        <v>0</v>
      </c>
      <c r="E37" s="71">
        <v>0</v>
      </c>
      <c r="F37" s="71">
        <v>0</v>
      </c>
      <c r="G37" s="72">
        <f t="shared" si="6"/>
        <v>8245</v>
      </c>
      <c r="H37" s="72">
        <f t="shared" si="40"/>
        <v>7028.53</v>
      </c>
      <c r="I37" s="73">
        <f t="shared" si="41"/>
        <v>4.6399999999999997</v>
      </c>
      <c r="J37" s="38">
        <v>5.3150000000000004</v>
      </c>
      <c r="K37" s="74">
        <f t="shared" si="42"/>
        <v>1216.47</v>
      </c>
      <c r="L37" s="73">
        <f t="shared" si="43"/>
        <v>4.5999999999999996</v>
      </c>
      <c r="M37" s="75">
        <f t="shared" si="44"/>
        <v>5595.7619999999997</v>
      </c>
      <c r="N37" s="76">
        <f t="shared" si="45"/>
        <v>0</v>
      </c>
      <c r="O37" s="73">
        <f t="shared" si="46"/>
        <v>5.2950000000000008</v>
      </c>
      <c r="P37" s="77">
        <f t="shared" si="47"/>
        <v>0</v>
      </c>
      <c r="Q37" s="76">
        <f t="shared" si="7"/>
        <v>1216.47</v>
      </c>
      <c r="R37" s="78">
        <f t="shared" si="0"/>
        <v>4.5999999999999996</v>
      </c>
      <c r="S37" s="77">
        <f t="shared" si="1"/>
        <v>5595.7619999999997</v>
      </c>
      <c r="T37" s="74">
        <f t="shared" si="8"/>
        <v>8245</v>
      </c>
      <c r="U37" s="76">
        <f t="shared" si="9"/>
        <v>8245</v>
      </c>
      <c r="V37" s="79">
        <f t="shared" si="10"/>
        <v>4.59</v>
      </c>
      <c r="W37" s="80">
        <f t="shared" si="11"/>
        <v>37844.549999999996</v>
      </c>
      <c r="X37" s="16" t="str">
        <f t="shared" si="12"/>
        <v>0</v>
      </c>
      <c r="Y37" s="77">
        <f t="shared" si="36"/>
        <v>5.2150000000000007</v>
      </c>
      <c r="Z37" s="77">
        <f t="shared" si="13"/>
        <v>0</v>
      </c>
      <c r="AA37" s="81">
        <f t="shared" si="14"/>
        <v>8245</v>
      </c>
      <c r="AB37" s="77">
        <f t="shared" si="15"/>
        <v>37844.549999999996</v>
      </c>
      <c r="AC37" s="80">
        <f t="shared" si="49"/>
        <v>-37844.549999999996</v>
      </c>
      <c r="AD37" s="82">
        <f t="shared" si="37"/>
        <v>1119.1524000000002</v>
      </c>
      <c r="AE37" s="83">
        <v>5.2450000000000001</v>
      </c>
      <c r="AF37" s="77">
        <f t="shared" si="48"/>
        <v>5869.9543380000014</v>
      </c>
      <c r="AG37" s="84">
        <f t="shared" si="50"/>
        <v>0</v>
      </c>
      <c r="AH37" s="79">
        <f t="shared" si="17"/>
        <v>4.58</v>
      </c>
      <c r="AI37" s="85">
        <f t="shared" si="18"/>
        <v>0</v>
      </c>
      <c r="AJ37" s="84">
        <f t="shared" si="19"/>
        <v>0</v>
      </c>
      <c r="AK37" s="79">
        <f t="shared" si="20"/>
        <v>4.6025</v>
      </c>
      <c r="AL37" s="77">
        <f t="shared" si="21"/>
        <v>0</v>
      </c>
      <c r="AM37" s="84">
        <f t="shared" si="22"/>
        <v>0</v>
      </c>
      <c r="AN37" s="79">
        <f t="shared" si="23"/>
        <v>4.5575000000000001</v>
      </c>
      <c r="AO37" s="77">
        <f t="shared" si="24"/>
        <v>0</v>
      </c>
      <c r="AP37" s="84">
        <f t="shared" si="2"/>
        <v>8245</v>
      </c>
      <c r="AQ37" s="78">
        <f t="shared" si="3"/>
        <v>4.59</v>
      </c>
      <c r="AR37" s="77">
        <f t="shared" si="4"/>
        <v>37844.549999999996</v>
      </c>
      <c r="AS37" s="86">
        <v>0</v>
      </c>
      <c r="AT37" s="77">
        <f t="shared" si="25"/>
        <v>4.58</v>
      </c>
      <c r="AU37" s="77">
        <f t="shared" si="26"/>
        <v>0</v>
      </c>
      <c r="AV37" s="87">
        <f t="shared" si="5"/>
        <v>5595.7619999999997</v>
      </c>
      <c r="AW37" s="88">
        <f t="shared" si="27"/>
        <v>1216.47</v>
      </c>
      <c r="AX37" s="85">
        <f t="shared" si="28"/>
        <v>37844.549999999996</v>
      </c>
      <c r="AY37" s="88">
        <f t="shared" si="29"/>
        <v>8245</v>
      </c>
      <c r="AZ37" s="85">
        <f t="shared" si="30"/>
        <v>37844.549999999996</v>
      </c>
      <c r="BA37" s="89">
        <f t="shared" si="31"/>
        <v>8245</v>
      </c>
      <c r="BB37" s="85">
        <f t="shared" si="32"/>
        <v>5869.9543380000014</v>
      </c>
      <c r="BC37" s="88">
        <f t="shared" si="33"/>
        <v>1119.1524000000002</v>
      </c>
      <c r="BD37" s="85">
        <f t="shared" si="34"/>
        <v>0</v>
      </c>
      <c r="BE37" s="85">
        <f t="shared" si="38"/>
        <v>32248.787999999997</v>
      </c>
      <c r="BF37" s="77">
        <f t="shared" si="39"/>
        <v>274.19233800000075</v>
      </c>
    </row>
    <row r="38" spans="1:58" x14ac:dyDescent="0.2">
      <c r="A38" s="41">
        <f>A37 + 1</f>
        <v>29</v>
      </c>
      <c r="B38" s="71">
        <v>0</v>
      </c>
      <c r="C38" s="71">
        <v>8385</v>
      </c>
      <c r="D38" s="71">
        <v>0</v>
      </c>
      <c r="E38" s="71">
        <v>0</v>
      </c>
      <c r="F38" s="71">
        <v>0</v>
      </c>
      <c r="G38" s="72">
        <f t="shared" si="6"/>
        <v>8385</v>
      </c>
      <c r="H38" s="72">
        <f t="shared" si="40"/>
        <v>8385</v>
      </c>
      <c r="I38" s="73">
        <f t="shared" si="41"/>
        <v>4.6399999999999997</v>
      </c>
      <c r="J38" s="38">
        <v>5.17</v>
      </c>
      <c r="K38" s="74">
        <f t="shared" si="42"/>
        <v>0</v>
      </c>
      <c r="L38" s="73">
        <f t="shared" si="43"/>
        <v>4.5999999999999996</v>
      </c>
      <c r="M38" s="75">
        <f t="shared" si="44"/>
        <v>0</v>
      </c>
      <c r="N38" s="76">
        <f t="shared" si="45"/>
        <v>0</v>
      </c>
      <c r="O38" s="73">
        <f t="shared" si="46"/>
        <v>5.15</v>
      </c>
      <c r="P38" s="77">
        <f t="shared" si="47"/>
        <v>0</v>
      </c>
      <c r="Q38" s="76">
        <f t="shared" si="7"/>
        <v>0</v>
      </c>
      <c r="R38" s="78">
        <f t="shared" si="0"/>
        <v>0</v>
      </c>
      <c r="S38" s="77">
        <f t="shared" si="1"/>
        <v>0</v>
      </c>
      <c r="T38" s="74">
        <f t="shared" si="8"/>
        <v>8385</v>
      </c>
      <c r="U38" s="76" t="str">
        <f t="shared" si="9"/>
        <v>0</v>
      </c>
      <c r="V38" s="79">
        <f t="shared" si="10"/>
        <v>4.59</v>
      </c>
      <c r="W38" s="80" t="str">
        <f t="shared" si="11"/>
        <v>0</v>
      </c>
      <c r="X38" s="16">
        <f t="shared" si="12"/>
        <v>8385</v>
      </c>
      <c r="Y38" s="77">
        <f t="shared" si="36"/>
        <v>5.07</v>
      </c>
      <c r="Z38" s="77">
        <f t="shared" si="13"/>
        <v>42511.950000000004</v>
      </c>
      <c r="AA38" s="81">
        <f t="shared" si="14"/>
        <v>8385</v>
      </c>
      <c r="AB38" s="77">
        <f t="shared" si="15"/>
        <v>38487.15</v>
      </c>
      <c r="AC38" s="80">
        <f t="shared" si="49"/>
        <v>4024.8000000000029</v>
      </c>
      <c r="AD38" s="82">
        <f t="shared" si="37"/>
        <v>0</v>
      </c>
      <c r="AE38" s="83">
        <v>5.0949999999999998</v>
      </c>
      <c r="AF38" s="77">
        <f t="shared" si="48"/>
        <v>0</v>
      </c>
      <c r="AG38" s="84">
        <f t="shared" si="50"/>
        <v>0</v>
      </c>
      <c r="AH38" s="79">
        <f t="shared" si="17"/>
        <v>4.58</v>
      </c>
      <c r="AI38" s="85">
        <f t="shared" si="18"/>
        <v>0</v>
      </c>
      <c r="AJ38" s="84">
        <f t="shared" si="19"/>
        <v>0</v>
      </c>
      <c r="AK38" s="79">
        <f t="shared" si="20"/>
        <v>4.6025</v>
      </c>
      <c r="AL38" s="77">
        <f t="shared" si="21"/>
        <v>0</v>
      </c>
      <c r="AM38" s="84">
        <f t="shared" si="22"/>
        <v>0</v>
      </c>
      <c r="AN38" s="79">
        <f t="shared" si="23"/>
        <v>4.5575000000000001</v>
      </c>
      <c r="AO38" s="77">
        <f t="shared" si="24"/>
        <v>0</v>
      </c>
      <c r="AP38" s="84">
        <f t="shared" si="2"/>
        <v>8385</v>
      </c>
      <c r="AQ38" s="78">
        <f t="shared" si="3"/>
        <v>5.07</v>
      </c>
      <c r="AR38" s="77">
        <f t="shared" si="4"/>
        <v>42511.950000000004</v>
      </c>
      <c r="AS38" s="86">
        <v>0</v>
      </c>
      <c r="AT38" s="77">
        <f t="shared" si="25"/>
        <v>4.58</v>
      </c>
      <c r="AU38" s="77">
        <f t="shared" si="26"/>
        <v>0</v>
      </c>
      <c r="AV38" s="87">
        <f t="shared" si="5"/>
        <v>0</v>
      </c>
      <c r="AW38" s="88">
        <f t="shared" si="27"/>
        <v>0</v>
      </c>
      <c r="AX38" s="85">
        <f t="shared" si="28"/>
        <v>42511.950000000004</v>
      </c>
      <c r="AY38" s="88">
        <f t="shared" si="29"/>
        <v>8385</v>
      </c>
      <c r="AZ38" s="85">
        <f t="shared" si="30"/>
        <v>38487.15</v>
      </c>
      <c r="BA38" s="89">
        <f t="shared" si="31"/>
        <v>8385</v>
      </c>
      <c r="BB38" s="85">
        <f t="shared" si="32"/>
        <v>0</v>
      </c>
      <c r="BC38" s="88">
        <f t="shared" si="33"/>
        <v>0</v>
      </c>
      <c r="BD38" s="85">
        <f t="shared" si="34"/>
        <v>0</v>
      </c>
      <c r="BE38" s="85">
        <f t="shared" si="38"/>
        <v>42511.950000000004</v>
      </c>
      <c r="BF38" s="77">
        <f t="shared" si="39"/>
        <v>4024.8000000000029</v>
      </c>
    </row>
    <row r="39" spans="1:58" x14ac:dyDescent="0.2">
      <c r="A39" s="41">
        <v>30</v>
      </c>
      <c r="B39" s="71">
        <v>0</v>
      </c>
      <c r="C39" s="71">
        <v>8472</v>
      </c>
      <c r="D39" s="71">
        <v>0</v>
      </c>
      <c r="E39" s="71">
        <v>0</v>
      </c>
      <c r="F39" s="71">
        <v>0</v>
      </c>
      <c r="G39" s="72">
        <f t="shared" si="6"/>
        <v>8472</v>
      </c>
      <c r="H39" s="72">
        <f>G39-B39</f>
        <v>8472</v>
      </c>
      <c r="I39" s="73">
        <f t="shared" si="41"/>
        <v>4.6399999999999997</v>
      </c>
      <c r="J39" s="38">
        <v>5.1050000000000004</v>
      </c>
      <c r="K39" s="74">
        <f>IF(G39*1.03&gt;B39,B39,G39*1.03)</f>
        <v>0</v>
      </c>
      <c r="L39" s="73">
        <f>+I39-0.04</f>
        <v>4.5999999999999996</v>
      </c>
      <c r="M39" s="75">
        <f>+K39*L39</f>
        <v>0</v>
      </c>
      <c r="N39" s="76">
        <f>+B39-K39</f>
        <v>0</v>
      </c>
      <c r="O39" s="73">
        <f>+J39-0.02</f>
        <v>5.0850000000000009</v>
      </c>
      <c r="P39" s="77">
        <f>+N39*O39</f>
        <v>0</v>
      </c>
      <c r="Q39" s="76">
        <f>+K39+N39</f>
        <v>0</v>
      </c>
      <c r="R39" s="78">
        <f>IF(ISERR(S39/Q39),0,S39/Q39)</f>
        <v>0</v>
      </c>
      <c r="S39" s="77">
        <f>+M39+P39</f>
        <v>0</v>
      </c>
      <c r="T39" s="74">
        <f>+C39</f>
        <v>8472</v>
      </c>
      <c r="U39" s="76" t="str">
        <f t="shared" si="9"/>
        <v>0</v>
      </c>
      <c r="V39" s="79">
        <f>+I39-0.05</f>
        <v>4.59</v>
      </c>
      <c r="W39" s="80" t="str">
        <f t="shared" si="11"/>
        <v>0</v>
      </c>
      <c r="X39" s="16">
        <f t="shared" si="12"/>
        <v>8472</v>
      </c>
      <c r="Y39" s="77">
        <f t="shared" si="36"/>
        <v>5.0050000000000008</v>
      </c>
      <c r="Z39" s="77">
        <f t="shared" si="13"/>
        <v>42402.360000000008</v>
      </c>
      <c r="AA39" s="81">
        <f t="shared" si="14"/>
        <v>8472</v>
      </c>
      <c r="AB39" s="77">
        <f t="shared" si="15"/>
        <v>38886.479999999996</v>
      </c>
      <c r="AC39" s="80">
        <f t="shared" si="49"/>
        <v>3515.8800000000119</v>
      </c>
      <c r="AD39" s="82">
        <f t="shared" si="37"/>
        <v>0</v>
      </c>
      <c r="AE39" s="83">
        <v>4.99</v>
      </c>
      <c r="AF39" s="77">
        <f t="shared" si="48"/>
        <v>0</v>
      </c>
      <c r="AG39" s="84">
        <f t="shared" si="50"/>
        <v>0</v>
      </c>
      <c r="AH39" s="79">
        <f>+I39-0.06</f>
        <v>4.58</v>
      </c>
      <c r="AI39" s="85">
        <f>+AG39*AH39</f>
        <v>0</v>
      </c>
      <c r="AJ39" s="84">
        <f t="shared" si="19"/>
        <v>0</v>
      </c>
      <c r="AK39" s="79">
        <f t="shared" si="20"/>
        <v>4.6025</v>
      </c>
      <c r="AL39" s="77">
        <f t="shared" si="21"/>
        <v>0</v>
      </c>
      <c r="AM39" s="84">
        <f t="shared" si="22"/>
        <v>0</v>
      </c>
      <c r="AN39" s="79">
        <f t="shared" si="23"/>
        <v>4.5575000000000001</v>
      </c>
      <c r="AO39" s="77">
        <f t="shared" si="24"/>
        <v>0</v>
      </c>
      <c r="AP39" s="84">
        <f t="shared" si="2"/>
        <v>8472</v>
      </c>
      <c r="AQ39" s="78">
        <f>IF(ISERR(AR39/AP39),0,AR39/AP39)</f>
        <v>5.0050000000000008</v>
      </c>
      <c r="AR39" s="77">
        <f t="shared" si="4"/>
        <v>42402.360000000008</v>
      </c>
      <c r="AS39" s="86">
        <v>0</v>
      </c>
      <c r="AT39" s="77">
        <f t="shared" si="25"/>
        <v>4.58</v>
      </c>
      <c r="AU39" s="77">
        <f t="shared" si="26"/>
        <v>0</v>
      </c>
      <c r="AV39" s="87">
        <f>S39</f>
        <v>0</v>
      </c>
      <c r="AW39" s="88">
        <f t="shared" si="27"/>
        <v>0</v>
      </c>
      <c r="AX39" s="85">
        <f t="shared" si="28"/>
        <v>42402.360000000008</v>
      </c>
      <c r="AY39" s="88">
        <f t="shared" si="29"/>
        <v>8472</v>
      </c>
      <c r="AZ39" s="85">
        <f t="shared" si="30"/>
        <v>38886.479999999996</v>
      </c>
      <c r="BA39" s="89">
        <f t="shared" si="31"/>
        <v>8472</v>
      </c>
      <c r="BB39" s="85">
        <f t="shared" si="32"/>
        <v>0</v>
      </c>
      <c r="BC39" s="88">
        <f t="shared" si="33"/>
        <v>0</v>
      </c>
      <c r="BD39" s="85">
        <f t="shared" si="34"/>
        <v>0</v>
      </c>
      <c r="BE39" s="85">
        <f t="shared" si="38"/>
        <v>42402.360000000008</v>
      </c>
      <c r="BF39" s="77">
        <f t="shared" si="39"/>
        <v>3515.8800000000119</v>
      </c>
    </row>
    <row r="40" spans="1:58" x14ac:dyDescent="0.2">
      <c r="A40" s="41">
        <v>31</v>
      </c>
      <c r="B40" s="71">
        <v>0</v>
      </c>
      <c r="C40" s="71">
        <v>0</v>
      </c>
      <c r="D40" s="71">
        <v>0</v>
      </c>
      <c r="E40" s="71">
        <v>0</v>
      </c>
      <c r="F40" s="71">
        <v>0</v>
      </c>
      <c r="G40" s="72">
        <f t="shared" si="6"/>
        <v>0</v>
      </c>
      <c r="H40" s="72">
        <f>G40-B40</f>
        <v>0</v>
      </c>
      <c r="I40" s="73">
        <f t="shared" si="41"/>
        <v>4.6399999999999997</v>
      </c>
      <c r="J40" s="38">
        <v>0</v>
      </c>
      <c r="K40" s="74">
        <f>IF(G40*1.03&gt;B40,B40,G40*1.03)</f>
        <v>0</v>
      </c>
      <c r="L40" s="73">
        <f>+I40-0.04</f>
        <v>4.5999999999999996</v>
      </c>
      <c r="M40" s="75">
        <f>+K40*L40</f>
        <v>0</v>
      </c>
      <c r="N40" s="76">
        <f>+B40-K40</f>
        <v>0</v>
      </c>
      <c r="O40" s="73">
        <f>+J40-0.02</f>
        <v>-0.02</v>
      </c>
      <c r="P40" s="77">
        <f>+N40*O40</f>
        <v>0</v>
      </c>
      <c r="Q40" s="76">
        <f>+K40+N40</f>
        <v>0</v>
      </c>
      <c r="R40" s="78">
        <f>IF(ISERR(S40/Q40),0,S40/Q40)</f>
        <v>0</v>
      </c>
      <c r="S40" s="77">
        <f>+M40+P40</f>
        <v>0</v>
      </c>
      <c r="T40" s="74">
        <f>+C40</f>
        <v>0</v>
      </c>
      <c r="U40" s="76" t="str">
        <f t="shared" si="9"/>
        <v>0</v>
      </c>
      <c r="V40" s="79">
        <f>+I40-0.05</f>
        <v>4.59</v>
      </c>
      <c r="W40" s="80" t="str">
        <f t="shared" si="11"/>
        <v>0</v>
      </c>
      <c r="X40" s="16">
        <f t="shared" si="12"/>
        <v>0</v>
      </c>
      <c r="Y40" s="77">
        <f t="shared" si="36"/>
        <v>-0.1</v>
      </c>
      <c r="Z40" s="77">
        <f t="shared" si="13"/>
        <v>0</v>
      </c>
      <c r="AA40" s="81">
        <f t="shared" si="14"/>
        <v>0</v>
      </c>
      <c r="AB40" s="77">
        <f t="shared" si="15"/>
        <v>0</v>
      </c>
      <c r="AC40" s="80">
        <f t="shared" si="49"/>
        <v>0</v>
      </c>
      <c r="AD40" s="82">
        <f t="shared" si="37"/>
        <v>0</v>
      </c>
      <c r="AE40" s="83">
        <v>0</v>
      </c>
      <c r="AF40" s="77">
        <f t="shared" si="48"/>
        <v>0</v>
      </c>
      <c r="AG40" s="92">
        <f t="shared" si="50"/>
        <v>0</v>
      </c>
      <c r="AH40" s="79">
        <f>+I40-0.06</f>
        <v>4.58</v>
      </c>
      <c r="AI40" s="85">
        <f>+AG40*AH40</f>
        <v>0</v>
      </c>
      <c r="AJ40" s="84">
        <f t="shared" si="19"/>
        <v>0</v>
      </c>
      <c r="AK40" s="79">
        <f t="shared" si="20"/>
        <v>4.6025</v>
      </c>
      <c r="AL40" s="77">
        <f t="shared" si="21"/>
        <v>0</v>
      </c>
      <c r="AM40" s="84">
        <f t="shared" si="22"/>
        <v>0</v>
      </c>
      <c r="AN40" s="79">
        <f t="shared" si="23"/>
        <v>4.5575000000000001</v>
      </c>
      <c r="AO40" s="77">
        <f t="shared" si="24"/>
        <v>0</v>
      </c>
      <c r="AP40" s="84">
        <f t="shared" si="2"/>
        <v>0</v>
      </c>
      <c r="AQ40" s="78">
        <f>IF(ISERR(AR40/AP40),0,AR40/AP40)</f>
        <v>0</v>
      </c>
      <c r="AR40" s="77">
        <f t="shared" si="4"/>
        <v>0</v>
      </c>
      <c r="AS40" s="86">
        <v>0</v>
      </c>
      <c r="AT40" s="77">
        <f t="shared" si="25"/>
        <v>4.58</v>
      </c>
      <c r="AU40" s="77">
        <f t="shared" si="26"/>
        <v>0</v>
      </c>
      <c r="AV40" s="87">
        <f>S40</f>
        <v>0</v>
      </c>
      <c r="AW40" s="88"/>
      <c r="AX40" s="85">
        <f t="shared" si="28"/>
        <v>0</v>
      </c>
      <c r="AY40" s="88">
        <f t="shared" si="29"/>
        <v>0</v>
      </c>
      <c r="AZ40" s="85">
        <f t="shared" si="30"/>
        <v>0</v>
      </c>
      <c r="BA40" s="89">
        <f t="shared" si="31"/>
        <v>0</v>
      </c>
      <c r="BB40" s="85">
        <f t="shared" si="32"/>
        <v>0</v>
      </c>
      <c r="BC40" s="88">
        <f t="shared" si="33"/>
        <v>0</v>
      </c>
      <c r="BD40" s="93">
        <f t="shared" si="34"/>
        <v>0</v>
      </c>
      <c r="BE40" s="85">
        <f t="shared" si="38"/>
        <v>0</v>
      </c>
      <c r="BF40" s="77">
        <f t="shared" si="39"/>
        <v>0</v>
      </c>
    </row>
    <row r="41" spans="1:58" x14ac:dyDescent="0.2">
      <c r="A41" s="8"/>
      <c r="B41" s="94">
        <f t="shared" ref="B41:H41" si="51">SUM(B10:B40)</f>
        <v>569378.03999999992</v>
      </c>
      <c r="C41" s="94">
        <f t="shared" si="51"/>
        <v>237961</v>
      </c>
      <c r="D41" s="94">
        <f t="shared" si="51"/>
        <v>344600</v>
      </c>
      <c r="E41" s="94">
        <f t="shared" si="51"/>
        <v>10545</v>
      </c>
      <c r="F41" s="94">
        <f>SUM(F10:F40)</f>
        <v>58455</v>
      </c>
      <c r="G41" s="94">
        <f t="shared" si="51"/>
        <v>651561</v>
      </c>
      <c r="H41" s="94">
        <f t="shared" si="51"/>
        <v>82182.960000000006</v>
      </c>
      <c r="I41" s="95"/>
      <c r="J41" s="96"/>
      <c r="K41" s="97">
        <f>SUM(K10:K40)</f>
        <v>566154.18999999994</v>
      </c>
      <c r="L41" s="98">
        <f>IF(ISERR(M41/K41),0,M41/K41)</f>
        <v>4.5999999999999996</v>
      </c>
      <c r="M41" s="99">
        <f>SUM(M10:M40)</f>
        <v>2604309.2739999997</v>
      </c>
      <c r="N41" s="94">
        <f>SUM(N10:N40)</f>
        <v>3223.8499999999913</v>
      </c>
      <c r="O41" s="98">
        <f>IF(ISERR(P41/N41),0,P41/N41)</f>
        <v>4.9255163546691074</v>
      </c>
      <c r="P41" s="99">
        <f>SUM(P10:P40)</f>
        <v>15879.125899999959</v>
      </c>
      <c r="Q41" s="94">
        <f>SUM(Q10:Q40)</f>
        <v>569378.03999999992</v>
      </c>
      <c r="R41" s="98">
        <f>IF(ISERR(S41/Q41),0,S41/Q41)</f>
        <v>4.6018430916302995</v>
      </c>
      <c r="S41" s="99">
        <f>SUM(S10:S40)</f>
        <v>2620188.3999000001</v>
      </c>
      <c r="T41" s="97">
        <f>SUM(T10:T40)</f>
        <v>237961</v>
      </c>
      <c r="U41" s="94">
        <f>SUM(U9:U40)</f>
        <v>175315</v>
      </c>
      <c r="V41" s="100">
        <f>IF(ISERR(X44/T41),0,X44/T41)</f>
        <v>0</v>
      </c>
      <c r="W41" s="101">
        <f>SUM(W10:W40)</f>
        <v>804695.85000000021</v>
      </c>
      <c r="X41" s="95">
        <f>SUM(X10:X40)</f>
        <v>62646</v>
      </c>
      <c r="Y41" s="99"/>
      <c r="Z41" s="101">
        <f>SUM(Z10:Z40)</f>
        <v>318310.7</v>
      </c>
      <c r="AA41" s="102">
        <f>SUM(AA10:AA40)</f>
        <v>237961</v>
      </c>
      <c r="AB41" s="101">
        <f>SUM(AB10:AB40)</f>
        <v>1092240.9900000002</v>
      </c>
      <c r="AC41" s="103">
        <f>SUM(AC10:AC40)</f>
        <v>-513310.09</v>
      </c>
      <c r="AD41" s="104">
        <f>SUM(AD10:AD40)</f>
        <v>153017.19680000001</v>
      </c>
      <c r="AE41" s="105"/>
      <c r="AF41" s="101">
        <f>SUM(AF10:AF40)</f>
        <v>742696.84422000009</v>
      </c>
      <c r="AG41" s="94">
        <f>SUM(AG10:AG40)</f>
        <v>344600</v>
      </c>
      <c r="AH41" s="100">
        <f>IF(ISERR(AI41/AG41),0,AI41/AG41)</f>
        <v>4.58</v>
      </c>
      <c r="AI41" s="99">
        <f>SUM(AI10:AI40)</f>
        <v>1578268</v>
      </c>
      <c r="AJ41" s="106">
        <f>SUM(AJ10:AJ40)</f>
        <v>10545</v>
      </c>
      <c r="AK41" s="100">
        <f>IF(ISERR(AL41/AJ41),0,AL41/AJ41)</f>
        <v>4.8950000000000005</v>
      </c>
      <c r="AL41" s="99">
        <f>SUM(AL10:AL40)</f>
        <v>51617.775000000001</v>
      </c>
      <c r="AM41" s="106">
        <f>SUM(AM10:AM40)</f>
        <v>58455</v>
      </c>
      <c r="AN41" s="107"/>
      <c r="AO41" s="99">
        <f>SUM(AO10:AO40)</f>
        <v>266408.66249999998</v>
      </c>
      <c r="AP41" s="106">
        <f>SUM(AP10:AP40)</f>
        <v>651561</v>
      </c>
      <c r="AQ41" s="98">
        <f>IF(ISERR(AR41/AP41),0,AR41/AP41)</f>
        <v>4.633949833553574</v>
      </c>
      <c r="AR41" s="99">
        <f>SUM(AR10:AR40)</f>
        <v>3019300.9875000003</v>
      </c>
      <c r="AS41" s="97">
        <f>SUM(AS10:AS40)</f>
        <v>1510</v>
      </c>
      <c r="AT41" s="99">
        <f>AU41/AS41</f>
        <v>4.58</v>
      </c>
      <c r="AU41" s="99">
        <f t="shared" ref="AU41:BF41" si="52">SUM(AU10:AU40)</f>
        <v>6915.8</v>
      </c>
      <c r="AV41" s="108">
        <f t="shared" si="52"/>
        <v>2620188.3999000001</v>
      </c>
      <c r="AW41" s="109">
        <f>SUM(AW10:AW40)</f>
        <v>569378.03999999992</v>
      </c>
      <c r="AX41" s="99">
        <f t="shared" si="52"/>
        <v>3019300.9875000003</v>
      </c>
      <c r="AY41" s="109">
        <f>SUM(AY10:AY40)</f>
        <v>651561</v>
      </c>
      <c r="AZ41" s="99">
        <f>SUM(AZ10:AZ40)</f>
        <v>1092240.9900000002</v>
      </c>
      <c r="BA41" s="110">
        <f>SUM(BA10:BA40)</f>
        <v>237961</v>
      </c>
      <c r="BB41" s="99">
        <f t="shared" si="52"/>
        <v>742696.84422000009</v>
      </c>
      <c r="BC41" s="109">
        <f>SUM(BC10:BC40)</f>
        <v>153017.19680000001</v>
      </c>
      <c r="BD41" s="75">
        <f t="shared" si="52"/>
        <v>6915.8</v>
      </c>
      <c r="BE41" s="111">
        <f t="shared" si="52"/>
        <v>392196.78760000027</v>
      </c>
      <c r="BF41" s="111">
        <f t="shared" si="52"/>
        <v>42652.641820000325</v>
      </c>
    </row>
    <row r="42" spans="1:58" x14ac:dyDescent="0.2">
      <c r="B42" s="112"/>
      <c r="C42" s="112"/>
      <c r="D42" s="112"/>
      <c r="E42" s="76"/>
      <c r="F42" s="76"/>
      <c r="G42" s="112"/>
      <c r="I42" s="8"/>
      <c r="J42" s="113"/>
      <c r="K42" s="68"/>
      <c r="Q42" s="114">
        <f>+Q41-B41</f>
        <v>0</v>
      </c>
      <c r="T42" s="114">
        <f>+C41-T41</f>
        <v>0</v>
      </c>
      <c r="U42" s="114"/>
      <c r="AA42" s="115"/>
      <c r="AC42" s="16"/>
      <c r="AD42" s="116"/>
      <c r="AE42" s="116"/>
      <c r="AG42" s="114">
        <f>+D41-AG41</f>
        <v>0</v>
      </c>
      <c r="AJ42" s="114">
        <f>+E41-AJ41</f>
        <v>0</v>
      </c>
      <c r="AM42" s="114">
        <f>+F41-AM41</f>
        <v>0</v>
      </c>
      <c r="AP42" s="114">
        <f>+G41-AP41</f>
        <v>0</v>
      </c>
      <c r="AV42" s="70"/>
      <c r="BA42" s="115"/>
      <c r="BD42" s="117"/>
    </row>
    <row r="43" spans="1:58" x14ac:dyDescent="0.2">
      <c r="X43" s="8"/>
      <c r="Z43" s="8"/>
      <c r="AA43" s="89"/>
      <c r="AB43" s="8"/>
      <c r="AC43" s="41"/>
      <c r="AD43" s="118"/>
      <c r="AE43" s="118"/>
      <c r="AF43" s="8"/>
    </row>
    <row r="44" spans="1:58" x14ac:dyDescent="0.2">
      <c r="W44" s="77">
        <f>804695.85+318310.7</f>
        <v>1123006.55</v>
      </c>
      <c r="X44" s="119"/>
      <c r="Y44" s="120"/>
      <c r="Z44" s="75"/>
      <c r="AA44" s="121"/>
      <c r="AB44" s="75"/>
      <c r="AC44" s="122"/>
      <c r="AD44" s="123"/>
      <c r="AE44" s="123"/>
      <c r="AF44" s="75"/>
    </row>
    <row r="45" spans="1:58" x14ac:dyDescent="0.2">
      <c r="AC45" s="16"/>
      <c r="AM45" s="5">
        <f>1578268+266408.66</f>
        <v>1844676.66</v>
      </c>
    </row>
    <row r="46" spans="1:58" x14ac:dyDescent="0.2">
      <c r="AC46" s="16"/>
    </row>
    <row r="47" spans="1:58" x14ac:dyDescent="0.2">
      <c r="AC47" s="16"/>
    </row>
    <row r="48" spans="1:58" x14ac:dyDescent="0.2">
      <c r="AC48" s="16"/>
    </row>
    <row r="49" spans="29:29" x14ac:dyDescent="0.2">
      <c r="AC49" s="16"/>
    </row>
    <row r="50" spans="29:29" x14ac:dyDescent="0.2">
      <c r="AC50" s="16"/>
    </row>
    <row r="51" spans="29:29" x14ac:dyDescent="0.2">
      <c r="AC51" s="16"/>
    </row>
    <row r="52" spans="29:29" x14ac:dyDescent="0.2">
      <c r="AC52" s="16"/>
    </row>
    <row r="53" spans="29:29" x14ac:dyDescent="0.2">
      <c r="AC53" s="16"/>
    </row>
    <row r="54" spans="29:29" x14ac:dyDescent="0.2">
      <c r="AC54" s="16"/>
    </row>
    <row r="55" spans="29:29" x14ac:dyDescent="0.2">
      <c r="AC55" s="16"/>
    </row>
    <row r="56" spans="29:29" x14ac:dyDescent="0.2">
      <c r="AC56" s="16"/>
    </row>
    <row r="57" spans="29:29" x14ac:dyDescent="0.2">
      <c r="AC57" s="16"/>
    </row>
    <row r="58" spans="29:29" x14ac:dyDescent="0.2">
      <c r="AC58" s="16"/>
    </row>
    <row r="59" spans="29:29" x14ac:dyDescent="0.2">
      <c r="AC59" s="16"/>
    </row>
    <row r="60" spans="29:29" x14ac:dyDescent="0.2">
      <c r="AC60" s="16"/>
    </row>
    <row r="61" spans="29:29" x14ac:dyDescent="0.2">
      <c r="AC61" s="16"/>
    </row>
    <row r="62" spans="29:29" x14ac:dyDescent="0.2">
      <c r="AC62" s="16"/>
    </row>
    <row r="63" spans="29:29" x14ac:dyDescent="0.2">
      <c r="AC63" s="16"/>
    </row>
    <row r="64" spans="29:29" x14ac:dyDescent="0.2">
      <c r="AC64" s="16"/>
    </row>
    <row r="65" spans="29:29" x14ac:dyDescent="0.2">
      <c r="AC65" s="16"/>
    </row>
    <row r="66" spans="29:29" x14ac:dyDescent="0.2">
      <c r="AC66" s="16"/>
    </row>
    <row r="67" spans="29:29" x14ac:dyDescent="0.2">
      <c r="AC67" s="16"/>
    </row>
    <row r="68" spans="29:29" x14ac:dyDescent="0.2">
      <c r="AC68" s="16"/>
    </row>
    <row r="69" spans="29:29" x14ac:dyDescent="0.2">
      <c r="AC69" s="16"/>
    </row>
  </sheetData>
  <mergeCells count="6">
    <mergeCell ref="AJ5:AK5"/>
    <mergeCell ref="AM5:AO5"/>
    <mergeCell ref="T5:Z5"/>
    <mergeCell ref="AA5:AC5"/>
    <mergeCell ref="AD5:AF5"/>
    <mergeCell ref="AG5:AI5"/>
  </mergeCells>
  <pageMargins left="0.47" right="0.31" top="0.33" bottom="0.28000000000000003" header="0.25" footer="0.24"/>
  <pageSetup scale="90" orientation="landscape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C23" sqref="C23"/>
    </sheetView>
  </sheetViews>
  <sheetFormatPr defaultRowHeight="12.75" x14ac:dyDescent="0.2"/>
  <cols>
    <col min="1" max="2" width="12.7109375" customWidth="1"/>
    <col min="3" max="3" width="8" customWidth="1"/>
    <col min="4" max="4" width="5.85546875" customWidth="1"/>
    <col min="5" max="5" width="13" customWidth="1"/>
    <col min="6" max="6" width="11.5703125" customWidth="1"/>
    <col min="7" max="7" width="6.85546875" customWidth="1"/>
    <col min="8" max="8" width="10.140625" customWidth="1"/>
  </cols>
  <sheetData>
    <row r="1" spans="1:8" ht="18" x14ac:dyDescent="0.25">
      <c r="A1" s="171" t="s">
        <v>84</v>
      </c>
      <c r="B1" s="171"/>
      <c r="C1" s="171"/>
      <c r="D1" s="171"/>
      <c r="E1" s="171"/>
      <c r="F1" s="171"/>
      <c r="G1" s="171"/>
      <c r="H1" s="171"/>
    </row>
    <row r="2" spans="1:8" x14ac:dyDescent="0.2">
      <c r="A2" s="172" t="s">
        <v>85</v>
      </c>
      <c r="B2" s="172"/>
      <c r="C2" s="172"/>
      <c r="D2" s="172"/>
      <c r="E2" s="172"/>
      <c r="F2" s="172"/>
      <c r="G2" s="172"/>
      <c r="H2" s="172"/>
    </row>
    <row r="3" spans="1:8" ht="15" customHeight="1" x14ac:dyDescent="0.2">
      <c r="A3" s="172" t="s">
        <v>86</v>
      </c>
      <c r="B3" s="172"/>
      <c r="C3" s="172"/>
      <c r="D3" s="172"/>
      <c r="E3" s="172"/>
      <c r="F3" s="172"/>
      <c r="G3" s="172"/>
      <c r="H3" s="172"/>
    </row>
    <row r="4" spans="1:8" ht="15" customHeight="1" x14ac:dyDescent="0.2">
      <c r="A4" s="172" t="s">
        <v>87</v>
      </c>
      <c r="B4" s="172"/>
      <c r="C4" s="172"/>
      <c r="D4" s="172"/>
      <c r="E4" s="172"/>
      <c r="F4" s="172"/>
      <c r="G4" s="172"/>
      <c r="H4" s="172"/>
    </row>
    <row r="8" spans="1:8" x14ac:dyDescent="0.2">
      <c r="E8" s="124" t="s">
        <v>88</v>
      </c>
      <c r="F8" s="125">
        <v>189177</v>
      </c>
    </row>
    <row r="9" spans="1:8" x14ac:dyDescent="0.2">
      <c r="D9" s="126"/>
      <c r="E9" s="124" t="s">
        <v>89</v>
      </c>
      <c r="F9" s="127">
        <v>36831</v>
      </c>
    </row>
    <row r="10" spans="1:8" ht="14.25" x14ac:dyDescent="0.2">
      <c r="A10" s="128" t="s">
        <v>90</v>
      </c>
      <c r="B10" s="129">
        <v>101079</v>
      </c>
      <c r="C10" s="129"/>
      <c r="E10" s="130" t="s">
        <v>91</v>
      </c>
      <c r="F10" s="131">
        <v>36770</v>
      </c>
    </row>
    <row r="11" spans="1:8" ht="15.75" x14ac:dyDescent="0.25">
      <c r="A11" s="132" t="s">
        <v>92</v>
      </c>
      <c r="B11" s="129"/>
      <c r="C11" s="129"/>
      <c r="E11" s="124" t="s">
        <v>93</v>
      </c>
      <c r="F11" s="133" t="s">
        <v>94</v>
      </c>
    </row>
    <row r="12" spans="1:8" ht="15.75" x14ac:dyDescent="0.25">
      <c r="A12" s="132" t="s">
        <v>95</v>
      </c>
      <c r="B12" s="129"/>
      <c r="C12" s="129"/>
      <c r="E12" s="134" t="s">
        <v>96</v>
      </c>
      <c r="F12" s="5"/>
    </row>
    <row r="13" spans="1:8" ht="15.75" x14ac:dyDescent="0.25">
      <c r="A13" s="132" t="s">
        <v>97</v>
      </c>
      <c r="E13" s="124" t="s">
        <v>98</v>
      </c>
      <c r="F13" s="5"/>
    </row>
    <row r="14" spans="1:8" x14ac:dyDescent="0.2">
      <c r="E14" s="124" t="s">
        <v>99</v>
      </c>
      <c r="F14" s="135"/>
    </row>
    <row r="15" spans="1:8" x14ac:dyDescent="0.2">
      <c r="E15" s="134" t="s">
        <v>100</v>
      </c>
      <c r="F15" s="5"/>
    </row>
    <row r="16" spans="1:8" x14ac:dyDescent="0.2">
      <c r="F16" s="136"/>
    </row>
    <row r="17" spans="1:8" ht="13.5" thickBot="1" x14ac:dyDescent="0.25">
      <c r="A17" s="137"/>
      <c r="B17" s="137"/>
      <c r="C17" s="137"/>
      <c r="D17" s="137"/>
      <c r="E17" s="137"/>
      <c r="F17" s="137"/>
      <c r="G17" s="137"/>
      <c r="H17" s="137"/>
    </row>
    <row r="18" spans="1:8" ht="16.5" thickBot="1" x14ac:dyDescent="0.3">
      <c r="A18" s="138" t="s">
        <v>101</v>
      </c>
      <c r="B18" s="139"/>
      <c r="C18" s="139"/>
      <c r="D18" s="139"/>
      <c r="E18" s="139"/>
      <c r="F18" s="139"/>
      <c r="G18" s="139"/>
      <c r="H18" s="139"/>
    </row>
    <row r="20" spans="1:8" x14ac:dyDescent="0.2">
      <c r="A20" t="s">
        <v>102</v>
      </c>
    </row>
    <row r="21" spans="1:8" x14ac:dyDescent="0.2">
      <c r="D21" s="136"/>
    </row>
    <row r="22" spans="1:8" x14ac:dyDescent="0.2">
      <c r="B22" s="54" t="s">
        <v>103</v>
      </c>
      <c r="E22" s="54" t="s">
        <v>104</v>
      </c>
    </row>
    <row r="23" spans="1:8" x14ac:dyDescent="0.2">
      <c r="B23" s="140"/>
    </row>
    <row r="24" spans="1:8" x14ac:dyDescent="0.2">
      <c r="B24" s="141">
        <f>+F10</f>
        <v>36770</v>
      </c>
      <c r="E24" s="142">
        <f>+'[1]HPL Agreement'!BE41</f>
        <v>125788.12510000021</v>
      </c>
    </row>
    <row r="25" spans="1:8" x14ac:dyDescent="0.2">
      <c r="B25" s="141"/>
    </row>
    <row r="26" spans="1:8" x14ac:dyDescent="0.2">
      <c r="B26" s="141"/>
    </row>
    <row r="27" spans="1:8" x14ac:dyDescent="0.2">
      <c r="B27" s="140"/>
    </row>
    <row r="28" spans="1:8" x14ac:dyDescent="0.2">
      <c r="B28" s="140"/>
      <c r="C28" s="140"/>
      <c r="D28" s="140"/>
    </row>
    <row r="29" spans="1:8" x14ac:dyDescent="0.2">
      <c r="B29" s="140"/>
      <c r="C29" s="140"/>
      <c r="D29" s="140"/>
      <c r="E29" s="140"/>
      <c r="F29" s="140"/>
    </row>
    <row r="30" spans="1:8" x14ac:dyDescent="0.2">
      <c r="A30" s="143" t="s">
        <v>105</v>
      </c>
    </row>
    <row r="31" spans="1:8" ht="13.5" thickBot="1" x14ac:dyDescent="0.25">
      <c r="A31" s="137"/>
      <c r="B31" s="137"/>
      <c r="C31" s="137"/>
      <c r="D31" s="137"/>
      <c r="E31" s="137"/>
      <c r="F31" s="137"/>
      <c r="G31" s="137"/>
      <c r="H31" s="137"/>
    </row>
    <row r="33" spans="1:8" x14ac:dyDescent="0.2">
      <c r="A33" s="144" t="s">
        <v>106</v>
      </c>
      <c r="B33" s="143"/>
      <c r="C33" s="143"/>
      <c r="D33" s="144"/>
      <c r="G33" s="145"/>
    </row>
    <row r="34" spans="1:8" x14ac:dyDescent="0.2">
      <c r="A34" s="146" t="s">
        <v>107</v>
      </c>
      <c r="B34" s="143"/>
      <c r="C34" s="143"/>
      <c r="D34" s="143"/>
      <c r="G34" s="145"/>
    </row>
    <row r="35" spans="1:8" x14ac:dyDescent="0.2">
      <c r="A35" s="135" t="s">
        <v>108</v>
      </c>
      <c r="B35" s="143"/>
      <c r="C35" s="143"/>
      <c r="D35" s="143"/>
      <c r="G35" s="145"/>
    </row>
    <row r="36" spans="1:8" x14ac:dyDescent="0.2">
      <c r="A36" s="143" t="s">
        <v>109</v>
      </c>
      <c r="B36" s="146" t="s">
        <v>110</v>
      </c>
      <c r="C36" s="147"/>
      <c r="D36" s="143"/>
      <c r="G36" s="145"/>
    </row>
    <row r="37" spans="1:8" x14ac:dyDescent="0.2">
      <c r="A37" s="143" t="s">
        <v>111</v>
      </c>
      <c r="B37" s="135" t="s">
        <v>112</v>
      </c>
      <c r="C37" s="147"/>
      <c r="D37" s="143"/>
    </row>
    <row r="38" spans="1:8" x14ac:dyDescent="0.2">
      <c r="A38" s="143" t="s">
        <v>113</v>
      </c>
      <c r="B38" s="143"/>
      <c r="C38" s="147"/>
      <c r="D38" s="143"/>
      <c r="G38" s="148"/>
    </row>
    <row r="39" spans="1:8" x14ac:dyDescent="0.2">
      <c r="A39" s="143"/>
      <c r="B39" s="143"/>
      <c r="C39" s="147"/>
      <c r="D39" s="143"/>
      <c r="G39" s="148"/>
    </row>
    <row r="40" spans="1:8" x14ac:dyDescent="0.2">
      <c r="A40" s="143" t="s">
        <v>114</v>
      </c>
      <c r="B40" s="143"/>
      <c r="C40" s="147"/>
      <c r="D40" s="143"/>
      <c r="G40" s="148"/>
    </row>
    <row r="41" spans="1:8" x14ac:dyDescent="0.2">
      <c r="A41" s="143" t="s">
        <v>115</v>
      </c>
      <c r="B41" s="143"/>
      <c r="C41" s="147"/>
      <c r="D41" s="143"/>
      <c r="G41" s="148"/>
    </row>
    <row r="42" spans="1:8" x14ac:dyDescent="0.2">
      <c r="A42" s="143"/>
      <c r="B42" s="143"/>
      <c r="C42" s="147"/>
      <c r="D42" s="143"/>
      <c r="G42" s="148"/>
    </row>
    <row r="43" spans="1:8" x14ac:dyDescent="0.2">
      <c r="A43" s="143"/>
      <c r="B43" s="143"/>
      <c r="C43" s="147"/>
      <c r="D43" s="143"/>
      <c r="G43" s="148"/>
    </row>
    <row r="44" spans="1:8" x14ac:dyDescent="0.2">
      <c r="G44" s="148"/>
    </row>
    <row r="45" spans="1:8" x14ac:dyDescent="0.2">
      <c r="A45" s="149" t="s">
        <v>116</v>
      </c>
      <c r="B45" s="150"/>
      <c r="C45" s="150"/>
      <c r="D45" s="150"/>
      <c r="E45" s="150"/>
      <c r="F45" s="150"/>
      <c r="G45" s="150"/>
      <c r="H45" s="151"/>
    </row>
    <row r="46" spans="1:8" x14ac:dyDescent="0.2">
      <c r="A46" s="152"/>
      <c r="B46" s="153"/>
      <c r="C46" s="153"/>
      <c r="D46" s="153"/>
      <c r="E46" s="153"/>
      <c r="F46" s="153"/>
      <c r="G46" s="153"/>
      <c r="H46" s="154"/>
    </row>
    <row r="47" spans="1:8" x14ac:dyDescent="0.2">
      <c r="A47" s="155" t="s">
        <v>117</v>
      </c>
      <c r="B47" s="156" t="s">
        <v>118</v>
      </c>
      <c r="C47" s="156" t="s">
        <v>119</v>
      </c>
      <c r="D47" s="156" t="s">
        <v>120</v>
      </c>
      <c r="E47" s="156" t="s">
        <v>121</v>
      </c>
      <c r="F47" s="156" t="s">
        <v>122</v>
      </c>
      <c r="G47" s="156" t="s">
        <v>123</v>
      </c>
      <c r="H47" s="157" t="s">
        <v>124</v>
      </c>
    </row>
    <row r="48" spans="1:8" x14ac:dyDescent="0.2">
      <c r="A48" s="152">
        <v>45000</v>
      </c>
      <c r="B48" s="153" t="s">
        <v>125</v>
      </c>
      <c r="C48" s="153"/>
      <c r="D48" s="153" t="s">
        <v>126</v>
      </c>
      <c r="E48" s="153" t="s">
        <v>126</v>
      </c>
      <c r="F48" s="153"/>
      <c r="G48" s="153"/>
      <c r="H48" s="158">
        <f>E24</f>
        <v>125788.12510000021</v>
      </c>
    </row>
    <row r="49" spans="1:8" x14ac:dyDescent="0.2">
      <c r="A49" s="159"/>
      <c r="B49" s="160"/>
      <c r="C49" s="160"/>
      <c r="D49" s="160"/>
      <c r="E49" s="160"/>
      <c r="F49" s="160"/>
      <c r="G49" s="160"/>
      <c r="H49" s="161"/>
    </row>
  </sheetData>
  <mergeCells count="4">
    <mergeCell ref="A1:H1"/>
    <mergeCell ref="A2:H2"/>
    <mergeCell ref="A3:H3"/>
    <mergeCell ref="A4:H4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0900</vt:lpstr>
      <vt:lpstr>invoice</vt:lpstr>
      <vt:lpstr>Sheet3</vt:lpstr>
      <vt:lpstr>'0900'!Print_Area</vt:lpstr>
    </vt:vector>
  </TitlesOfParts>
  <Company>Duke Energy Field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DJDobb</dc:creator>
  <cp:lastModifiedBy>Felienne</cp:lastModifiedBy>
  <cp:lastPrinted>2000-11-01T16:30:30Z</cp:lastPrinted>
  <dcterms:created xsi:type="dcterms:W3CDTF">2000-11-01T16:17:02Z</dcterms:created>
  <dcterms:modified xsi:type="dcterms:W3CDTF">2014-09-03T14:00:00Z</dcterms:modified>
</cp:coreProperties>
</file>