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D6" i="8"/>
  <c r="B7" i="8"/>
  <c r="D7" i="8" s="1"/>
  <c r="B8" i="8"/>
  <c r="D8" i="8" s="1"/>
  <c r="B9" i="8"/>
  <c r="D9" i="8"/>
  <c r="D10" i="8"/>
  <c r="D11" i="8"/>
  <c r="B12" i="8"/>
  <c r="D12" i="8" s="1"/>
  <c r="B13" i="8"/>
  <c r="D13" i="8"/>
  <c r="D14" i="8"/>
  <c r="D15" i="8"/>
  <c r="D16" i="8"/>
  <c r="B17" i="8"/>
  <c r="D17" i="8" s="1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8" i="88"/>
  <c r="A46" i="88"/>
  <c r="A47" i="88"/>
  <c r="D6" i="12"/>
  <c r="D7" i="12"/>
  <c r="D8" i="12"/>
  <c r="D9" i="12"/>
  <c r="D10" i="12"/>
  <c r="D11" i="12"/>
  <c r="D37" i="12" s="1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39" i="18" s="1"/>
  <c r="D48" i="18" s="1"/>
  <c r="D49" i="18" s="1"/>
  <c r="D26" i="80" s="1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7" i="69"/>
  <c r="D8" i="69"/>
  <c r="D9" i="69"/>
  <c r="D10" i="69"/>
  <c r="D11" i="69"/>
  <c r="D12" i="69"/>
  <c r="D13" i="69"/>
  <c r="D38" i="69" s="1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H42" i="69"/>
  <c r="H44" i="69"/>
  <c r="A47" i="69"/>
  <c r="A48" i="69"/>
  <c r="D48" i="69"/>
  <c r="D49" i="69" s="1"/>
  <c r="D20" i="80" s="1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K50" i="80"/>
  <c r="F59" i="80"/>
  <c r="F60" i="80"/>
  <c r="F61" i="80"/>
  <c r="F62" i="80"/>
  <c r="F66" i="80"/>
  <c r="B67" i="80"/>
  <c r="C67" i="80" s="1"/>
  <c r="F67" i="80"/>
  <c r="F68" i="80"/>
  <c r="F69" i="80"/>
  <c r="F70" i="80"/>
  <c r="F74" i="80"/>
  <c r="F75" i="80"/>
  <c r="F76" i="80"/>
  <c r="F77" i="80"/>
  <c r="B78" i="80"/>
  <c r="C78" i="80" s="1"/>
  <c r="F78" i="80"/>
  <c r="A123" i="80"/>
  <c r="D6" i="74"/>
  <c r="D7" i="74"/>
  <c r="D8" i="74"/>
  <c r="J8" i="74"/>
  <c r="D9" i="74"/>
  <c r="J9" i="74"/>
  <c r="L9" i="74"/>
  <c r="D10" i="74"/>
  <c r="J10" i="74"/>
  <c r="L10" i="74" s="1"/>
  <c r="D11" i="74"/>
  <c r="H11" i="74"/>
  <c r="J11" i="74"/>
  <c r="L11" i="74" s="1"/>
  <c r="D12" i="74"/>
  <c r="H12" i="74"/>
  <c r="J12" i="74" s="1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D38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8" i="72" s="1"/>
  <c r="D49" i="72" s="1"/>
  <c r="D76" i="80" s="1"/>
  <c r="A47" i="72"/>
  <c r="A48" i="72"/>
  <c r="D5" i="78"/>
  <c r="B6" i="78"/>
  <c r="D6" i="78"/>
  <c r="D7" i="78"/>
  <c r="B8" i="78"/>
  <c r="D8" i="78" s="1"/>
  <c r="D9" i="78"/>
  <c r="D10" i="78"/>
  <c r="D11" i="78"/>
  <c r="D13" i="78"/>
  <c r="A22" i="78"/>
  <c r="A23" i="78"/>
  <c r="D6" i="79"/>
  <c r="D7" i="79"/>
  <c r="D8" i="79"/>
  <c r="D37" i="79" s="1"/>
  <c r="D47" i="79" s="1"/>
  <c r="D48" i="79" s="1"/>
  <c r="D13" i="80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F5" i="13"/>
  <c r="I5" i="13"/>
  <c r="J5" i="13"/>
  <c r="K5" i="13"/>
  <c r="M5" i="13" s="1"/>
  <c r="N5" i="13"/>
  <c r="F6" i="13"/>
  <c r="I6" i="13"/>
  <c r="J6" i="13"/>
  <c r="K6" i="13" s="1"/>
  <c r="M6" i="13" s="1"/>
  <c r="N6" i="13"/>
  <c r="F7" i="13"/>
  <c r="I7" i="13"/>
  <c r="J7" i="13"/>
  <c r="N7" i="13"/>
  <c r="F8" i="13"/>
  <c r="I8" i="13"/>
  <c r="K8" i="13" s="1"/>
  <c r="M8" i="13" s="1"/>
  <c r="J8" i="13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7" i="13"/>
  <c r="A46" i="13"/>
  <c r="D46" i="13"/>
  <c r="A47" i="13"/>
  <c r="F8" i="71"/>
  <c r="F9" i="71"/>
  <c r="F10" i="71"/>
  <c r="F39" i="71" s="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H35" i="73"/>
  <c r="I35" i="73"/>
  <c r="I36" i="73" s="1"/>
  <c r="B73" i="73" s="1"/>
  <c r="C36" i="73"/>
  <c r="C37" i="73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47" i="86" s="1"/>
  <c r="D48" i="86" s="1"/>
  <c r="D36" i="80" s="1"/>
  <c r="D38" i="86"/>
  <c r="A46" i="86"/>
  <c r="A47" i="86"/>
  <c r="D6" i="85"/>
  <c r="D37" i="85" s="1"/>
  <c r="D47" i="85" s="1"/>
  <c r="D48" i="85" s="1"/>
  <c r="D34" i="80" s="1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A46" i="85"/>
  <c r="A47" i="85"/>
  <c r="B8" i="20"/>
  <c r="B9" i="20"/>
  <c r="B10" i="20"/>
  <c r="J11" i="20"/>
  <c r="B13" i="20"/>
  <c r="B14" i="20"/>
  <c r="B15" i="20"/>
  <c r="J15" i="20"/>
  <c r="B16" i="20"/>
  <c r="B17" i="20"/>
  <c r="B19" i="20"/>
  <c r="B31" i="20"/>
  <c r="B32" i="20"/>
  <c r="C32" i="20" s="1"/>
  <c r="C33" i="20" s="1"/>
  <c r="C78" i="73" s="1"/>
  <c r="E38" i="20"/>
  <c r="E39" i="20"/>
  <c r="G39" i="20"/>
  <c r="G40" i="20"/>
  <c r="B78" i="73" s="1"/>
  <c r="B46" i="20"/>
  <c r="H39" i="20" s="1"/>
  <c r="H40" i="20" s="1"/>
  <c r="B47" i="20"/>
  <c r="C47" i="20" s="1"/>
  <c r="C48" i="20" s="1"/>
  <c r="B9" i="63" s="1"/>
  <c r="C9" i="63" s="1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6" i="11"/>
  <c r="E37" i="11" s="1"/>
  <c r="F36" i="11"/>
  <c r="G36" i="11"/>
  <c r="AC36" i="11"/>
  <c r="AE36" i="11"/>
  <c r="AF36" i="11" s="1"/>
  <c r="AI36" i="11"/>
  <c r="AL36" i="11"/>
  <c r="AM36" i="11"/>
  <c r="AN36" i="11"/>
  <c r="AO36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D6" i="22"/>
  <c r="D7" i="22"/>
  <c r="F7" i="22"/>
  <c r="D8" i="22"/>
  <c r="F8" i="22" s="1"/>
  <c r="D9" i="22"/>
  <c r="F9" i="22" s="1"/>
  <c r="D10" i="22"/>
  <c r="F10" i="22"/>
  <c r="D11" i="22"/>
  <c r="F11" i="22"/>
  <c r="D12" i="22"/>
  <c r="F12" i="22" s="1"/>
  <c r="D13" i="22"/>
  <c r="F13" i="22" s="1"/>
  <c r="D14" i="22"/>
  <c r="F14" i="22"/>
  <c r="D15" i="22"/>
  <c r="F15" i="22"/>
  <c r="D16" i="22"/>
  <c r="F16" i="22" s="1"/>
  <c r="D17" i="22"/>
  <c r="F17" i="22" s="1"/>
  <c r="D18" i="22"/>
  <c r="F18" i="22" s="1"/>
  <c r="D19" i="22"/>
  <c r="F19" i="22"/>
  <c r="D20" i="22"/>
  <c r="F20" i="22" s="1"/>
  <c r="D21" i="22"/>
  <c r="F21" i="22" s="1"/>
  <c r="D22" i="22"/>
  <c r="F22" i="22" s="1"/>
  <c r="D23" i="22"/>
  <c r="F23" i="22"/>
  <c r="D24" i="22"/>
  <c r="F24" i="22" s="1"/>
  <c r="D25" i="22"/>
  <c r="F25" i="22" s="1"/>
  <c r="D26" i="22"/>
  <c r="F26" i="22"/>
  <c r="D27" i="22"/>
  <c r="F27" i="22"/>
  <c r="D28" i="22"/>
  <c r="F28" i="22" s="1"/>
  <c r="D29" i="22"/>
  <c r="F29" i="22" s="1"/>
  <c r="D30" i="22"/>
  <c r="F30" i="22"/>
  <c r="D31" i="22"/>
  <c r="F31" i="22"/>
  <c r="D32" i="22"/>
  <c r="F32" i="22" s="1"/>
  <c r="D33" i="22"/>
  <c r="F33" i="22" s="1"/>
  <c r="D34" i="22"/>
  <c r="F34" i="22" s="1"/>
  <c r="D35" i="22"/>
  <c r="F35" i="22"/>
  <c r="D36" i="22"/>
  <c r="F36" i="22" s="1"/>
  <c r="B37" i="22"/>
  <c r="C37" i="22"/>
  <c r="E37" i="22"/>
  <c r="J37" i="22"/>
  <c r="F38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9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8" i="89"/>
  <c r="A46" i="89"/>
  <c r="A47" i="89"/>
  <c r="D4" i="68"/>
  <c r="D35" i="68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/>
  <c r="S10" i="67"/>
  <c r="F11" i="67"/>
  <c r="J11" i="67"/>
  <c r="L11" i="67" s="1"/>
  <c r="N11" i="67" s="1"/>
  <c r="S11" i="67"/>
  <c r="U11" i="67"/>
  <c r="F12" i="67"/>
  <c r="J12" i="67"/>
  <c r="L12" i="67"/>
  <c r="L16" i="67" s="1"/>
  <c r="N12" i="67"/>
  <c r="S12" i="67"/>
  <c r="U12" i="67" s="1"/>
  <c r="F13" i="67"/>
  <c r="J13" i="67"/>
  <c r="L13" i="67"/>
  <c r="N13" i="67" s="1"/>
  <c r="S13" i="67"/>
  <c r="U13" i="67" s="1"/>
  <c r="F14" i="67"/>
  <c r="L14" i="67"/>
  <c r="N14" i="67" s="1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B6" i="65"/>
  <c r="D6" i="65"/>
  <c r="D7" i="65"/>
  <c r="D8" i="65"/>
  <c r="D9" i="65"/>
  <c r="D10" i="65"/>
  <c r="D11" i="65"/>
  <c r="D12" i="65"/>
  <c r="D13" i="65"/>
  <c r="D14" i="65"/>
  <c r="D19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 s="1"/>
  <c r="D19" i="77"/>
  <c r="K19" i="77"/>
  <c r="M19" i="77" s="1"/>
  <c r="D20" i="77"/>
  <c r="K20" i="77"/>
  <c r="M20" i="77" s="1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/>
  <c r="AF5" i="7"/>
  <c r="AH5" i="7" s="1"/>
  <c r="AG5" i="7"/>
  <c r="AI5" i="7"/>
  <c r="F6" i="7"/>
  <c r="Z6" i="7"/>
  <c r="AD6" i="7" s="1"/>
  <c r="AF6" i="7" s="1"/>
  <c r="AH6" i="7" s="1"/>
  <c r="F7" i="7"/>
  <c r="Z7" i="7"/>
  <c r="AD7" i="7"/>
  <c r="AF7" i="7" s="1"/>
  <c r="F8" i="7"/>
  <c r="Z8" i="7"/>
  <c r="AD8" i="7" s="1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/>
  <c r="F14" i="7"/>
  <c r="Z14" i="7"/>
  <c r="AD14" i="7" s="1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AG19" i="7" s="1"/>
  <c r="AG20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37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/>
  <c r="H12" i="9"/>
  <c r="L12" i="9"/>
  <c r="N12" i="9"/>
  <c r="P12" i="9" s="1"/>
  <c r="H13" i="9"/>
  <c r="N13" i="9"/>
  <c r="P13" i="9" s="1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E47" i="9" s="1"/>
  <c r="E48" i="9" s="1"/>
  <c r="D30" i="80" s="1"/>
  <c r="H36" i="9"/>
  <c r="B46" i="9"/>
  <c r="H46" i="9"/>
  <c r="B47" i="9"/>
  <c r="B5" i="64"/>
  <c r="D5" i="64" s="1"/>
  <c r="D6" i="64"/>
  <c r="B7" i="64"/>
  <c r="D7" i="64"/>
  <c r="D8" i="64"/>
  <c r="D9" i="64"/>
  <c r="D10" i="64"/>
  <c r="B11" i="64"/>
  <c r="D11" i="64" s="1"/>
  <c r="D12" i="64"/>
  <c r="D13" i="64"/>
  <c r="D18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U16" i="15"/>
  <c r="AV16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N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AD39" i="15"/>
  <c r="AE39" i="15"/>
  <c r="AH39" i="15"/>
  <c r="AI39" i="15"/>
  <c r="AL39" i="15"/>
  <c r="AM39" i="15"/>
  <c r="AP39" i="15"/>
  <c r="AT39" i="15"/>
  <c r="AU39" i="15"/>
  <c r="F44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27" i="15"/>
  <c r="F128" i="15"/>
  <c r="F133" i="15" s="1"/>
  <c r="C133" i="15" s="1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B5" i="6"/>
  <c r="C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I3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D45" i="63"/>
  <c r="D46" i="63"/>
  <c r="D47" i="63"/>
  <c r="D48" i="63"/>
  <c r="J48" i="63"/>
  <c r="D49" i="63"/>
  <c r="D50" i="63"/>
  <c r="D51" i="63"/>
  <c r="D52" i="63"/>
  <c r="B121" i="63"/>
  <c r="B144" i="63" s="1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47" i="90" s="1"/>
  <c r="D48" i="90" s="1"/>
  <c r="D38" i="90"/>
  <c r="D39" i="90" s="1"/>
  <c r="D41" i="90" s="1"/>
  <c r="B52" i="63" s="1"/>
  <c r="C52" i="63" s="1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/>
  <c r="J7" i="2"/>
  <c r="P7" i="2"/>
  <c r="S12" i="2" s="1"/>
  <c r="J8" i="2"/>
  <c r="P8" i="2"/>
  <c r="R8" i="2" s="1"/>
  <c r="J9" i="2"/>
  <c r="P9" i="2"/>
  <c r="R9" i="2" s="1"/>
  <c r="J10" i="2"/>
  <c r="P10" i="2"/>
  <c r="R10" i="2" s="1"/>
  <c r="J11" i="2"/>
  <c r="P11" i="2"/>
  <c r="R11" i="2"/>
  <c r="J12" i="2"/>
  <c r="P12" i="2"/>
  <c r="R12" i="2"/>
  <c r="J13" i="2"/>
  <c r="P13" i="2"/>
  <c r="R13" i="2" s="1"/>
  <c r="J14" i="2"/>
  <c r="P14" i="2"/>
  <c r="R14" i="2" s="1"/>
  <c r="J15" i="2"/>
  <c r="P15" i="2"/>
  <c r="R15" i="2" s="1"/>
  <c r="J16" i="2"/>
  <c r="P16" i="2"/>
  <c r="R16" i="2"/>
  <c r="J17" i="2"/>
  <c r="N17" i="2"/>
  <c r="O17" i="2"/>
  <c r="P17" i="2" s="1"/>
  <c r="R17" i="2" s="1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37" i="83" s="1"/>
  <c r="D49" i="83" s="1"/>
  <c r="D50" i="83" s="1"/>
  <c r="D35" i="80" s="1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AH56" i="15" l="1"/>
  <c r="AH57" i="15" s="1"/>
  <c r="D19" i="64"/>
  <c r="D23" i="64" s="1"/>
  <c r="F6" i="22"/>
  <c r="F37" i="22" s="1"/>
  <c r="D47" i="22" s="1"/>
  <c r="D48" i="22" s="1"/>
  <c r="D27" i="80" s="1"/>
  <c r="D37" i="22"/>
  <c r="N39" i="91"/>
  <c r="N43" i="91" s="1"/>
  <c r="B32" i="63" s="1"/>
  <c r="C32" i="63" s="1"/>
  <c r="R7" i="2"/>
  <c r="D37" i="76"/>
  <c r="D47" i="76" s="1"/>
  <c r="D48" i="76" s="1"/>
  <c r="D33" i="80" s="1"/>
  <c r="F92" i="15"/>
  <c r="AV39" i="15"/>
  <c r="H37" i="9"/>
  <c r="H39" i="9" s="1"/>
  <c r="D37" i="89"/>
  <c r="D47" i="89" s="1"/>
  <c r="D48" i="89" s="1"/>
  <c r="J35" i="70"/>
  <c r="F37" i="87"/>
  <c r="D47" i="87" s="1"/>
  <c r="D48" i="87" s="1"/>
  <c r="D37" i="80" s="1"/>
  <c r="K19" i="74"/>
  <c r="L19" i="74" s="1"/>
  <c r="L8" i="74"/>
  <c r="L17" i="74" s="1"/>
  <c r="J17" i="74"/>
  <c r="K114" i="15"/>
  <c r="AN39" i="15"/>
  <c r="P16" i="9"/>
  <c r="S16" i="67"/>
  <c r="U10" i="67"/>
  <c r="U16" i="67" s="1"/>
  <c r="E45" i="11"/>
  <c r="E39" i="11"/>
  <c r="B69" i="80" s="1"/>
  <c r="C69" i="80" s="1"/>
  <c r="R21" i="2"/>
  <c r="F101" i="15"/>
  <c r="C101" i="15" s="1"/>
  <c r="AJ39" i="15"/>
  <c r="AJ45" i="15" s="1"/>
  <c r="D17" i="64"/>
  <c r="D29" i="64" s="1"/>
  <c r="D30" i="64" s="1"/>
  <c r="D31" i="80" s="1"/>
  <c r="D35" i="28"/>
  <c r="AF19" i="7"/>
  <c r="AH19" i="7" s="1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36" i="7"/>
  <c r="N16" i="67"/>
  <c r="F34" i="67"/>
  <c r="D37" i="75"/>
  <c r="D46" i="75" s="1"/>
  <c r="D47" i="75" s="1"/>
  <c r="D40" i="80" s="1"/>
  <c r="D39" i="85"/>
  <c r="D41" i="85" s="1"/>
  <c r="J35" i="73"/>
  <c r="J36" i="73" s="1"/>
  <c r="F36" i="73"/>
  <c r="F35" i="13"/>
  <c r="D47" i="13" s="1"/>
  <c r="D48" i="13" s="1"/>
  <c r="D25" i="80" s="1"/>
  <c r="D42" i="72"/>
  <c r="P21" i="2"/>
  <c r="P23" i="2" s="1"/>
  <c r="AQ39" i="15"/>
  <c r="AR16" i="15"/>
  <c r="AR39" i="15" s="1"/>
  <c r="AR45" i="15" s="1"/>
  <c r="D49" i="71"/>
  <c r="D50" i="71" s="1"/>
  <c r="D39" i="80" s="1"/>
  <c r="F41" i="71"/>
  <c r="F43" i="71" s="1"/>
  <c r="D20" i="65"/>
  <c r="D24" i="65" s="1"/>
  <c r="C39" i="11"/>
  <c r="C45" i="11"/>
  <c r="C46" i="11" s="1"/>
  <c r="M9" i="74"/>
  <c r="M10" i="74" s="1"/>
  <c r="M11" i="74" s="1"/>
  <c r="M12" i="74" s="1"/>
  <c r="M13" i="74" s="1"/>
  <c r="M14" i="74" s="1"/>
  <c r="F39" i="15"/>
  <c r="J23" i="15"/>
  <c r="M23" i="15" s="1"/>
  <c r="O23" i="15" s="1"/>
  <c r="O24" i="15" s="1"/>
  <c r="AG21" i="7"/>
  <c r="D39" i="19"/>
  <c r="D49" i="19" s="1"/>
  <c r="D50" i="19" s="1"/>
  <c r="D19" i="80" s="1"/>
  <c r="D21" i="80" s="1"/>
  <c r="F35" i="6"/>
  <c r="D18" i="65"/>
  <c r="D33" i="65" s="1"/>
  <c r="D34" i="65" s="1"/>
  <c r="D24" i="80" s="1"/>
  <c r="J24" i="74"/>
  <c r="AF39" i="15"/>
  <c r="AF45" i="15" s="1"/>
  <c r="D46" i="16"/>
  <c r="D47" i="16" s="1"/>
  <c r="D77" i="80" s="1"/>
  <c r="D38" i="16"/>
  <c r="D40" i="16" s="1"/>
  <c r="AH7" i="7"/>
  <c r="C77" i="73"/>
  <c r="C176" i="15"/>
  <c r="F176" i="15" s="1"/>
  <c r="J39" i="83"/>
  <c r="J43" i="83" s="1"/>
  <c r="N37" i="91"/>
  <c r="D49" i="91" s="1"/>
  <c r="D50" i="91" s="1"/>
  <c r="J35" i="2"/>
  <c r="D39" i="76"/>
  <c r="D41" i="76" s="1"/>
  <c r="M23" i="77"/>
  <c r="D40" i="68"/>
  <c r="D46" i="68"/>
  <c r="D47" i="68" s="1"/>
  <c r="D59" i="80" s="1"/>
  <c r="J41" i="17"/>
  <c r="J43" i="17" s="1"/>
  <c r="H39" i="11"/>
  <c r="C24" i="63" s="1"/>
  <c r="D40" i="12"/>
  <c r="D46" i="12"/>
  <c r="D47" i="12" s="1"/>
  <c r="D68" i="80" s="1"/>
  <c r="D37" i="77"/>
  <c r="D49" i="77" s="1"/>
  <c r="D50" i="77" s="1"/>
  <c r="D14" i="80" s="1"/>
  <c r="J39" i="17"/>
  <c r="D48" i="17" s="1"/>
  <c r="D49" i="17" s="1"/>
  <c r="D29" i="80" s="1"/>
  <c r="F36" i="5"/>
  <c r="H36" i="11"/>
  <c r="D39" i="86"/>
  <c r="D41" i="86" s="1"/>
  <c r="F38" i="13"/>
  <c r="F41" i="13" s="1"/>
  <c r="M4" i="13"/>
  <c r="M24" i="15"/>
  <c r="AL47" i="11"/>
  <c r="AL48" i="11" s="1"/>
  <c r="AF34" i="11"/>
  <c r="C38" i="73"/>
  <c r="C40" i="73" s="1"/>
  <c r="E37" i="73"/>
  <c r="E38" i="73" s="1"/>
  <c r="F35" i="73"/>
  <c r="K7" i="13"/>
  <c r="M7" i="13" s="1"/>
  <c r="N10" i="13"/>
  <c r="F39" i="87"/>
  <c r="F41" i="87" s="1"/>
  <c r="F41" i="18"/>
  <c r="F43" i="18" s="1"/>
  <c r="F39" i="22"/>
  <c r="F41" i="22" s="1"/>
  <c r="D39" i="75"/>
  <c r="D41" i="75" s="1"/>
  <c r="D39" i="79"/>
  <c r="D41" i="79" s="1"/>
  <c r="D12" i="78"/>
  <c r="D37" i="74"/>
  <c r="D46" i="74" s="1"/>
  <c r="D47" i="74" s="1"/>
  <c r="D12" i="80" s="1"/>
  <c r="N11" i="13"/>
  <c r="I114" i="15"/>
  <c r="B18" i="20"/>
  <c r="D40" i="69"/>
  <c r="D42" i="69" s="1"/>
  <c r="D37" i="81"/>
  <c r="D39" i="77"/>
  <c r="D41" i="77" s="1"/>
  <c r="AP36" i="11"/>
  <c r="AN8" i="11"/>
  <c r="AC8" i="11"/>
  <c r="B77" i="73"/>
  <c r="P37" i="88"/>
  <c r="D18" i="8"/>
  <c r="AP47" i="11"/>
  <c r="AR48" i="15" l="1"/>
  <c r="AR51" i="15"/>
  <c r="B40" i="80"/>
  <c r="C40" i="80" s="1"/>
  <c r="E40" i="80" s="1"/>
  <c r="B23" i="63"/>
  <c r="C23" i="63" s="1"/>
  <c r="B49" i="63"/>
  <c r="C49" i="63" s="1"/>
  <c r="B35" i="80"/>
  <c r="C35" i="80" s="1"/>
  <c r="E35" i="80" s="1"/>
  <c r="B37" i="80"/>
  <c r="C37" i="80" s="1"/>
  <c r="E37" i="80" s="1"/>
  <c r="B44" i="63"/>
  <c r="C44" i="63" s="1"/>
  <c r="D46" i="81"/>
  <c r="D47" i="81" s="1"/>
  <c r="D75" i="80" s="1"/>
  <c r="D41" i="81"/>
  <c r="E40" i="73"/>
  <c r="F38" i="73"/>
  <c r="B25" i="80"/>
  <c r="C25" i="80" s="1"/>
  <c r="E25" i="80" s="1"/>
  <c r="B11" i="63"/>
  <c r="C11" i="63" s="1"/>
  <c r="B68" i="80"/>
  <c r="C68" i="80" s="1"/>
  <c r="E68" i="80" s="1"/>
  <c r="C47" i="63"/>
  <c r="B47" i="63" s="1"/>
  <c r="F45" i="15"/>
  <c r="C27" i="63" s="1"/>
  <c r="B27" i="63" s="1"/>
  <c r="D51" i="15"/>
  <c r="D52" i="15" s="1"/>
  <c r="D67" i="80" s="1"/>
  <c r="E67" i="80" s="1"/>
  <c r="B34" i="80"/>
  <c r="C34" i="80" s="1"/>
  <c r="E34" i="80" s="1"/>
  <c r="B19" i="63"/>
  <c r="C19" i="63" s="1"/>
  <c r="D20" i="8"/>
  <c r="D24" i="8" s="1"/>
  <c r="D30" i="8"/>
  <c r="D31" i="8" s="1"/>
  <c r="D41" i="80" s="1"/>
  <c r="B14" i="63"/>
  <c r="C14" i="63" s="1"/>
  <c r="B27" i="80"/>
  <c r="C27" i="80" s="1"/>
  <c r="E27" i="80" s="1"/>
  <c r="F46" i="11"/>
  <c r="D69" i="80" s="1"/>
  <c r="D61" i="80"/>
  <c r="B26" i="80"/>
  <c r="C26" i="80" s="1"/>
  <c r="E26" i="80" s="1"/>
  <c r="B17" i="63"/>
  <c r="C17" i="63" s="1"/>
  <c r="B61" i="80"/>
  <c r="C61" i="80" s="1"/>
  <c r="E61" i="80" s="1"/>
  <c r="B24" i="63"/>
  <c r="B46" i="63"/>
  <c r="C46" i="63" s="1"/>
  <c r="B30" i="80"/>
  <c r="C30" i="80" s="1"/>
  <c r="E30" i="80" s="1"/>
  <c r="B29" i="80"/>
  <c r="C29" i="80" s="1"/>
  <c r="E29" i="80" s="1"/>
  <c r="B13" i="63"/>
  <c r="C13" i="63" s="1"/>
  <c r="F38" i="67"/>
  <c r="D44" i="67"/>
  <c r="D45" i="67" s="1"/>
  <c r="D74" i="80" s="1"/>
  <c r="D49" i="5"/>
  <c r="F40" i="5"/>
  <c r="F43" i="5" s="1"/>
  <c r="B34" i="63" s="1"/>
  <c r="C34" i="63" s="1"/>
  <c r="E48" i="7"/>
  <c r="E49" i="7" s="1"/>
  <c r="D70" i="80" s="1"/>
  <c r="F41" i="7"/>
  <c r="D16" i="80"/>
  <c r="E69" i="80"/>
  <c r="C73" i="73"/>
  <c r="B40" i="63"/>
  <c r="D47" i="70"/>
  <c r="D48" i="70" s="1"/>
  <c r="D32" i="80" s="1"/>
  <c r="J37" i="70"/>
  <c r="J41" i="70" s="1"/>
  <c r="F39" i="20"/>
  <c r="F40" i="20" s="1"/>
  <c r="C19" i="20"/>
  <c r="C20" i="20" s="1"/>
  <c r="B59" i="80"/>
  <c r="C12" i="63"/>
  <c r="B12" i="63" s="1"/>
  <c r="B24" i="80"/>
  <c r="B28" i="63"/>
  <c r="C28" i="63" s="1"/>
  <c r="B10" i="63"/>
  <c r="C10" i="63" s="1"/>
  <c r="B31" i="80"/>
  <c r="C31" i="80" s="1"/>
  <c r="E31" i="80" s="1"/>
  <c r="AH8" i="7"/>
  <c r="AI7" i="7"/>
  <c r="B33" i="63"/>
  <c r="C33" i="63" s="1"/>
  <c r="B39" i="80"/>
  <c r="C39" i="80" s="1"/>
  <c r="E39" i="80" s="1"/>
  <c r="D14" i="78"/>
  <c r="D18" i="78" s="1"/>
  <c r="D23" i="78"/>
  <c r="D24" i="78" s="1"/>
  <c r="D15" i="80" s="1"/>
  <c r="M13" i="13"/>
  <c r="B33" i="80"/>
  <c r="C33" i="80" s="1"/>
  <c r="E33" i="80" s="1"/>
  <c r="B30" i="63"/>
  <c r="C30" i="63" s="1"/>
  <c r="AI6" i="7"/>
  <c r="F37" i="73"/>
  <c r="AH20" i="7"/>
  <c r="AI19" i="7"/>
  <c r="F45" i="11"/>
  <c r="D39" i="74"/>
  <c r="D41" i="74" s="1"/>
  <c r="B20" i="80"/>
  <c r="C20" i="80" s="1"/>
  <c r="E20" i="80" s="1"/>
  <c r="B29" i="63"/>
  <c r="C29" i="63" s="1"/>
  <c r="B36" i="80"/>
  <c r="C36" i="80" s="1"/>
  <c r="E36" i="80" s="1"/>
  <c r="B20" i="63"/>
  <c r="C20" i="63" s="1"/>
  <c r="D47" i="88"/>
  <c r="D48" i="88" s="1"/>
  <c r="D38" i="80" s="1"/>
  <c r="P39" i="88"/>
  <c r="P41" i="88" s="1"/>
  <c r="B102" i="15"/>
  <c r="AN45" i="15"/>
  <c r="D39" i="89"/>
  <c r="D41" i="89" s="1"/>
  <c r="B43" i="63" s="1"/>
  <c r="C43" i="63" s="1"/>
  <c r="D46" i="6"/>
  <c r="D47" i="6" s="1"/>
  <c r="D60" i="80" s="1"/>
  <c r="D63" i="80" s="1"/>
  <c r="F40" i="6"/>
  <c r="B76" i="80"/>
  <c r="C76" i="80" s="1"/>
  <c r="E76" i="80" s="1"/>
  <c r="C31" i="63"/>
  <c r="B31" i="63" s="1"/>
  <c r="B14" i="80"/>
  <c r="C14" i="80" s="1"/>
  <c r="E14" i="80" s="1"/>
  <c r="B42" i="63"/>
  <c r="C42" i="63" s="1"/>
  <c r="B13" i="80"/>
  <c r="C13" i="80" s="1"/>
  <c r="E13" i="80" s="1"/>
  <c r="B26" i="63"/>
  <c r="C26" i="63" s="1"/>
  <c r="K13" i="13"/>
  <c r="J40" i="2"/>
  <c r="B66" i="80" s="1"/>
  <c r="C45" i="63"/>
  <c r="B45" i="63" s="1"/>
  <c r="D47" i="2"/>
  <c r="D48" i="2" s="1"/>
  <c r="D66" i="80" s="1"/>
  <c r="D71" i="80" s="1"/>
  <c r="B77" i="80"/>
  <c r="C77" i="80" s="1"/>
  <c r="E77" i="80" s="1"/>
  <c r="B50" i="63"/>
  <c r="C50" i="63" s="1"/>
  <c r="D41" i="19"/>
  <c r="D43" i="19" s="1"/>
  <c r="K36" i="73"/>
  <c r="K49" i="73" s="1"/>
  <c r="B74" i="73"/>
  <c r="D46" i="28"/>
  <c r="D47" i="28" s="1"/>
  <c r="D62" i="80" s="1"/>
  <c r="D40" i="28"/>
  <c r="L24" i="74"/>
  <c r="L26" i="74" s="1"/>
  <c r="B103" i="15" l="1"/>
  <c r="B105" i="15" s="1"/>
  <c r="F105" i="15" s="1"/>
  <c r="F102" i="15"/>
  <c r="F103" i="15" s="1"/>
  <c r="C103" i="15" s="1"/>
  <c r="C40" i="63"/>
  <c r="B53" i="63"/>
  <c r="D50" i="5"/>
  <c r="D78" i="80"/>
  <c r="E78" i="80" s="1"/>
  <c r="B38" i="80"/>
  <c r="C38" i="80" s="1"/>
  <c r="E38" i="80" s="1"/>
  <c r="B22" i="63"/>
  <c r="C22" i="63" s="1"/>
  <c r="B74" i="80"/>
  <c r="C15" i="63"/>
  <c r="B15" i="63" s="1"/>
  <c r="B62" i="80"/>
  <c r="C62" i="80" s="1"/>
  <c r="E62" i="80" s="1"/>
  <c r="C21" i="63"/>
  <c r="B21" i="63" s="1"/>
  <c r="C59" i="80"/>
  <c r="B41" i="80"/>
  <c r="C41" i="80" s="1"/>
  <c r="E41" i="80" s="1"/>
  <c r="B25" i="63"/>
  <c r="C25" i="63" s="1"/>
  <c r="AI20" i="7"/>
  <c r="AH21" i="7"/>
  <c r="AI21" i="7" s="1"/>
  <c r="B60" i="80"/>
  <c r="C60" i="80" s="1"/>
  <c r="E60" i="80" s="1"/>
  <c r="C16" i="63"/>
  <c r="B16" i="63" s="1"/>
  <c r="C79" i="73"/>
  <c r="B8" i="63"/>
  <c r="C57" i="20"/>
  <c r="F51" i="73" s="1"/>
  <c r="F53" i="73" s="1"/>
  <c r="B28" i="80" s="1"/>
  <c r="C28" i="80" s="1"/>
  <c r="AH9" i="7"/>
  <c r="AI8" i="7"/>
  <c r="B79" i="73"/>
  <c r="I40" i="20"/>
  <c r="I57" i="20" s="1"/>
  <c r="M51" i="73" s="1"/>
  <c r="M53" i="73" s="1"/>
  <c r="D28" i="80" s="1"/>
  <c r="D42" i="80" s="1"/>
  <c r="C48" i="63"/>
  <c r="B48" i="63" s="1"/>
  <c r="B70" i="80"/>
  <c r="C70" i="80" s="1"/>
  <c r="E70" i="80" s="1"/>
  <c r="F40" i="73"/>
  <c r="F49" i="73" s="1"/>
  <c r="C74" i="73"/>
  <c r="C81" i="73"/>
  <c r="C82" i="73" s="1"/>
  <c r="B71" i="80"/>
  <c r="C66" i="80"/>
  <c r="B32" i="80"/>
  <c r="C32" i="80" s="1"/>
  <c r="E32" i="80" s="1"/>
  <c r="B36" i="63"/>
  <c r="C36" i="63" s="1"/>
  <c r="B75" i="80"/>
  <c r="C75" i="80" s="1"/>
  <c r="E75" i="80" s="1"/>
  <c r="C51" i="63"/>
  <c r="B51" i="63" s="1"/>
  <c r="B15" i="80"/>
  <c r="C15" i="80" s="1"/>
  <c r="E15" i="80" s="1"/>
  <c r="B41" i="63"/>
  <c r="C41" i="63" s="1"/>
  <c r="C24" i="80"/>
  <c r="B81" i="73"/>
  <c r="B19" i="80"/>
  <c r="B35" i="63"/>
  <c r="C35" i="63" s="1"/>
  <c r="B12" i="80"/>
  <c r="B18" i="63"/>
  <c r="C18" i="63" s="1"/>
  <c r="B21" i="80" l="1"/>
  <c r="C19" i="80"/>
  <c r="C42" i="80"/>
  <c r="E24" i="80"/>
  <c r="C53" i="63"/>
  <c r="C55" i="63" s="1"/>
  <c r="D79" i="80"/>
  <c r="B42" i="80"/>
  <c r="AI9" i="7"/>
  <c r="AH10" i="7"/>
  <c r="C74" i="80"/>
  <c r="B79" i="80"/>
  <c r="E28" i="80"/>
  <c r="C12" i="80"/>
  <c r="B16" i="80"/>
  <c r="B44" i="80" s="1"/>
  <c r="M15" i="63"/>
  <c r="C8" i="63"/>
  <c r="C37" i="63" s="1"/>
  <c r="B37" i="63"/>
  <c r="B55" i="63" s="1"/>
  <c r="B63" i="80"/>
  <c r="B81" i="80" s="1"/>
  <c r="D44" i="80"/>
  <c r="C71" i="80"/>
  <c r="C81" i="80" s="1"/>
  <c r="E66" i="80"/>
  <c r="E71" i="80" s="1"/>
  <c r="C63" i="80"/>
  <c r="E59" i="80"/>
  <c r="D81" i="80"/>
  <c r="B84" i="80" l="1"/>
  <c r="E42" i="80"/>
  <c r="E12" i="80"/>
  <c r="C16" i="80"/>
  <c r="C79" i="80"/>
  <c r="E74" i="80"/>
  <c r="E79" i="80" s="1"/>
  <c r="AI10" i="7"/>
  <c r="AH11" i="7"/>
  <c r="E63" i="80"/>
  <c r="E19" i="80"/>
  <c r="E21" i="80" s="1"/>
  <c r="C21" i="80"/>
  <c r="C44" i="80" s="1"/>
  <c r="B85" i="80" s="1"/>
  <c r="E16" i="80" l="1"/>
  <c r="E44" i="80"/>
  <c r="AI11" i="7"/>
  <c r="AH12" i="7"/>
  <c r="E81" i="80"/>
  <c r="AH13" i="7" l="1"/>
  <c r="AI12" i="7"/>
  <c r="AH14" i="7" l="1"/>
  <c r="AI13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<sst xmlns="http://schemas.openxmlformats.org/spreadsheetml/2006/main" count="918" uniqueCount="325">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</sst>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62" workbookViewId="0">
      <selection activeCell="A76" sqref="A76"/>
    </sheetView>
  </sheetViews>
  <sheetFormatPr defaultRowHeight="12.75" outlineLevelRow="2" x14ac:dyDescent="0.2"/>
  <cols>
    <col min="1" max="1" width="18.85546875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142</v>
      </c>
      <c r="D2" s="7"/>
      <c r="I2" s="390" t="s">
        <v>79</v>
      </c>
      <c r="J2" s="393"/>
      <c r="K2" s="32"/>
    </row>
    <row r="3" spans="1:32" ht="12.95" customHeight="1" x14ac:dyDescent="0.2">
      <c r="D3" s="7"/>
      <c r="I3" s="391" t="s">
        <v>30</v>
      </c>
      <c r="J3" s="394">
        <v>2.2400000000000002</v>
      </c>
      <c r="K3" s="410">
        <f ca="1">NOW()</f>
        <v>41885.682435532406</v>
      </c>
    </row>
    <row r="4" spans="1:32" ht="12.95" customHeight="1" x14ac:dyDescent="0.2">
      <c r="A4" s="34" t="s">
        <v>148</v>
      </c>
      <c r="C4" s="34" t="s">
        <v>5</v>
      </c>
      <c r="D4" s="7"/>
      <c r="I4" s="392" t="s">
        <v>31</v>
      </c>
      <c r="J4" s="394">
        <v>2.25</v>
      </c>
      <c r="K4" s="32"/>
    </row>
    <row r="5" spans="1:32" ht="12.95" customHeight="1" x14ac:dyDescent="0.2">
      <c r="D5" s="7"/>
      <c r="I5" s="391" t="s">
        <v>118</v>
      </c>
      <c r="J5" s="394">
        <v>2.2599999999999998</v>
      </c>
      <c r="K5" s="32"/>
    </row>
    <row r="6" spans="1:32" ht="6.95" customHeight="1" x14ac:dyDescent="0.2"/>
    <row r="7" spans="1:32" ht="12.95" customHeight="1" x14ac:dyDescent="0.2">
      <c r="A7" s="408" t="s">
        <v>166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158</v>
      </c>
    </row>
    <row r="12" spans="1:32" ht="13.5" customHeight="1" outlineLevel="1" x14ac:dyDescent="0.2">
      <c r="A12" s="204" t="s">
        <v>129</v>
      </c>
      <c r="B12" s="351">
        <f>+Calpine!D41</f>
        <v>181805</v>
      </c>
      <c r="C12" s="376">
        <f>+B12/$J$4</f>
        <v>80802.222222222219</v>
      </c>
      <c r="D12" s="14">
        <f>+Calpine!D47</f>
        <v>174403</v>
      </c>
      <c r="E12" s="70">
        <f>+C12-D12</f>
        <v>-93600.777777777781</v>
      </c>
      <c r="F12" s="371">
        <f>+Calpine!A41</f>
        <v>37256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">
      <c r="A13" s="32" t="s">
        <v>141</v>
      </c>
      <c r="B13" s="351">
        <f>+'Citizens-Griffith'!D41</f>
        <v>67744.5</v>
      </c>
      <c r="C13" s="375">
        <f>+B13/$J$4</f>
        <v>30108.666666666668</v>
      </c>
      <c r="D13" s="14">
        <f>+'Citizens-Griffith'!D48</f>
        <v>36152</v>
      </c>
      <c r="E13" s="70">
        <f>+C13-D13</f>
        <v>-6043.3333333333321</v>
      </c>
      <c r="F13" s="371">
        <f>+'Citizens-Griffith'!A41</f>
        <v>37256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1">
        <f>+'NS Steel'!D41</f>
        <v>-355805.25</v>
      </c>
      <c r="C14" s="375">
        <f>+B14/$J$4</f>
        <v>-158135.66666666666</v>
      </c>
      <c r="D14" s="14">
        <f>+'NS Steel'!D50</f>
        <v>-44621</v>
      </c>
      <c r="E14" s="70">
        <f>+C14-D14</f>
        <v>-113514.66666666666</v>
      </c>
      <c r="F14" s="372">
        <f>+'NS Steel'!A41</f>
        <v>37256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">
      <c r="A15" s="204" t="s">
        <v>137</v>
      </c>
      <c r="B15" s="354">
        <f>+Citizens!D18</f>
        <v>-538712.04</v>
      </c>
      <c r="C15" s="377">
        <f>+B15/$J$4</f>
        <v>-239427.57333333336</v>
      </c>
      <c r="D15" s="355">
        <f>+Citizens!D24</f>
        <v>-37276</v>
      </c>
      <c r="E15" s="72">
        <f>+C15-D15</f>
        <v>-202151.57333333336</v>
      </c>
      <c r="F15" s="371">
        <f>+Citizens!A18</f>
        <v>37256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5" customHeight="1" outlineLevel="2" x14ac:dyDescent="0.2">
      <c r="A16" s="153" t="s">
        <v>159</v>
      </c>
      <c r="B16" s="395">
        <f>SUBTOTAL(9,B12:B15)</f>
        <v>-644967.79</v>
      </c>
      <c r="C16" s="401">
        <f>SUBTOTAL(9,C12:C15)</f>
        <v>-286652.35111111111</v>
      </c>
      <c r="D16" s="402">
        <f>SUBTOTAL(9,D12:D15)</f>
        <v>128658</v>
      </c>
      <c r="E16" s="403">
        <f>SUBTOTAL(9,E12:E15)</f>
        <v>-415310.35111111111</v>
      </c>
      <c r="F16" s="371"/>
      <c r="G16" s="203"/>
      <c r="H16" s="204"/>
      <c r="I16" s="357"/>
      <c r="J16" s="32"/>
      <c r="K16" s="32"/>
      <c r="T16" s="259"/>
    </row>
    <row r="17" spans="1:20" ht="9.9499999999999993" customHeight="1" outlineLevel="2" x14ac:dyDescent="0.2">
      <c r="G17" s="7"/>
    </row>
    <row r="18" spans="1:20" ht="15.95" customHeight="1" outlineLevel="2" x14ac:dyDescent="0.2">
      <c r="A18" s="405" t="s">
        <v>58</v>
      </c>
      <c r="G18" s="7"/>
    </row>
    <row r="19" spans="1:20" ht="13.5" customHeight="1" outlineLevel="2" x14ac:dyDescent="0.2">
      <c r="A19" s="32" t="s">
        <v>72</v>
      </c>
      <c r="B19" s="352">
        <f>+transcol!$D$43</f>
        <v>12821.4</v>
      </c>
      <c r="C19" s="375">
        <f>+B19/$J$4</f>
        <v>5698.4</v>
      </c>
      <c r="D19" s="14">
        <f>+transcol!D50</f>
        <v>-49782</v>
      </c>
      <c r="E19" s="70">
        <f>+C19-D19</f>
        <v>55480.4</v>
      </c>
      <c r="F19" s="372">
        <f>+transcol!A43</f>
        <v>37256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">
      <c r="A20" s="204" t="s">
        <v>96</v>
      </c>
      <c r="B20" s="354">
        <f>+burlington!D42</f>
        <v>47283.44</v>
      </c>
      <c r="C20" s="379">
        <f>+B20/$J$3</f>
        <v>21108.678571428569</v>
      </c>
      <c r="D20" s="355">
        <f>+burlington!D49</f>
        <v>20412</v>
      </c>
      <c r="E20" s="72">
        <f>+C20-D20</f>
        <v>696.67857142856883</v>
      </c>
      <c r="F20" s="371">
        <f>+burlington!A42</f>
        <v>37256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161</v>
      </c>
      <c r="B21" s="395">
        <f>SUBTOTAL(9,B19:B20)</f>
        <v>60104.840000000004</v>
      </c>
      <c r="C21" s="396">
        <f>SUBTOTAL(9,C19:C20)</f>
        <v>26807.078571428567</v>
      </c>
      <c r="D21" s="402">
        <f>SUBTOTAL(9,D19:D20)</f>
        <v>-29370</v>
      </c>
      <c r="E21" s="403">
        <f>SUBTOTAL(9,E19:E20)</f>
        <v>56177.078571428574</v>
      </c>
      <c r="F21" s="37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5" customHeight="1" outlineLevel="2" x14ac:dyDescent="0.2">
      <c r="A24" s="204" t="s">
        <v>88</v>
      </c>
      <c r="B24" s="351">
        <f>+NNG!$D$24</f>
        <v>58522.5</v>
      </c>
      <c r="C24" s="375">
        <f t="shared" ref="C24:C39" si="0">+B24/$J$4</f>
        <v>26010</v>
      </c>
      <c r="D24" s="14">
        <f>+NNG!D34</f>
        <v>26010</v>
      </c>
      <c r="E24" s="70">
        <f t="shared" ref="E24:E41" si="1">+C24-D24</f>
        <v>0</v>
      </c>
      <c r="F24" s="371">
        <f>+NNG!A24</f>
        <v>37256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1">
        <f>+Conoco!$F$41</f>
        <v>460431.19</v>
      </c>
      <c r="C25" s="375">
        <f t="shared" si="0"/>
        <v>204636.08444444445</v>
      </c>
      <c r="D25" s="14">
        <f>+Conoco!D48</f>
        <v>41311</v>
      </c>
      <c r="E25" s="70">
        <f t="shared" si="1"/>
        <v>163325.08444444445</v>
      </c>
      <c r="F25" s="371">
        <f>+Conoco!A41</f>
        <v>37256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">
      <c r="A26" s="32" t="s">
        <v>3</v>
      </c>
      <c r="B26" s="351">
        <f>+'Amoco Abo'!$F$43</f>
        <v>183895.58000000002</v>
      </c>
      <c r="C26" s="375">
        <f t="shared" si="0"/>
        <v>81731.368888888901</v>
      </c>
      <c r="D26" s="14">
        <f>+'Amoco Abo'!D49</f>
        <v>-353272</v>
      </c>
      <c r="E26" s="70">
        <f t="shared" si="1"/>
        <v>435003.36888888892</v>
      </c>
      <c r="F26" s="372">
        <f>+'Amoco Abo'!A43</f>
        <v>37256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">
      <c r="A27" s="32" t="s">
        <v>108</v>
      </c>
      <c r="B27" s="351">
        <f>+KN_Westar!F41</f>
        <v>375563.64</v>
      </c>
      <c r="C27" s="375">
        <f t="shared" si="0"/>
        <v>166917.17333333334</v>
      </c>
      <c r="D27" s="14">
        <f>+KN_Westar!D48</f>
        <v>-13723</v>
      </c>
      <c r="E27" s="70">
        <f t="shared" si="1"/>
        <v>180640.17333333334</v>
      </c>
      <c r="F27" s="372">
        <f>+KN_Westar!A41</f>
        <v>37250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494">
        <f>+DEFS!F53</f>
        <v>9377.3099999995902</v>
      </c>
      <c r="C28" s="376">
        <f t="shared" si="0"/>
        <v>4167.6933333331508</v>
      </c>
      <c r="D28" s="14">
        <f>+DEFS!M53</f>
        <v>331011</v>
      </c>
      <c r="E28" s="70">
        <f t="shared" si="1"/>
        <v>-326843.30666666687</v>
      </c>
      <c r="F28" s="372">
        <f>+DEFS!A40</f>
        <v>37256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1">
        <f>+mewborne!$J$43</f>
        <v>401413.07</v>
      </c>
      <c r="C29" s="375">
        <f t="shared" si="0"/>
        <v>178405.80888888889</v>
      </c>
      <c r="D29" s="14">
        <f>+mewborne!D49</f>
        <v>164528</v>
      </c>
      <c r="E29" s="70">
        <f t="shared" si="1"/>
        <v>13877.808888888889</v>
      </c>
      <c r="F29" s="372">
        <f>+mewborne!A43</f>
        <v>37256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1">
        <f>+PGETX!$H$39</f>
        <v>-68258.31</v>
      </c>
      <c r="C30" s="375">
        <f t="shared" si="0"/>
        <v>-30337.026666666665</v>
      </c>
      <c r="D30" s="14">
        <f>+PGETX!E48</f>
        <v>-5084</v>
      </c>
      <c r="E30" s="70">
        <f t="shared" si="1"/>
        <v>-25253.026666666665</v>
      </c>
      <c r="F30" s="372">
        <f>+PGETX!E39</f>
        <v>37256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">
      <c r="A31" s="32" t="s">
        <v>83</v>
      </c>
      <c r="B31" s="351">
        <f>+PNM!$D$23</f>
        <v>713715.32000000007</v>
      </c>
      <c r="C31" s="375">
        <f t="shared" si="0"/>
        <v>317206.80888888892</v>
      </c>
      <c r="D31" s="14">
        <f>+PNM!D30</f>
        <v>283678</v>
      </c>
      <c r="E31" s="70">
        <f t="shared" si="1"/>
        <v>33528.808888888918</v>
      </c>
      <c r="F31" s="372">
        <f>+PNM!A23</f>
        <v>37256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1">
        <f>+EOG!J41</f>
        <v>4884.9599999999991</v>
      </c>
      <c r="C32" s="375">
        <f t="shared" si="0"/>
        <v>2171.0933333333328</v>
      </c>
      <c r="D32" s="14">
        <f>+EOG!D48</f>
        <v>-125383</v>
      </c>
      <c r="E32" s="70">
        <f t="shared" si="1"/>
        <v>127554.09333333334</v>
      </c>
      <c r="F32" s="371">
        <f>+EOG!A41</f>
        <v>37256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1">
        <f>+SidR!D41</f>
        <v>45576.47</v>
      </c>
      <c r="C33" s="375">
        <f>+B33/$J$5</f>
        <v>20166.579646017701</v>
      </c>
      <c r="D33" s="14">
        <f>+SidR!D48</f>
        <v>21398</v>
      </c>
      <c r="E33" s="70">
        <f t="shared" si="1"/>
        <v>-1231.4203539822993</v>
      </c>
      <c r="F33" s="372">
        <f>+SidR!A41</f>
        <v>37256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214</v>
      </c>
      <c r="B34" s="351">
        <f>+Dominion!D41</f>
        <v>180031.53</v>
      </c>
      <c r="C34" s="375">
        <f>+B34/$J$5</f>
        <v>79659.969026548686</v>
      </c>
      <c r="D34" s="14">
        <f>+Dominion!D48</f>
        <v>78993</v>
      </c>
      <c r="E34" s="70">
        <f t="shared" si="1"/>
        <v>666.96902654868609</v>
      </c>
      <c r="F34" s="372">
        <f>+Dominion!A41</f>
        <v>37256</v>
      </c>
      <c r="G34" s="203"/>
      <c r="H34" s="32" t="s">
        <v>100</v>
      </c>
      <c r="I34" s="32"/>
      <c r="J34" s="32"/>
      <c r="K34" s="32"/>
    </row>
    <row r="35" spans="1:12" ht="14.1" customHeight="1" x14ac:dyDescent="0.2">
      <c r="A35" s="32" t="s">
        <v>211</v>
      </c>
      <c r="B35" s="351">
        <f>+WTGmktg!J43</f>
        <v>-35583.08</v>
      </c>
      <c r="C35" s="375">
        <f t="shared" si="0"/>
        <v>-15814.702222222222</v>
      </c>
      <c r="D35" s="14">
        <f>+WTGmktg!D50</f>
        <v>-3453</v>
      </c>
      <c r="E35" s="70">
        <f t="shared" si="1"/>
        <v>-12361.702222222222</v>
      </c>
      <c r="F35" s="372">
        <f>+WTGmktg!A43</f>
        <v>37256</v>
      </c>
      <c r="G35" s="203"/>
      <c r="H35" s="32" t="s">
        <v>116</v>
      </c>
      <c r="I35" s="32"/>
      <c r="J35" s="32"/>
      <c r="K35" s="32"/>
    </row>
    <row r="36" spans="1:12" ht="13.5" customHeight="1" x14ac:dyDescent="0.2">
      <c r="A36" s="32" t="s">
        <v>215</v>
      </c>
      <c r="B36" s="351">
        <f>+Devon!D41</f>
        <v>161290.23000000001</v>
      </c>
      <c r="C36" s="375">
        <f>+B36/$J$5</f>
        <v>71367.358407079664</v>
      </c>
      <c r="D36" s="14">
        <f>+Devon!D48</f>
        <v>33970</v>
      </c>
      <c r="E36" s="70">
        <f t="shared" si="1"/>
        <v>37397.358407079664</v>
      </c>
      <c r="F36" s="372">
        <f>+Devon!A41</f>
        <v>37256</v>
      </c>
      <c r="G36" s="203"/>
      <c r="H36" s="32" t="s">
        <v>100</v>
      </c>
      <c r="I36" s="32"/>
      <c r="J36" s="32"/>
      <c r="K36" s="32"/>
    </row>
    <row r="37" spans="1:12" ht="13.5" customHeight="1" x14ac:dyDescent="0.2">
      <c r="A37" s="32" t="s">
        <v>224</v>
      </c>
      <c r="B37" s="351">
        <f>+crosstex!F41</f>
        <v>-133109.25</v>
      </c>
      <c r="C37" s="375">
        <f>+B37/$J$4</f>
        <v>-59159.666666666664</v>
      </c>
      <c r="D37" s="14">
        <f>+crosstex!D48</f>
        <v>-40794</v>
      </c>
      <c r="E37" s="70">
        <f t="shared" si="1"/>
        <v>-18365.666666666664</v>
      </c>
      <c r="F37" s="372">
        <f>+crosstex!A41</f>
        <v>37256</v>
      </c>
      <c r="G37" s="203"/>
      <c r="H37" s="32" t="s">
        <v>101</v>
      </c>
      <c r="I37" s="32"/>
      <c r="J37" s="32"/>
      <c r="K37" s="32"/>
    </row>
    <row r="38" spans="1:12" ht="13.5" customHeight="1" x14ac:dyDescent="0.2">
      <c r="A38" s="32" t="s">
        <v>225</v>
      </c>
      <c r="B38" s="351">
        <f>+Amarillo!P41</f>
        <v>114286.65</v>
      </c>
      <c r="C38" s="375">
        <f>+B38/$J$4</f>
        <v>50794.066666666666</v>
      </c>
      <c r="D38" s="14">
        <f>+Amarillo!D48</f>
        <v>48091</v>
      </c>
      <c r="E38" s="70">
        <f t="shared" si="1"/>
        <v>2703.0666666666657</v>
      </c>
      <c r="F38" s="372">
        <f>+Amarillo!A41</f>
        <v>37256</v>
      </c>
      <c r="G38" s="203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1">
        <f>+Continental!F43</f>
        <v>34262.240000000005</v>
      </c>
      <c r="C39" s="376">
        <f t="shared" si="0"/>
        <v>15227.662222222225</v>
      </c>
      <c r="D39" s="14">
        <f>+Continental!D50</f>
        <v>748</v>
      </c>
      <c r="E39" s="70">
        <f t="shared" si="1"/>
        <v>14479.662222222225</v>
      </c>
      <c r="F39" s="372">
        <f>+Continental!A43</f>
        <v>37256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1">
        <f>+EPFS!D41</f>
        <v>85004.19</v>
      </c>
      <c r="C40" s="376">
        <f>+B40/$J$5</f>
        <v>37612.473451327438</v>
      </c>
      <c r="D40" s="14">
        <f>+EPFS!D47</f>
        <v>54582</v>
      </c>
      <c r="E40" s="70">
        <f t="shared" si="1"/>
        <v>-16969.526548672562</v>
      </c>
      <c r="F40" s="371">
        <f>+EPFS!A41</f>
        <v>37256</v>
      </c>
      <c r="G40" s="203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4" t="s">
        <v>80</v>
      </c>
      <c r="B41" s="354">
        <f>+Agave!$D$24</f>
        <v>68958.7</v>
      </c>
      <c r="C41" s="377">
        <f>+B41/$J$4</f>
        <v>30648.31111111111</v>
      </c>
      <c r="D41" s="355">
        <f>+Agave!D31</f>
        <v>44250</v>
      </c>
      <c r="E41" s="72">
        <f t="shared" si="1"/>
        <v>-13601.68888888889</v>
      </c>
      <c r="F41" s="371">
        <f>+Agave!A24</f>
        <v>37256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">
      <c r="A42" s="153" t="s">
        <v>164</v>
      </c>
      <c r="B42" s="395">
        <f>SUBTOTAL(9,B24:B41)</f>
        <v>2660262.94</v>
      </c>
      <c r="C42" s="401">
        <f>SUBTOTAL(9,C24:C41)</f>
        <v>1181411.0560865295</v>
      </c>
      <c r="D42" s="402">
        <f>SUBTOTAL(9,D24:D41)</f>
        <v>586861</v>
      </c>
      <c r="E42" s="403">
        <f>SUBTOTAL(9,E24:E41)</f>
        <v>594550.05608652893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">
      <c r="A43" s="204"/>
      <c r="H43" s="32"/>
      <c r="I43" s="204"/>
      <c r="J43" s="32"/>
      <c r="K43" s="32"/>
      <c r="L43" s="32"/>
    </row>
    <row r="44" spans="1:12" ht="17.100000000000001" customHeight="1" x14ac:dyDescent="0.2">
      <c r="A44" s="153" t="s">
        <v>165</v>
      </c>
      <c r="B44" s="395">
        <f>SUBTOTAL(9,B12:B41)</f>
        <v>2075399.9899999993</v>
      </c>
      <c r="C44" s="401">
        <f>SUBTOTAL(9,C12:C41)</f>
        <v>921565.78354684648</v>
      </c>
      <c r="D44" s="402">
        <f>SUBTOTAL(9,D12:D41)</f>
        <v>686149</v>
      </c>
      <c r="E44" s="403">
        <f>SUBTOTAL(9,E12:E41)</f>
        <v>235416.78354684642</v>
      </c>
      <c r="F44" s="371"/>
      <c r="G44" s="204"/>
      <c r="H44" s="32"/>
      <c r="I44" s="204"/>
      <c r="J44" s="32"/>
      <c r="K44" s="32"/>
      <c r="L44" s="32"/>
    </row>
    <row r="45" spans="1:12" ht="12.95" customHeight="1" x14ac:dyDescent="0.2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">
      <c r="D50" s="7"/>
      <c r="I50" s="391" t="s">
        <v>30</v>
      </c>
      <c r="J50" s="394">
        <v>2.2400000000000002</v>
      </c>
      <c r="K50" s="410">
        <f ca="1">NOW()</f>
        <v>41885.682435532406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392" t="s">
        <v>31</v>
      </c>
      <c r="J51" s="394">
        <v>2.25</v>
      </c>
      <c r="K51" s="32"/>
    </row>
    <row r="52" spans="1:19" ht="13.5" customHeight="1" outlineLevel="1" x14ac:dyDescent="0.2">
      <c r="D52" s="7"/>
      <c r="I52" s="391" t="s">
        <v>118</v>
      </c>
      <c r="J52" s="394">
        <v>2.2599999999999998</v>
      </c>
      <c r="K52" s="32"/>
    </row>
    <row r="53" spans="1:19" ht="13.5" customHeight="1" outlineLevel="2" x14ac:dyDescent="0.2"/>
    <row r="54" spans="1:19" ht="13.5" customHeight="1" outlineLevel="2" x14ac:dyDescent="0.2">
      <c r="A54" s="408" t="s">
        <v>167</v>
      </c>
      <c r="B54" s="409"/>
      <c r="E54" s="12" t="s">
        <v>204</v>
      </c>
    </row>
    <row r="55" spans="1:19" ht="13.5" customHeight="1" outlineLevel="2" x14ac:dyDescent="0.2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86"/>
      <c r="C57" s="247"/>
    </row>
    <row r="58" spans="1:19" ht="13.5" customHeight="1" outlineLevel="1" x14ac:dyDescent="0.2">
      <c r="A58" s="373" t="s">
        <v>158</v>
      </c>
      <c r="B58" s="286"/>
      <c r="C58" s="247"/>
    </row>
    <row r="59" spans="1:19" ht="13.5" customHeight="1" outlineLevel="2" x14ac:dyDescent="0.2">
      <c r="A59" s="32" t="s">
        <v>95</v>
      </c>
      <c r="B59" s="375">
        <f>+Mojave!D40</f>
        <v>186825</v>
      </c>
      <c r="C59" s="351">
        <f>+B59*$J$4</f>
        <v>420356.25</v>
      </c>
      <c r="D59" s="47">
        <f>+Mojave!D47</f>
        <v>199817.54</v>
      </c>
      <c r="E59" s="47">
        <f>+C59-D59</f>
        <v>220538.71</v>
      </c>
      <c r="F59" s="372">
        <f>+Mojave!A40</f>
        <v>37256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">
      <c r="A60" s="32" t="s">
        <v>33</v>
      </c>
      <c r="B60" s="376">
        <f>+SoCal!F40</f>
        <v>104420</v>
      </c>
      <c r="C60" s="351">
        <f>+B60*$J$4</f>
        <v>234945</v>
      </c>
      <c r="D60" s="47">
        <f>+SoCal!D47</f>
        <v>331916.74</v>
      </c>
      <c r="E60" s="47">
        <f>+C60-D60</f>
        <v>-96971.739999999991</v>
      </c>
      <c r="F60" s="372">
        <f>+SoCal!A40</f>
        <v>37256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185</v>
      </c>
      <c r="B61" s="375">
        <f>+'El Paso'!C39</f>
        <v>64166</v>
      </c>
      <c r="C61" s="351">
        <f>+B61*$J$4</f>
        <v>144373.5</v>
      </c>
      <c r="D61" s="47">
        <f>+'El Paso'!C46</f>
        <v>-1583192.76</v>
      </c>
      <c r="E61" s="47">
        <f>+C61-D61</f>
        <v>1727566.26</v>
      </c>
      <c r="F61" s="372">
        <f>+'El Paso'!A39</f>
        <v>37256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">
      <c r="A62" s="32" t="s">
        <v>115</v>
      </c>
      <c r="B62" s="377">
        <f>+'PG&amp;E'!D40</f>
        <v>59071</v>
      </c>
      <c r="C62" s="354">
        <f>+B62*$J$4</f>
        <v>132909.75</v>
      </c>
      <c r="D62" s="354">
        <f>+'PG&amp;E'!D47</f>
        <v>12453.25</v>
      </c>
      <c r="E62" s="354">
        <f>+C62-D62</f>
        <v>120456.5</v>
      </c>
      <c r="F62" s="372">
        <f>+'PG&amp;E'!A40</f>
        <v>37256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159</v>
      </c>
      <c r="B63" s="401">
        <f>SUBTOTAL(9,B59:B62)</f>
        <v>414482</v>
      </c>
      <c r="C63" s="395">
        <f>SUBTOTAL(9,C59:C62)</f>
        <v>932584.5</v>
      </c>
      <c r="D63" s="395">
        <f>SUBTOTAL(9,D59:D62)</f>
        <v>-1039005.23</v>
      </c>
      <c r="E63" s="395">
        <f>SUBTOTAL(9,E59:E62)</f>
        <v>1971589.73</v>
      </c>
      <c r="F63" s="372"/>
      <c r="G63" s="203"/>
      <c r="H63" s="32"/>
      <c r="I63" s="32"/>
      <c r="J63" s="32"/>
      <c r="K63" s="32"/>
    </row>
    <row r="64" spans="1:19" ht="12.95" customHeight="1" x14ac:dyDescent="0.2">
      <c r="B64" s="286"/>
      <c r="C64" s="247"/>
      <c r="G64" s="203"/>
    </row>
    <row r="65" spans="1:11" ht="15" customHeight="1" x14ac:dyDescent="0.2">
      <c r="A65" s="373" t="s">
        <v>58</v>
      </c>
      <c r="B65" s="286"/>
      <c r="C65" s="247"/>
      <c r="G65" s="203"/>
    </row>
    <row r="66" spans="1:11" x14ac:dyDescent="0.2">
      <c r="A66" s="204" t="s">
        <v>29</v>
      </c>
      <c r="B66" s="375">
        <f>+williams!J40</f>
        <v>-34332</v>
      </c>
      <c r="C66" s="351">
        <f>+B66*$J$3</f>
        <v>-76903.680000000008</v>
      </c>
      <c r="D66" s="47">
        <f>+williams!D48</f>
        <v>-76903.680000000008</v>
      </c>
      <c r="E66" s="47">
        <f>+C66-D66</f>
        <v>0</v>
      </c>
      <c r="F66" s="371">
        <f>+williams!A40</f>
        <v>37256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434618.37999999995</v>
      </c>
      <c r="E67" s="47">
        <f>+C67-D67</f>
        <v>-434618.37999999995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">
      <c r="A68" s="32" t="s">
        <v>6</v>
      </c>
      <c r="B68" s="375">
        <f>+Amoco!D40</f>
        <v>-30210</v>
      </c>
      <c r="C68" s="351">
        <f>+B68*$J$3</f>
        <v>-67670.400000000009</v>
      </c>
      <c r="D68" s="47">
        <f>+Amoco!D47</f>
        <v>272582.12</v>
      </c>
      <c r="E68" s="47">
        <f>+C68-D68</f>
        <v>-340252.52</v>
      </c>
      <c r="F68" s="372">
        <f>+Amoco!A40</f>
        <v>37256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">
      <c r="A69" s="32" t="s">
        <v>186</v>
      </c>
      <c r="B69" s="375">
        <f>+'El Paso'!E39</f>
        <v>-29789</v>
      </c>
      <c r="C69" s="351">
        <f>+B69*$J$3</f>
        <v>-66727.360000000001</v>
      </c>
      <c r="D69" s="47">
        <f>+'El Paso'!F46</f>
        <v>-657485.76</v>
      </c>
      <c r="E69" s="47">
        <f>+C69-D69</f>
        <v>590758.40000000002</v>
      </c>
      <c r="F69" s="372">
        <f>+'El Paso'!A39</f>
        <v>37256</v>
      </c>
      <c r="G69" s="428"/>
      <c r="H69" s="32" t="s">
        <v>101</v>
      </c>
      <c r="I69" s="32" t="s">
        <v>176</v>
      </c>
      <c r="J69" s="32"/>
      <c r="K69" s="32"/>
    </row>
    <row r="70" spans="1:11" x14ac:dyDescent="0.2">
      <c r="A70" s="32" t="s">
        <v>1</v>
      </c>
      <c r="B70" s="377">
        <f>+NW!$F$41</f>
        <v>-22389</v>
      </c>
      <c r="C70" s="354">
        <f>+B70*$J$3</f>
        <v>-50151.360000000008</v>
      </c>
      <c r="D70" s="354">
        <f>+NW!E49</f>
        <v>-507607.8</v>
      </c>
      <c r="E70" s="354">
        <f>+C70-D70</f>
        <v>457456.44</v>
      </c>
      <c r="F70" s="371">
        <f>+NW!B41</f>
        <v>37256</v>
      </c>
      <c r="G70" s="203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160</v>
      </c>
      <c r="B71" s="401">
        <f>SUBTOTAL(9,B66:B70)</f>
        <v>-116720</v>
      </c>
      <c r="C71" s="395">
        <f>SUBTOTAL(9,C66:C70)</f>
        <v>-261452.80000000002</v>
      </c>
      <c r="D71" s="395">
        <f>SUBTOTAL(9,D66:D70)</f>
        <v>-534796.74</v>
      </c>
      <c r="E71" s="395">
        <f>SUBTOTAL(9,E66:E70)</f>
        <v>273343.94000000012</v>
      </c>
      <c r="F71" s="371"/>
      <c r="G71" s="203"/>
      <c r="H71" s="32"/>
      <c r="I71" s="32"/>
      <c r="J71" s="32"/>
      <c r="K71" s="32"/>
    </row>
    <row r="72" spans="1:11" x14ac:dyDescent="0.2">
      <c r="B72" s="286"/>
      <c r="C72" s="247"/>
      <c r="G72" s="203"/>
    </row>
    <row r="73" spans="1:11" x14ac:dyDescent="0.2">
      <c r="A73" s="373" t="s">
        <v>162</v>
      </c>
      <c r="B73" s="286"/>
      <c r="C73" s="247"/>
      <c r="G73" s="203"/>
    </row>
    <row r="74" spans="1:11" x14ac:dyDescent="0.2">
      <c r="A74" s="32" t="s">
        <v>89</v>
      </c>
      <c r="B74" s="375">
        <f>+NGPL!F38</f>
        <v>116110</v>
      </c>
      <c r="C74" s="351">
        <f>+B74*$J$5</f>
        <v>262408.59999999998</v>
      </c>
      <c r="D74" s="47">
        <f>+NGPL!D45</f>
        <v>296376.05</v>
      </c>
      <c r="E74" s="47">
        <f>+C74-D74</f>
        <v>-33967.450000000012</v>
      </c>
      <c r="F74" s="372">
        <f>+NGPL!A38</f>
        <v>37256</v>
      </c>
      <c r="G74" s="203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75">
        <f>+PEPL!D41</f>
        <v>-8253</v>
      </c>
      <c r="C75" s="352">
        <f>+B75*$J$4</f>
        <v>-18569.25</v>
      </c>
      <c r="D75" s="47">
        <f>+PEPL!D47</f>
        <v>163234.97</v>
      </c>
      <c r="E75" s="47">
        <f>+C75-D75</f>
        <v>-181804.22</v>
      </c>
      <c r="F75" s="372">
        <f>+PEPL!A41</f>
        <v>37256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6">
        <f>+CIG!D42</f>
        <v>16328</v>
      </c>
      <c r="C76" s="352">
        <f>+B76*$J$4</f>
        <v>36738</v>
      </c>
      <c r="D76" s="200">
        <f>+CIG!D49</f>
        <v>383278.2</v>
      </c>
      <c r="E76" s="70">
        <f>+C76-D76</f>
        <v>-346540.2</v>
      </c>
      <c r="F76" s="372">
        <f>+CIG!A42</f>
        <v>37256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">
      <c r="A77" s="32" t="s">
        <v>7</v>
      </c>
      <c r="B77" s="376">
        <f>+Oasis!D40</f>
        <v>-33833.970000000008</v>
      </c>
      <c r="C77" s="351">
        <f>+B77*$J$4</f>
        <v>-76126.432500000024</v>
      </c>
      <c r="D77" s="47">
        <f>+Oasis!D47</f>
        <v>-18444</v>
      </c>
      <c r="E77" s="47">
        <f>+C77-D77</f>
        <v>-57682.432500000024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79">
        <f>+Lonestar!F42</f>
        <v>21213.360000000001</v>
      </c>
      <c r="C78" s="354">
        <f>+B78*$J$4</f>
        <v>47730.06</v>
      </c>
      <c r="D78" s="354">
        <f>+Lonestar!D49</f>
        <v>-562</v>
      </c>
      <c r="E78" s="354">
        <f>+C78-D78</f>
        <v>48292.06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">
      <c r="A79" s="2" t="s">
        <v>163</v>
      </c>
      <c r="B79" s="396">
        <f>SUBTOTAL(9,B74:B78)</f>
        <v>111564.39</v>
      </c>
      <c r="C79" s="395">
        <f>SUBTOTAL(9,C74:C78)</f>
        <v>252180.97749999995</v>
      </c>
      <c r="D79" s="395">
        <f>SUBTOTAL(9,D74:D78)</f>
        <v>823883.22</v>
      </c>
      <c r="E79" s="395">
        <f>SUBTOTAL(9,E74:E78)</f>
        <v>-571702.24249999993</v>
      </c>
      <c r="F79" s="371"/>
      <c r="H79" s="32"/>
      <c r="I79" s="32"/>
      <c r="J79" s="32"/>
      <c r="K79" s="32"/>
    </row>
    <row r="80" spans="1:11" x14ac:dyDescent="0.2">
      <c r="B80" s="286"/>
      <c r="C80" s="247"/>
    </row>
    <row r="81" spans="1:12" x14ac:dyDescent="0.2">
      <c r="A81" s="2" t="s">
        <v>168</v>
      </c>
      <c r="B81" s="396">
        <f>SUBTOTAL(9,B59:B78)</f>
        <v>409326.38999999996</v>
      </c>
      <c r="C81" s="395">
        <f>SUBTOTAL(9,C59:C78)</f>
        <v>923312.67749999999</v>
      </c>
      <c r="D81" s="395">
        <f>SUBTOTAL(9,D59:D78)</f>
        <v>-749918.75</v>
      </c>
      <c r="E81" s="395">
        <f>SUBTOTAL(9,E59:E78)</f>
        <v>1673231.4274999998</v>
      </c>
      <c r="F81" s="371"/>
      <c r="H81" s="32"/>
      <c r="I81" s="32"/>
      <c r="J81" s="32"/>
      <c r="K81" s="32"/>
    </row>
    <row r="82" spans="1:12" x14ac:dyDescent="0.2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5" thickBot="1" x14ac:dyDescent="0.25">
      <c r="A84" s="2" t="s">
        <v>170</v>
      </c>
      <c r="B84" s="404">
        <f>+C81+B44</f>
        <v>2998712.6674999995</v>
      </c>
      <c r="C84" s="206"/>
      <c r="D84" s="351"/>
      <c r="E84" s="351"/>
      <c r="F84" s="358"/>
      <c r="H84" s="32"/>
      <c r="I84" s="32"/>
      <c r="J84" s="32"/>
      <c r="K84" s="32"/>
    </row>
    <row r="85" spans="1:12" ht="13.5" thickTop="1" x14ac:dyDescent="0.2">
      <c r="A85" s="2" t="s">
        <v>171</v>
      </c>
      <c r="B85" s="14">
        <f>+B81+C44</f>
        <v>1330892.1735468465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0"/>
      <c r="C89" s="294"/>
      <c r="D89" s="16"/>
      <c r="E89" s="32"/>
      <c r="F89" s="32"/>
      <c r="G89" s="32"/>
      <c r="H89" s="32"/>
    </row>
    <row r="95" spans="1:12" x14ac:dyDescent="0.2">
      <c r="A95" s="32"/>
      <c r="B95" s="200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0"/>
      <c r="C98" s="14"/>
      <c r="D98" s="70"/>
      <c r="E98" s="32"/>
      <c r="F98" s="32"/>
      <c r="G98" s="32"/>
      <c r="H98" s="32"/>
    </row>
    <row r="99" spans="1:8" x14ac:dyDescent="0.2">
      <c r="A99" s="32"/>
      <c r="B99" s="200"/>
      <c r="C99" s="69"/>
      <c r="D99" s="70"/>
      <c r="E99" s="32"/>
      <c r="F99" s="32"/>
      <c r="G99" s="32"/>
      <c r="H99" s="32"/>
    </row>
    <row r="100" spans="1:8" x14ac:dyDescent="0.2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B39" sqref="B3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>
        <v>100249</v>
      </c>
      <c r="C23" s="419">
        <v>98417</v>
      </c>
      <c r="D23" s="310">
        <f t="shared" si="0"/>
        <v>-1832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>
        <v>98119</v>
      </c>
      <c r="C24" s="445">
        <v>96237</v>
      </c>
      <c r="D24" s="498">
        <f t="shared" si="0"/>
        <v>-1882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>
        <v>126430</v>
      </c>
      <c r="C25" s="445">
        <v>125497</v>
      </c>
      <c r="D25" s="498">
        <f t="shared" si="0"/>
        <v>-933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>
        <v>98320</v>
      </c>
      <c r="C26" s="445">
        <v>96237</v>
      </c>
      <c r="D26" s="498">
        <f t="shared" si="0"/>
        <v>-2083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>
        <v>128666</v>
      </c>
      <c r="C27" s="445">
        <v>127851</v>
      </c>
      <c r="D27" s="498">
        <f t="shared" si="0"/>
        <v>-815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>
        <v>129018</v>
      </c>
      <c r="C28" s="445">
        <v>126608</v>
      </c>
      <c r="D28" s="498">
        <f t="shared" si="0"/>
        <v>-2410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>
        <v>141956</v>
      </c>
      <c r="C29" s="445">
        <v>135259</v>
      </c>
      <c r="D29" s="498">
        <f t="shared" si="0"/>
        <v>-6697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>
        <v>136288</v>
      </c>
      <c r="C30" s="445">
        <v>133973</v>
      </c>
      <c r="D30" s="498">
        <f t="shared" si="0"/>
        <v>-2315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>
        <v>134730</v>
      </c>
      <c r="C31" s="419">
        <v>132198</v>
      </c>
      <c r="D31" s="310">
        <f t="shared" si="0"/>
        <v>-2532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>
        <v>102542</v>
      </c>
      <c r="C32" s="419">
        <v>100321</v>
      </c>
      <c r="D32" s="310">
        <f t="shared" si="0"/>
        <v>-2221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>
        <v>131265</v>
      </c>
      <c r="C33" s="419">
        <v>130675</v>
      </c>
      <c r="D33" s="310">
        <f t="shared" si="0"/>
        <v>-590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>
        <v>121742</v>
      </c>
      <c r="C34" s="419">
        <v>119182</v>
      </c>
      <c r="D34" s="310">
        <f t="shared" si="0"/>
        <v>-2560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>
        <v>114424</v>
      </c>
      <c r="C35" s="419">
        <v>112976</v>
      </c>
      <c r="D35" s="310">
        <f t="shared" si="0"/>
        <v>-1448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>
        <v>129578</v>
      </c>
      <c r="C36" s="419">
        <v>128094</v>
      </c>
      <c r="D36" s="310">
        <f t="shared" si="0"/>
        <v>-1484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3485055</v>
      </c>
      <c r="C37" s="419">
        <f>SUM(C6:C36)</f>
        <v>3502061</v>
      </c>
      <c r="D37" s="419">
        <f>SUM(D6:D36)</f>
        <v>17006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37225</v>
      </c>
      <c r="B39" s="285"/>
      <c r="C39" s="443"/>
      <c r="D39" s="511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37256</v>
      </c>
      <c r="B40" s="285"/>
      <c r="C40" s="444"/>
      <c r="D40" s="310">
        <f>+D39+D37</f>
        <v>-30210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37225</v>
      </c>
      <c r="B45" s="32"/>
      <c r="C45" s="32"/>
      <c r="D45" s="512">
        <v>234488.68</v>
      </c>
      <c r="H45">
        <v>12</v>
      </c>
    </row>
    <row r="46" spans="1:16" x14ac:dyDescent="0.2">
      <c r="A46" s="49">
        <f>+A40</f>
        <v>37256</v>
      </c>
      <c r="B46" s="32"/>
      <c r="C46" s="32"/>
      <c r="D46" s="382">
        <f>+D37*'by type_area'!J3</f>
        <v>38093.440000000002</v>
      </c>
      <c r="H46">
        <v>500</v>
      </c>
    </row>
    <row r="47" spans="1:16" x14ac:dyDescent="0.2">
      <c r="A47" s="32"/>
      <c r="B47" s="32"/>
      <c r="C47" s="32"/>
      <c r="D47" s="200">
        <f>+D46+D45</f>
        <v>272582.12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B36" sqref="B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-6724</v>
      </c>
      <c r="C22" s="24">
        <v>-6666</v>
      </c>
      <c r="D22" s="24">
        <f t="shared" si="0"/>
        <v>58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-12435</v>
      </c>
      <c r="C23" s="24">
        <v>-12000</v>
      </c>
      <c r="D23" s="24">
        <f t="shared" si="0"/>
        <v>435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-22170</v>
      </c>
      <c r="C24" s="24">
        <v>-22000</v>
      </c>
      <c r="D24" s="24">
        <f t="shared" si="0"/>
        <v>170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>
        <v>-6000</v>
      </c>
      <c r="D30" s="24">
        <f t="shared" si="0"/>
        <v>-6000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-37828</v>
      </c>
      <c r="C31" s="24">
        <v>-33834</v>
      </c>
      <c r="D31" s="24">
        <f t="shared" si="0"/>
        <v>3994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-3761</v>
      </c>
      <c r="C32" s="24">
        <v>-5760</v>
      </c>
      <c r="D32" s="24">
        <f t="shared" si="0"/>
        <v>-1999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-12221</v>
      </c>
      <c r="C33" s="24">
        <v>-12131</v>
      </c>
      <c r="D33" s="24">
        <f t="shared" si="0"/>
        <v>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-12258</v>
      </c>
      <c r="C34" s="24">
        <v>-12131</v>
      </c>
      <c r="D34" s="24">
        <f t="shared" si="0"/>
        <v>127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>
        <v>-5356</v>
      </c>
      <c r="C35" s="24">
        <v>-5000</v>
      </c>
      <c r="D35" s="24">
        <f t="shared" si="0"/>
        <v>356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-234995</v>
      </c>
      <c r="C36" s="24">
        <f>SUM(C5:C35)</f>
        <v>-212126</v>
      </c>
      <c r="D36" s="24">
        <f t="shared" si="0"/>
        <v>22869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2.2599999999999998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51683.939999999995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37225</v>
      </c>
      <c r="B39"/>
      <c r="C39" s="15"/>
      <c r="D39" s="519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37256</v>
      </c>
      <c r="B40"/>
      <c r="C40" s="48"/>
      <c r="D40" s="138">
        <f>+D39+D38</f>
        <v>-33833.970000000008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37225</v>
      </c>
      <c r="B45" s="32"/>
      <c r="C45" s="32"/>
      <c r="D45" s="509">
        <v>-41313</v>
      </c>
    </row>
    <row r="46" spans="1:65" x14ac:dyDescent="0.2">
      <c r="A46" s="49">
        <f>+A40</f>
        <v>37256</v>
      </c>
      <c r="B46" s="32"/>
      <c r="C46" s="32"/>
      <c r="D46" s="355">
        <f>+D36</f>
        <v>22869</v>
      </c>
    </row>
    <row r="47" spans="1:65" x14ac:dyDescent="0.2">
      <c r="A47" s="32"/>
      <c r="B47" s="32"/>
      <c r="C47" s="32"/>
      <c r="D47" s="14">
        <f>+D46+D45</f>
        <v>-18444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56339</v>
      </c>
      <c r="B5" s="90">
        <f>884474+32544+31570</f>
        <v>948588</v>
      </c>
      <c r="C5" s="90">
        <v>1058857</v>
      </c>
      <c r="D5" s="90">
        <f>+C5-B5</f>
        <v>110269</v>
      </c>
      <c r="E5" s="275"/>
      <c r="F5" s="27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f>913216+30471</f>
        <v>943687</v>
      </c>
      <c r="C7" s="90">
        <v>1028469</v>
      </c>
      <c r="D7" s="90">
        <f t="shared" si="0"/>
        <v>84782</v>
      </c>
      <c r="E7" s="275"/>
      <c r="F7" s="273"/>
      <c r="L7" t="s">
        <v>26</v>
      </c>
      <c r="M7">
        <v>7.6</v>
      </c>
    </row>
    <row r="8" spans="1:13" x14ac:dyDescent="0.2">
      <c r="A8" s="87">
        <v>500239</v>
      </c>
      <c r="B8" s="90">
        <f>1164343+38795</f>
        <v>1203138</v>
      </c>
      <c r="C8" s="90">
        <v>1096770</v>
      </c>
      <c r="D8" s="90">
        <f t="shared" si="0"/>
        <v>-106368</v>
      </c>
      <c r="E8" s="464">
        <v>37198</v>
      </c>
      <c r="F8" s="273"/>
    </row>
    <row r="9" spans="1:13" x14ac:dyDescent="0.2">
      <c r="A9" s="87">
        <v>500293</v>
      </c>
      <c r="B9" s="90">
        <f>510496+17459</f>
        <v>527955</v>
      </c>
      <c r="C9" s="90">
        <v>615433</v>
      </c>
      <c r="D9" s="90">
        <f t="shared" si="0"/>
        <v>87478</v>
      </c>
      <c r="E9" s="275"/>
      <c r="F9" s="273"/>
    </row>
    <row r="10" spans="1:13" x14ac:dyDescent="0.2">
      <c r="A10" s="87">
        <v>500302</v>
      </c>
      <c r="B10" s="90"/>
      <c r="C10" s="90">
        <v>9941</v>
      </c>
      <c r="D10" s="90">
        <f t="shared" si="0"/>
        <v>9941</v>
      </c>
      <c r="E10" s="275"/>
      <c r="F10" s="273"/>
    </row>
    <row r="11" spans="1:13" x14ac:dyDescent="0.2">
      <c r="A11" s="87">
        <v>500303</v>
      </c>
      <c r="B11" s="90"/>
      <c r="C11" s="90">
        <v>325717</v>
      </c>
      <c r="D11" s="90">
        <f t="shared" si="0"/>
        <v>325717</v>
      </c>
      <c r="E11" s="275"/>
      <c r="F11" s="273"/>
    </row>
    <row r="12" spans="1:13" x14ac:dyDescent="0.2">
      <c r="A12" s="91">
        <v>500305</v>
      </c>
      <c r="B12" s="90">
        <f>1646012+52083</f>
        <v>1698095</v>
      </c>
      <c r="C12" s="90">
        <v>1369116</v>
      </c>
      <c r="D12" s="90">
        <f t="shared" si="0"/>
        <v>-328979</v>
      </c>
      <c r="E12" s="276"/>
      <c r="F12" s="273"/>
    </row>
    <row r="13" spans="1:13" x14ac:dyDescent="0.2">
      <c r="A13" s="87">
        <v>500307</v>
      </c>
      <c r="B13" s="90">
        <f>109265+3557</f>
        <v>112822</v>
      </c>
      <c r="C13" s="90">
        <v>65968</v>
      </c>
      <c r="D13" s="90">
        <f t="shared" si="0"/>
        <v>-46854</v>
      </c>
      <c r="E13" s="275"/>
      <c r="F13" s="273"/>
    </row>
    <row r="14" spans="1:13" x14ac:dyDescent="0.2">
      <c r="A14" s="87">
        <v>500313</v>
      </c>
      <c r="B14" s="90"/>
      <c r="C14" s="90">
        <v>3131</v>
      </c>
      <c r="D14" s="90">
        <f t="shared" si="0"/>
        <v>3131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107540</v>
      </c>
      <c r="C16" s="90"/>
      <c r="D16" s="90">
        <f t="shared" si="0"/>
        <v>-107540</v>
      </c>
      <c r="E16" s="275"/>
      <c r="F16" s="273"/>
    </row>
    <row r="17" spans="1:6" x14ac:dyDescent="0.2">
      <c r="A17" s="87">
        <v>500657</v>
      </c>
      <c r="B17" s="88">
        <f>171861+5827</f>
        <v>177688</v>
      </c>
      <c r="C17" s="88">
        <v>158797</v>
      </c>
      <c r="D17" s="94">
        <f t="shared" si="0"/>
        <v>-18891</v>
      </c>
      <c r="E17" s="275"/>
      <c r="F17" s="273"/>
    </row>
    <row r="18" spans="1:6" x14ac:dyDescent="0.2">
      <c r="A18" s="87"/>
      <c r="B18" s="88"/>
      <c r="C18" s="88"/>
      <c r="D18" s="88">
        <f>SUM(D5:D17)</f>
        <v>12686</v>
      </c>
      <c r="E18" s="275"/>
      <c r="F18" s="273"/>
    </row>
    <row r="19" spans="1:6" x14ac:dyDescent="0.2">
      <c r="A19" s="87" t="s">
        <v>82</v>
      </c>
      <c r="B19" s="88"/>
      <c r="C19" s="88"/>
      <c r="D19" s="95">
        <f>+summary!H5</f>
        <v>2.2599999999999998</v>
      </c>
      <c r="E19" s="277"/>
      <c r="F19" s="273"/>
    </row>
    <row r="20" spans="1:6" x14ac:dyDescent="0.2">
      <c r="A20" s="87"/>
      <c r="B20" s="88"/>
      <c r="C20" s="88"/>
      <c r="D20" s="96">
        <f>+D19*D18</f>
        <v>28670.359999999997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37225</v>
      </c>
      <c r="B22" s="88"/>
      <c r="C22" s="88"/>
      <c r="D22" s="516">
        <v>40288.339999999997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37256</v>
      </c>
      <c r="B24" s="88"/>
      <c r="C24" s="88"/>
      <c r="D24" s="321">
        <f>+D22+D20</f>
        <v>68958.7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152</v>
      </c>
      <c r="B28" s="32"/>
      <c r="C28" s="32"/>
      <c r="D28" s="32"/>
      <c r="E28" s="348"/>
    </row>
    <row r="29" spans="1:6" x14ac:dyDescent="0.2">
      <c r="A29" s="49">
        <f>+A22</f>
        <v>37225</v>
      </c>
      <c r="B29" s="32"/>
      <c r="C29" s="32"/>
      <c r="D29" s="509">
        <v>31564</v>
      </c>
    </row>
    <row r="30" spans="1:6" x14ac:dyDescent="0.2">
      <c r="A30" s="49">
        <f>+A24</f>
        <v>37256</v>
      </c>
      <c r="B30" s="32"/>
      <c r="C30" s="32"/>
      <c r="D30" s="355">
        <f>+D18</f>
        <v>12686</v>
      </c>
    </row>
    <row r="31" spans="1:6" x14ac:dyDescent="0.2">
      <c r="A31" s="32"/>
      <c r="B31" s="32"/>
      <c r="C31" s="32"/>
      <c r="D31" s="14">
        <f>+D30+D29</f>
        <v>44250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C51" sqref="C5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>
        <v>36836</v>
      </c>
      <c r="C20" s="11">
        <v>38113</v>
      </c>
      <c r="D20" s="11">
        <v>32200</v>
      </c>
      <c r="E20" s="11">
        <v>32622</v>
      </c>
      <c r="F20" s="25">
        <f t="shared" si="2"/>
        <v>1699</v>
      </c>
      <c r="G20" s="25"/>
    </row>
    <row r="21" spans="1:7" x14ac:dyDescent="0.2">
      <c r="A21" s="41">
        <v>18</v>
      </c>
      <c r="B21" s="11">
        <v>35248</v>
      </c>
      <c r="C21" s="11">
        <v>38712</v>
      </c>
      <c r="D21" s="129">
        <v>31265</v>
      </c>
      <c r="E21" s="11">
        <v>33145</v>
      </c>
      <c r="F21" s="25">
        <f t="shared" si="2"/>
        <v>5344</v>
      </c>
      <c r="G21" s="25"/>
    </row>
    <row r="22" spans="1:7" x14ac:dyDescent="0.2">
      <c r="A22" s="41">
        <v>19</v>
      </c>
      <c r="B22" s="11">
        <v>34378</v>
      </c>
      <c r="C22" s="11">
        <v>38711</v>
      </c>
      <c r="D22" s="11">
        <v>33089</v>
      </c>
      <c r="E22" s="11">
        <v>33145</v>
      </c>
      <c r="F22" s="25">
        <f t="shared" si="2"/>
        <v>4389</v>
      </c>
      <c r="G22" s="25"/>
    </row>
    <row r="23" spans="1:7" x14ac:dyDescent="0.2">
      <c r="A23" s="41">
        <v>20</v>
      </c>
      <c r="B23" s="11">
        <v>37388</v>
      </c>
      <c r="C23" s="11">
        <v>36712</v>
      </c>
      <c r="D23" s="11">
        <v>31473</v>
      </c>
      <c r="E23" s="11">
        <v>33145</v>
      </c>
      <c r="F23" s="25">
        <f t="shared" si="2"/>
        <v>996</v>
      </c>
      <c r="G23" s="25"/>
    </row>
    <row r="24" spans="1:7" x14ac:dyDescent="0.2">
      <c r="A24" s="41">
        <v>21</v>
      </c>
      <c r="B24" s="11">
        <v>38372</v>
      </c>
      <c r="C24" s="11">
        <v>36712</v>
      </c>
      <c r="D24" s="11">
        <v>30439</v>
      </c>
      <c r="E24" s="11">
        <v>33145</v>
      </c>
      <c r="F24" s="25">
        <f t="shared" si="2"/>
        <v>1046</v>
      </c>
      <c r="G24" s="25"/>
    </row>
    <row r="25" spans="1:7" x14ac:dyDescent="0.2">
      <c r="A25" s="41">
        <v>22</v>
      </c>
      <c r="B25" s="11">
        <v>37555</v>
      </c>
      <c r="C25" s="11">
        <v>38698</v>
      </c>
      <c r="D25" s="11">
        <v>30323</v>
      </c>
      <c r="E25" s="11">
        <v>33133</v>
      </c>
      <c r="F25" s="25">
        <f t="shared" si="2"/>
        <v>3953</v>
      </c>
      <c r="G25" s="25"/>
    </row>
    <row r="26" spans="1:7" x14ac:dyDescent="0.2">
      <c r="A26" s="41">
        <v>23</v>
      </c>
      <c r="B26" s="11">
        <v>38049</v>
      </c>
      <c r="C26" s="11">
        <v>38698</v>
      </c>
      <c r="D26" s="129">
        <v>30125</v>
      </c>
      <c r="E26" s="11">
        <v>33133</v>
      </c>
      <c r="F26" s="25">
        <f t="shared" si="2"/>
        <v>3657</v>
      </c>
    </row>
    <row r="27" spans="1:7" x14ac:dyDescent="0.2">
      <c r="A27" s="41">
        <v>24</v>
      </c>
      <c r="B27" s="11">
        <v>33702</v>
      </c>
      <c r="C27" s="11">
        <v>38698</v>
      </c>
      <c r="D27" s="11">
        <v>30325</v>
      </c>
      <c r="E27" s="11">
        <v>33133</v>
      </c>
      <c r="F27" s="25">
        <f t="shared" si="2"/>
        <v>7804</v>
      </c>
    </row>
    <row r="28" spans="1:7" x14ac:dyDescent="0.2">
      <c r="A28" s="41">
        <v>25</v>
      </c>
      <c r="B28" s="11">
        <v>35848</v>
      </c>
      <c r="C28" s="11">
        <v>38698</v>
      </c>
      <c r="D28" s="11">
        <v>31480</v>
      </c>
      <c r="E28" s="11">
        <v>33133</v>
      </c>
      <c r="F28" s="25">
        <f t="shared" si="2"/>
        <v>4503</v>
      </c>
    </row>
    <row r="29" spans="1:7" x14ac:dyDescent="0.2">
      <c r="A29" s="41">
        <v>26</v>
      </c>
      <c r="B29" s="11">
        <v>34672</v>
      </c>
      <c r="C29" s="11">
        <v>38698</v>
      </c>
      <c r="D29" s="11">
        <v>31964</v>
      </c>
      <c r="E29" s="11">
        <v>33133</v>
      </c>
      <c r="F29" s="25">
        <f t="shared" si="2"/>
        <v>5195</v>
      </c>
    </row>
    <row r="30" spans="1:7" x14ac:dyDescent="0.2">
      <c r="A30" s="41">
        <v>27</v>
      </c>
      <c r="B30" s="11">
        <v>34722</v>
      </c>
      <c r="C30" s="11">
        <v>39012</v>
      </c>
      <c r="D30" s="11">
        <v>33433</v>
      </c>
      <c r="E30" s="11">
        <v>33145</v>
      </c>
      <c r="F30" s="25">
        <f t="shared" si="2"/>
        <v>4002</v>
      </c>
    </row>
    <row r="31" spans="1:7" x14ac:dyDescent="0.2">
      <c r="A31" s="41">
        <v>28</v>
      </c>
      <c r="B31" s="11">
        <v>35760</v>
      </c>
      <c r="C31" s="11">
        <v>39012</v>
      </c>
      <c r="D31" s="11">
        <v>30109</v>
      </c>
      <c r="E31" s="11">
        <v>33145</v>
      </c>
      <c r="F31" s="25">
        <f t="shared" si="2"/>
        <v>6288</v>
      </c>
    </row>
    <row r="32" spans="1:7" x14ac:dyDescent="0.2">
      <c r="A32" s="41">
        <v>29</v>
      </c>
      <c r="B32" s="11">
        <v>35083</v>
      </c>
      <c r="C32" s="11">
        <v>38012</v>
      </c>
      <c r="D32" s="11">
        <v>31673</v>
      </c>
      <c r="E32" s="11">
        <v>32145</v>
      </c>
      <c r="F32" s="25">
        <f t="shared" si="2"/>
        <v>3401</v>
      </c>
    </row>
    <row r="33" spans="1:7" x14ac:dyDescent="0.2">
      <c r="A33" s="41">
        <v>30</v>
      </c>
      <c r="B33" s="11">
        <v>33461</v>
      </c>
      <c r="C33" s="11">
        <v>38012</v>
      </c>
      <c r="D33" s="11">
        <v>31640</v>
      </c>
      <c r="E33" s="11">
        <v>32145</v>
      </c>
      <c r="F33" s="25">
        <f t="shared" si="2"/>
        <v>5056</v>
      </c>
    </row>
    <row r="34" spans="1:7" x14ac:dyDescent="0.2">
      <c r="A34" s="41">
        <v>31</v>
      </c>
      <c r="B34" s="11">
        <v>35444</v>
      </c>
      <c r="C34" s="11">
        <v>38012</v>
      </c>
      <c r="D34" s="11">
        <v>31680</v>
      </c>
      <c r="E34" s="11">
        <v>32145</v>
      </c>
      <c r="F34" s="25">
        <f t="shared" si="2"/>
        <v>3033</v>
      </c>
    </row>
    <row r="35" spans="1:7" x14ac:dyDescent="0.2">
      <c r="A35" s="41"/>
      <c r="B35" s="11">
        <f>SUM(B4:B34)</f>
        <v>1114365</v>
      </c>
      <c r="C35" s="11">
        <f>SUM(C4:C34)</f>
        <v>1144221</v>
      </c>
      <c r="D35" s="11">
        <f>SUM(D4:D34)</f>
        <v>1007750</v>
      </c>
      <c r="E35" s="11">
        <f>SUM(E4:E34)</f>
        <v>1014648</v>
      </c>
      <c r="F35" s="11">
        <f>+E35-D35+C35-B35</f>
        <v>36754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5">
        <f>+summary!H4</f>
        <v>2.25</v>
      </c>
    </row>
    <row r="38" spans="1:7" x14ac:dyDescent="0.2">
      <c r="C38" s="48"/>
      <c r="D38" s="47"/>
      <c r="E38" s="48"/>
      <c r="F38" s="46">
        <f>+F37*F35</f>
        <v>82696.5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0"/>
      <c r="D40" s="111"/>
      <c r="E40" s="470"/>
      <c r="F40" s="513">
        <v>377734.69</v>
      </c>
      <c r="G40" s="25"/>
    </row>
    <row r="41" spans="1:7" x14ac:dyDescent="0.2">
      <c r="A41" s="57">
        <v>37256</v>
      </c>
      <c r="C41" s="106"/>
      <c r="D41" s="106"/>
      <c r="E41" s="106"/>
      <c r="F41" s="106">
        <f>+F38+F40</f>
        <v>460431.19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4">
        <f>-18785+23342</f>
        <v>4557</v>
      </c>
      <c r="E46" s="11"/>
      <c r="F46" s="11"/>
      <c r="G46" s="25"/>
    </row>
    <row r="47" spans="1:7" x14ac:dyDescent="0.2">
      <c r="A47" s="49">
        <f>+A41</f>
        <v>37256</v>
      </c>
      <c r="D47" s="355">
        <f>+F35</f>
        <v>36754</v>
      </c>
      <c r="E47" s="11"/>
      <c r="F47" s="11"/>
      <c r="G47" s="25"/>
    </row>
    <row r="48" spans="1:7" x14ac:dyDescent="0.2">
      <c r="D48" s="14">
        <f>+D47+D46</f>
        <v>41311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8" workbookViewId="0">
      <selection activeCell="B36" sqref="B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156673</v>
      </c>
      <c r="C22" s="11">
        <v>163808</v>
      </c>
      <c r="D22" s="11"/>
      <c r="E22" s="11">
        <v>-7587</v>
      </c>
      <c r="F22" s="11">
        <f t="shared" si="2"/>
        <v>-452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156013</v>
      </c>
      <c r="C23" s="11">
        <v>168533</v>
      </c>
      <c r="D23" s="11"/>
      <c r="E23" s="11">
        <v>-13619</v>
      </c>
      <c r="F23" s="11">
        <f t="shared" si="2"/>
        <v>-1099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169850</v>
      </c>
      <c r="C24" s="11">
        <v>181250</v>
      </c>
      <c r="D24" s="11"/>
      <c r="E24" s="11">
        <v>-12085</v>
      </c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158951</v>
      </c>
      <c r="C25" s="11">
        <v>166848</v>
      </c>
      <c r="D25" s="11"/>
      <c r="E25" s="11">
        <v>-9382</v>
      </c>
      <c r="F25" s="11">
        <f t="shared" si="2"/>
        <v>-1485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175491</v>
      </c>
      <c r="C26" s="11">
        <v>192247</v>
      </c>
      <c r="D26" s="11"/>
      <c r="E26" s="11">
        <v>-13592</v>
      </c>
      <c r="F26" s="11">
        <f t="shared" si="2"/>
        <v>3164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150647</v>
      </c>
      <c r="C27" s="11">
        <v>162775</v>
      </c>
      <c r="D27" s="11"/>
      <c r="E27" s="11">
        <v>-13618</v>
      </c>
      <c r="F27" s="11">
        <f t="shared" si="2"/>
        <v>-1490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150197</v>
      </c>
      <c r="C28" s="11">
        <v>161518</v>
      </c>
      <c r="D28" s="11"/>
      <c r="E28" s="11">
        <v>-13471</v>
      </c>
      <c r="F28" s="11">
        <f t="shared" si="2"/>
        <v>-2150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149834</v>
      </c>
      <c r="C29" s="11">
        <v>160585</v>
      </c>
      <c r="D29" s="11"/>
      <c r="E29" s="11">
        <v>-13103</v>
      </c>
      <c r="F29" s="11">
        <f t="shared" si="2"/>
        <v>-2352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159322</v>
      </c>
      <c r="C30" s="11">
        <v>161828</v>
      </c>
      <c r="D30" s="11"/>
      <c r="E30" s="11">
        <v>-4236</v>
      </c>
      <c r="F30" s="11">
        <f t="shared" si="2"/>
        <v>-1730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174169</v>
      </c>
      <c r="C31" s="11">
        <v>172292</v>
      </c>
      <c r="D31" s="11"/>
      <c r="E31" s="11">
        <v>-244</v>
      </c>
      <c r="F31" s="11">
        <f t="shared" si="2"/>
        <v>-2121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173797</v>
      </c>
      <c r="C32" s="11">
        <v>174443</v>
      </c>
      <c r="D32" s="11"/>
      <c r="E32" s="11">
        <v>-7216</v>
      </c>
      <c r="F32" s="11">
        <f t="shared" si="2"/>
        <v>-6570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160020</v>
      </c>
      <c r="C33" s="11">
        <v>159571</v>
      </c>
      <c r="D33" s="11"/>
      <c r="E33" s="11">
        <v>-831</v>
      </c>
      <c r="F33" s="11">
        <f t="shared" si="2"/>
        <v>-1280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161345</v>
      </c>
      <c r="C34" s="11">
        <v>162024</v>
      </c>
      <c r="D34" s="11"/>
      <c r="E34" s="11">
        <v>-1976</v>
      </c>
      <c r="F34" s="11">
        <f t="shared" si="2"/>
        <v>-1297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>
        <v>161645</v>
      </c>
      <c r="C35" s="11">
        <v>160676</v>
      </c>
      <c r="D35" s="11"/>
      <c r="E35" s="11">
        <v>-715</v>
      </c>
      <c r="F35" s="11">
        <f t="shared" si="2"/>
        <v>-1684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4767009</v>
      </c>
      <c r="C36" s="11">
        <f>SUM(C5:C35)</f>
        <v>5001032</v>
      </c>
      <c r="D36" s="11">
        <f>SUM(D5:D35)</f>
        <v>0</v>
      </c>
      <c r="E36" s="11">
        <f>SUM(E5:E35)</f>
        <v>-277168</v>
      </c>
      <c r="F36" s="11">
        <f>SUM(F5:F35)</f>
        <v>-43145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41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37256</v>
      </c>
      <c r="F41" s="336">
        <f>+F39+F36</f>
        <v>-22389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0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37256</v>
      </c>
      <c r="C48" s="32"/>
      <c r="D48" s="32"/>
      <c r="E48" s="382">
        <f>+F36*'by type_area'!J3</f>
        <v>-96644.800000000003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-507607.8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">
      <c r="A23" s="10">
        <v>16</v>
      </c>
      <c r="B23" s="11">
        <v>76819</v>
      </c>
      <c r="C23" s="11">
        <v>76575</v>
      </c>
      <c r="D23" s="11">
        <f t="shared" si="0"/>
        <v>-244</v>
      </c>
      <c r="E23" s="10"/>
      <c r="F23" s="11"/>
      <c r="G23" s="11"/>
      <c r="H23" s="11"/>
    </row>
    <row r="24" spans="1:8" x14ac:dyDescent="0.2">
      <c r="A24" s="10">
        <v>17</v>
      </c>
      <c r="B24" s="11">
        <v>76614</v>
      </c>
      <c r="C24" s="11">
        <v>76539</v>
      </c>
      <c r="D24" s="11">
        <f t="shared" si="0"/>
        <v>-75</v>
      </c>
      <c r="E24" s="10"/>
      <c r="F24" s="11"/>
      <c r="G24" s="11"/>
      <c r="H24" s="11"/>
    </row>
    <row r="25" spans="1:8" x14ac:dyDescent="0.2">
      <c r="A25" s="10">
        <v>18</v>
      </c>
      <c r="B25" s="11">
        <v>58698</v>
      </c>
      <c r="C25" s="11">
        <v>58574</v>
      </c>
      <c r="D25" s="11">
        <f t="shared" si="0"/>
        <v>-124</v>
      </c>
      <c r="E25" s="10"/>
      <c r="F25" s="11"/>
      <c r="G25" s="11"/>
      <c r="H25" s="11"/>
    </row>
    <row r="26" spans="1:8" x14ac:dyDescent="0.2">
      <c r="A26" s="10">
        <v>19</v>
      </c>
      <c r="B26" s="11">
        <v>58681</v>
      </c>
      <c r="C26" s="11">
        <v>58575</v>
      </c>
      <c r="D26" s="11">
        <f t="shared" si="0"/>
        <v>-106</v>
      </c>
      <c r="E26" s="10"/>
      <c r="F26" s="11"/>
      <c r="G26" s="11"/>
      <c r="H26" s="11"/>
    </row>
    <row r="27" spans="1:8" x14ac:dyDescent="0.2">
      <c r="A27" s="10">
        <v>20</v>
      </c>
      <c r="B27" s="11">
        <v>58988</v>
      </c>
      <c r="C27" s="11">
        <v>58575</v>
      </c>
      <c r="D27" s="11">
        <f t="shared" si="0"/>
        <v>-413</v>
      </c>
      <c r="E27" s="10"/>
      <c r="F27" s="11"/>
      <c r="G27" s="11"/>
      <c r="H27" s="11"/>
    </row>
    <row r="28" spans="1:8" x14ac:dyDescent="0.2">
      <c r="A28" s="10">
        <v>21</v>
      </c>
      <c r="B28" s="11">
        <v>58588</v>
      </c>
      <c r="C28" s="11">
        <v>58575</v>
      </c>
      <c r="D28" s="11">
        <f t="shared" si="0"/>
        <v>-13</v>
      </c>
      <c r="E28" s="10"/>
      <c r="F28" s="11"/>
      <c r="G28" s="11"/>
      <c r="H28" s="11"/>
    </row>
    <row r="29" spans="1:8" x14ac:dyDescent="0.2">
      <c r="A29" s="10">
        <v>22</v>
      </c>
      <c r="B29" s="11">
        <v>59551</v>
      </c>
      <c r="C29" s="11">
        <v>58575</v>
      </c>
      <c r="D29" s="11">
        <f t="shared" si="0"/>
        <v>-976</v>
      </c>
      <c r="E29" s="10"/>
      <c r="F29" s="11"/>
      <c r="G29" s="11"/>
      <c r="H29" s="11"/>
    </row>
    <row r="30" spans="1:8" x14ac:dyDescent="0.2">
      <c r="A30" s="10">
        <v>23</v>
      </c>
      <c r="B30" s="11">
        <v>58617</v>
      </c>
      <c r="C30" s="11">
        <v>58575</v>
      </c>
      <c r="D30" s="11">
        <f t="shared" si="0"/>
        <v>-42</v>
      </c>
      <c r="E30" s="10"/>
      <c r="F30" s="11"/>
      <c r="G30" s="11"/>
      <c r="H30" s="11"/>
    </row>
    <row r="31" spans="1:8" x14ac:dyDescent="0.2">
      <c r="A31" s="10">
        <v>24</v>
      </c>
      <c r="B31" s="11">
        <v>58997</v>
      </c>
      <c r="C31" s="11">
        <v>58575</v>
      </c>
      <c r="D31" s="11">
        <f t="shared" si="0"/>
        <v>-422</v>
      </c>
      <c r="E31" s="10"/>
      <c r="F31" s="11"/>
      <c r="G31" s="11"/>
      <c r="H31" s="11"/>
    </row>
    <row r="32" spans="1:8" x14ac:dyDescent="0.2">
      <c r="A32" s="10">
        <v>25</v>
      </c>
      <c r="B32" s="11">
        <v>58287</v>
      </c>
      <c r="C32" s="11">
        <v>58575</v>
      </c>
      <c r="D32" s="11">
        <f t="shared" si="0"/>
        <v>288</v>
      </c>
      <c r="E32" s="10"/>
      <c r="F32" s="11"/>
      <c r="G32" s="11"/>
      <c r="H32" s="11"/>
    </row>
    <row r="33" spans="1:8" x14ac:dyDescent="0.2">
      <c r="A33" s="10">
        <v>26</v>
      </c>
      <c r="B33" s="11">
        <v>58305</v>
      </c>
      <c r="C33" s="11">
        <v>58575</v>
      </c>
      <c r="D33" s="11">
        <f t="shared" si="0"/>
        <v>270</v>
      </c>
      <c r="E33" s="10"/>
      <c r="F33" s="11"/>
      <c r="G33" s="11"/>
      <c r="H33" s="11"/>
    </row>
    <row r="34" spans="1:8" x14ac:dyDescent="0.2">
      <c r="A34" s="10">
        <v>27</v>
      </c>
      <c r="B34" s="11">
        <v>58994</v>
      </c>
      <c r="C34" s="11">
        <v>58285</v>
      </c>
      <c r="D34" s="11">
        <f t="shared" si="0"/>
        <v>-709</v>
      </c>
      <c r="E34" s="10"/>
      <c r="F34" s="11"/>
      <c r="G34" s="11"/>
      <c r="H34" s="11"/>
    </row>
    <row r="35" spans="1:8" x14ac:dyDescent="0.2">
      <c r="A35" s="10">
        <v>28</v>
      </c>
      <c r="B35" s="11">
        <v>58721</v>
      </c>
      <c r="C35" s="11">
        <v>58575</v>
      </c>
      <c r="D35" s="11">
        <f t="shared" si="0"/>
        <v>-146</v>
      </c>
      <c r="E35" s="10"/>
      <c r="F35" s="11"/>
      <c r="G35" s="11"/>
      <c r="H35" s="11"/>
    </row>
    <row r="36" spans="1:8" x14ac:dyDescent="0.2">
      <c r="A36" s="10">
        <v>29</v>
      </c>
      <c r="B36" s="11">
        <v>56221</v>
      </c>
      <c r="C36" s="11">
        <v>58575</v>
      </c>
      <c r="D36" s="11">
        <f t="shared" si="0"/>
        <v>2354</v>
      </c>
      <c r="E36" s="10"/>
      <c r="F36" s="11"/>
      <c r="G36" s="11"/>
      <c r="H36" s="11"/>
    </row>
    <row r="37" spans="1:8" x14ac:dyDescent="0.2">
      <c r="A37" s="10">
        <v>30</v>
      </c>
      <c r="B37" s="129">
        <v>58990</v>
      </c>
      <c r="C37" s="11">
        <v>58575</v>
      </c>
      <c r="D37" s="11">
        <f t="shared" si="0"/>
        <v>-415</v>
      </c>
      <c r="E37" s="10"/>
      <c r="F37" s="11"/>
      <c r="G37" s="11"/>
      <c r="H37" s="11"/>
    </row>
    <row r="38" spans="1:8" x14ac:dyDescent="0.2">
      <c r="A38" s="10">
        <v>31</v>
      </c>
      <c r="B38" s="11">
        <v>51940</v>
      </c>
      <c r="C38" s="11">
        <v>58575</v>
      </c>
      <c r="D38" s="11">
        <f t="shared" si="0"/>
        <v>6635</v>
      </c>
      <c r="E38" s="10"/>
      <c r="F38" s="11"/>
      <c r="G38" s="11"/>
      <c r="H38" s="11"/>
    </row>
    <row r="39" spans="1:8" x14ac:dyDescent="0.2">
      <c r="A39" s="10"/>
      <c r="B39" s="11">
        <f>SUM(B8:B38)</f>
        <v>2256700</v>
      </c>
      <c r="C39" s="11">
        <f>SUM(C8:C38)</f>
        <v>2258439</v>
      </c>
      <c r="D39" s="11">
        <f>SUM(D8:D38)</f>
        <v>1739</v>
      </c>
      <c r="E39" s="10"/>
      <c r="F39" s="11"/>
      <c r="G39" s="11"/>
      <c r="H39" s="11"/>
    </row>
    <row r="40" spans="1:8" x14ac:dyDescent="0.2">
      <c r="A40" s="26"/>
      <c r="D40" s="75">
        <f>+summary!H4</f>
        <v>2.25</v>
      </c>
      <c r="E40" s="26"/>
      <c r="H40" s="75"/>
    </row>
    <row r="41" spans="1:8" x14ac:dyDescent="0.2">
      <c r="D41" s="195">
        <f>+D40*D39</f>
        <v>3912.75</v>
      </c>
      <c r="F41" s="247"/>
      <c r="H41" s="195"/>
    </row>
    <row r="42" spans="1:8" x14ac:dyDescent="0.2">
      <c r="A42" s="57">
        <v>37225</v>
      </c>
      <c r="D42" s="529">
        <v>8908.65</v>
      </c>
      <c r="E42" s="57"/>
      <c r="H42" s="195"/>
    </row>
    <row r="43" spans="1:8" x14ac:dyDescent="0.2">
      <c r="A43" s="57">
        <v>37256</v>
      </c>
      <c r="D43" s="196">
        <f>+D42+D41</f>
        <v>12821.4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09">
        <v>-51521</v>
      </c>
    </row>
    <row r="49" spans="1:4" x14ac:dyDescent="0.2">
      <c r="A49" s="49">
        <f>+A43</f>
        <v>37256</v>
      </c>
      <c r="B49" s="32"/>
      <c r="C49" s="32"/>
      <c r="D49" s="355">
        <f>+D39</f>
        <v>1739</v>
      </c>
    </row>
    <row r="50" spans="1:4" x14ac:dyDescent="0.2">
      <c r="A50" s="32"/>
      <c r="B50" s="32"/>
      <c r="C50" s="32"/>
      <c r="D50" s="14">
        <f>+D49+D48</f>
        <v>-49782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37225</v>
      </c>
      <c r="C5" s="521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259</v>
      </c>
      <c r="J6" s="15"/>
    </row>
    <row r="7" spans="1:14" x14ac:dyDescent="0.2">
      <c r="A7" s="57">
        <v>37256</v>
      </c>
      <c r="I7" s="3" t="s">
        <v>266</v>
      </c>
      <c r="J7" s="15"/>
    </row>
    <row r="8" spans="1:14" x14ac:dyDescent="0.2">
      <c r="A8" s="248">
        <v>50895</v>
      </c>
      <c r="B8" s="343">
        <f>7043-1885</f>
        <v>5158</v>
      </c>
      <c r="J8" s="15"/>
    </row>
    <row r="9" spans="1:14" x14ac:dyDescent="0.2">
      <c r="A9" s="248">
        <v>60874</v>
      </c>
      <c r="B9" s="343">
        <f>3888+139</f>
        <v>4027</v>
      </c>
      <c r="J9" s="15"/>
    </row>
    <row r="10" spans="1:14" x14ac:dyDescent="0.2">
      <c r="A10" s="248">
        <v>78169</v>
      </c>
      <c r="B10" s="343">
        <f>902847-830819-30526</f>
        <v>41502</v>
      </c>
      <c r="I10" s="87" t="s">
        <v>260</v>
      </c>
      <c r="J10" s="497" t="s">
        <v>28</v>
      </c>
      <c r="K10" s="87" t="s">
        <v>261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7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15313-11707-178</f>
        <v>3428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5512-4383</f>
        <v>1129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15313-9200-2</f>
        <v>6111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f>-648-121</f>
        <v>-769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1725578-1716049-52368</f>
        <v>-42839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17747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2.2599999999999998</v>
      </c>
      <c r="C19" s="199">
        <f>+B19*B18</f>
        <v>40108.219999999994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37225</v>
      </c>
      <c r="C26" s="521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2.25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75</v>
      </c>
      <c r="E38" s="49">
        <f>+A5</f>
        <v>37225</v>
      </c>
      <c r="F38" s="509">
        <v>363548</v>
      </c>
      <c r="G38" s="500">
        <v>117857</v>
      </c>
      <c r="H38" s="509">
        <v>173271</v>
      </c>
      <c r="I38" s="14"/>
    </row>
    <row r="39" spans="1:9" x14ac:dyDescent="0.2">
      <c r="E39" s="49">
        <f>+A7</f>
        <v>37256</v>
      </c>
      <c r="F39" s="355">
        <f>+B18</f>
        <v>17747</v>
      </c>
      <c r="G39" s="355">
        <f>+B31</f>
        <v>0</v>
      </c>
      <c r="H39" s="355">
        <f>+B46</f>
        <v>13527</v>
      </c>
      <c r="I39" s="14"/>
    </row>
    <row r="40" spans="1:9" x14ac:dyDescent="0.2">
      <c r="A40" s="49">
        <v>37225</v>
      </c>
      <c r="C40" s="521">
        <v>811403.49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">
      <c r="G41" s="32"/>
      <c r="H41" s="15"/>
      <c r="I41" s="32"/>
    </row>
    <row r="42" spans="1:9" x14ac:dyDescent="0.2">
      <c r="A42" s="245">
        <v>37256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10784</v>
      </c>
      <c r="G44" s="32"/>
      <c r="H44" s="388"/>
      <c r="I44" s="14"/>
    </row>
    <row r="45" spans="1:9" x14ac:dyDescent="0.2">
      <c r="A45" s="32">
        <v>500392</v>
      </c>
      <c r="B45" s="250">
        <v>2743</v>
      </c>
      <c r="G45" s="32"/>
      <c r="H45" s="388"/>
      <c r="I45" s="14"/>
    </row>
    <row r="46" spans="1:9" x14ac:dyDescent="0.2">
      <c r="B46" s="14">
        <f>SUM(B43:B45)</f>
        <v>13527</v>
      </c>
      <c r="G46" s="32"/>
      <c r="H46" s="388"/>
      <c r="I46" s="14"/>
    </row>
    <row r="47" spans="1:9" x14ac:dyDescent="0.2">
      <c r="B47" s="199">
        <f>+summary!H5</f>
        <v>2.2599999999999998</v>
      </c>
      <c r="C47" s="199">
        <f>+B47*B46</f>
        <v>30571.019999999997</v>
      </c>
      <c r="H47" s="388"/>
      <c r="I47" s="14"/>
    </row>
    <row r="48" spans="1:9" x14ac:dyDescent="0.2">
      <c r="C48" s="324">
        <f>+C47+C40</f>
        <v>841974.51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87</v>
      </c>
      <c r="C52" s="249"/>
    </row>
    <row r="53" spans="1:9" x14ac:dyDescent="0.2">
      <c r="A53" s="32">
        <v>21665</v>
      </c>
      <c r="B53" s="15" t="s">
        <v>139</v>
      </c>
      <c r="C53" s="526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27">
        <v>23612.35</v>
      </c>
      <c r="D54" s="32" t="s">
        <v>121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D34" sqref="D3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">
      <c r="A4" s="10">
        <v>1</v>
      </c>
      <c r="B4" s="11"/>
      <c r="C4" s="11"/>
      <c r="D4" s="11">
        <v>24480</v>
      </c>
      <c r="E4" s="11">
        <v>24000</v>
      </c>
      <c r="F4" s="11">
        <f>+E4+C4-D4-B4</f>
        <v>-480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24469</v>
      </c>
      <c r="E5" s="11">
        <v>24000</v>
      </c>
      <c r="F5" s="11">
        <f t="shared" ref="F5:F34" si="0">+E5+C5-D5-B5</f>
        <v>-469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24467</v>
      </c>
      <c r="E6" s="11">
        <v>24000</v>
      </c>
      <c r="F6" s="11">
        <f t="shared" si="0"/>
        <v>-467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24464</v>
      </c>
      <c r="E7" s="11">
        <v>24000</v>
      </c>
      <c r="F7" s="11">
        <f t="shared" si="0"/>
        <v>-464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24503</v>
      </c>
      <c r="E8" s="11">
        <v>24000</v>
      </c>
      <c r="F8" s="11">
        <f t="shared" si="0"/>
        <v>-503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24472</v>
      </c>
      <c r="E9" s="11">
        <v>24000</v>
      </c>
      <c r="F9" s="11">
        <f t="shared" si="0"/>
        <v>-472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24477</v>
      </c>
      <c r="E10" s="11">
        <v>24000</v>
      </c>
      <c r="F10" s="11">
        <f t="shared" si="0"/>
        <v>-477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24486</v>
      </c>
      <c r="E11" s="11">
        <v>20164</v>
      </c>
      <c r="F11" s="11">
        <f t="shared" si="0"/>
        <v>-4322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24465</v>
      </c>
      <c r="E12" s="11">
        <v>24000</v>
      </c>
      <c r="F12" s="11">
        <f t="shared" si="0"/>
        <v>-465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24462</v>
      </c>
      <c r="E13" s="11">
        <v>24000</v>
      </c>
      <c r="F13" s="11">
        <f t="shared" si="0"/>
        <v>-462</v>
      </c>
      <c r="G13" s="11"/>
      <c r="I13" s="11"/>
      <c r="J13" s="24"/>
    </row>
    <row r="14" spans="1:10" x14ac:dyDescent="0.2">
      <c r="A14" s="10">
        <v>11</v>
      </c>
      <c r="B14" s="11">
        <v>31086</v>
      </c>
      <c r="C14" s="11">
        <v>30000</v>
      </c>
      <c r="D14" s="11">
        <v>24311</v>
      </c>
      <c r="E14" s="11">
        <v>24000</v>
      </c>
      <c r="F14" s="11">
        <f t="shared" si="0"/>
        <v>-1397</v>
      </c>
      <c r="G14" s="11"/>
      <c r="I14" s="11"/>
      <c r="J14" s="24"/>
    </row>
    <row r="15" spans="1:10" x14ac:dyDescent="0.2">
      <c r="A15" s="10">
        <v>12</v>
      </c>
      <c r="B15" s="11">
        <v>31519</v>
      </c>
      <c r="C15" s="11">
        <v>30000</v>
      </c>
      <c r="D15" s="11">
        <v>24474</v>
      </c>
      <c r="E15" s="11">
        <v>24000</v>
      </c>
      <c r="F15" s="11">
        <f t="shared" si="0"/>
        <v>-1993</v>
      </c>
      <c r="G15" s="11"/>
      <c r="I15" s="11"/>
      <c r="J15" s="24"/>
    </row>
    <row r="16" spans="1:10" x14ac:dyDescent="0.2">
      <c r="A16" s="10">
        <v>13</v>
      </c>
      <c r="B16" s="11">
        <v>1932</v>
      </c>
      <c r="C16" s="11"/>
      <c r="D16" s="11">
        <v>24435</v>
      </c>
      <c r="E16" s="11">
        <v>24000</v>
      </c>
      <c r="F16" s="11">
        <f t="shared" si="0"/>
        <v>-2367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24506</v>
      </c>
      <c r="E17" s="11">
        <v>24000</v>
      </c>
      <c r="F17" s="11">
        <f t="shared" si="0"/>
        <v>-506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24506</v>
      </c>
      <c r="E18" s="11">
        <v>24000</v>
      </c>
      <c r="F18" s="11">
        <f t="shared" si="0"/>
        <v>-506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24461</v>
      </c>
      <c r="E19" s="11">
        <v>24000</v>
      </c>
      <c r="F19" s="11">
        <f t="shared" si="0"/>
        <v>-461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24467</v>
      </c>
      <c r="E20" s="11">
        <v>24000</v>
      </c>
      <c r="F20" s="11">
        <f t="shared" si="0"/>
        <v>-467</v>
      </c>
      <c r="G20" s="11"/>
      <c r="I20" s="11"/>
      <c r="J20" s="24"/>
    </row>
    <row r="21" spans="1:10" x14ac:dyDescent="0.2">
      <c r="A21" s="10">
        <v>18</v>
      </c>
      <c r="B21" s="129">
        <v>2</v>
      </c>
      <c r="C21" s="11"/>
      <c r="D21" s="11">
        <v>24473</v>
      </c>
      <c r="E21" s="11">
        <v>24000</v>
      </c>
      <c r="F21" s="11">
        <f t="shared" si="0"/>
        <v>-475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24458</v>
      </c>
      <c r="E22" s="11">
        <v>24000</v>
      </c>
      <c r="F22" s="11">
        <f t="shared" si="0"/>
        <v>-458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24458</v>
      </c>
      <c r="E23" s="11">
        <v>24000</v>
      </c>
      <c r="F23" s="11">
        <f t="shared" si="0"/>
        <v>-458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24332</v>
      </c>
      <c r="E24" s="11">
        <v>24000</v>
      </c>
      <c r="F24" s="11">
        <f t="shared" si="0"/>
        <v>-332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24480</v>
      </c>
      <c r="E25" s="11">
        <v>24000</v>
      </c>
      <c r="F25" s="11">
        <f t="shared" si="0"/>
        <v>-480</v>
      </c>
      <c r="I25" s="11"/>
      <c r="J25" s="24"/>
    </row>
    <row r="26" spans="1:10" x14ac:dyDescent="0.2">
      <c r="A26" s="10">
        <v>23</v>
      </c>
      <c r="B26" s="11"/>
      <c r="C26" s="11"/>
      <c r="D26" s="11">
        <v>24486</v>
      </c>
      <c r="E26" s="11">
        <v>24000</v>
      </c>
      <c r="F26" s="11">
        <f t="shared" si="0"/>
        <v>-486</v>
      </c>
      <c r="I26" s="11"/>
      <c r="J26" s="24"/>
    </row>
    <row r="27" spans="1:10" x14ac:dyDescent="0.2">
      <c r="A27" s="10">
        <v>24</v>
      </c>
      <c r="B27" s="11"/>
      <c r="C27" s="11"/>
      <c r="D27" s="11">
        <v>24449</v>
      </c>
      <c r="E27" s="11">
        <v>24000</v>
      </c>
      <c r="F27" s="11">
        <f t="shared" si="0"/>
        <v>-449</v>
      </c>
      <c r="I27" s="11"/>
      <c r="J27" s="24"/>
    </row>
    <row r="28" spans="1:10" x14ac:dyDescent="0.2">
      <c r="A28" s="10">
        <v>25</v>
      </c>
      <c r="B28" s="11"/>
      <c r="C28" s="11"/>
      <c r="D28" s="11">
        <v>24470</v>
      </c>
      <c r="E28" s="11">
        <v>24000</v>
      </c>
      <c r="F28" s="11">
        <f t="shared" si="0"/>
        <v>-470</v>
      </c>
      <c r="I28" s="11"/>
      <c r="J28" s="24"/>
    </row>
    <row r="29" spans="1:10" x14ac:dyDescent="0.2">
      <c r="A29" s="10">
        <v>26</v>
      </c>
      <c r="B29" s="11"/>
      <c r="C29" s="11"/>
      <c r="D29" s="11">
        <v>24474</v>
      </c>
      <c r="E29" s="11">
        <v>24000</v>
      </c>
      <c r="F29" s="11">
        <f t="shared" si="0"/>
        <v>-474</v>
      </c>
      <c r="I29" s="11"/>
      <c r="J29" s="24"/>
    </row>
    <row r="30" spans="1:10" x14ac:dyDescent="0.2">
      <c r="A30" s="10">
        <v>27</v>
      </c>
      <c r="B30" s="11"/>
      <c r="C30" s="11"/>
      <c r="D30" s="11">
        <v>24471</v>
      </c>
      <c r="E30" s="11">
        <v>24000</v>
      </c>
      <c r="F30" s="11">
        <f t="shared" si="0"/>
        <v>-471</v>
      </c>
      <c r="I30" s="11"/>
      <c r="J30" s="24"/>
    </row>
    <row r="31" spans="1:10" x14ac:dyDescent="0.2">
      <c r="A31" s="10">
        <v>28</v>
      </c>
      <c r="B31" s="11"/>
      <c r="C31" s="11"/>
      <c r="D31" s="11">
        <v>24444</v>
      </c>
      <c r="E31" s="11">
        <v>24000</v>
      </c>
      <c r="F31" s="11">
        <f t="shared" si="0"/>
        <v>-444</v>
      </c>
      <c r="I31" s="11"/>
      <c r="J31" s="24"/>
    </row>
    <row r="32" spans="1:10" x14ac:dyDescent="0.2">
      <c r="A32" s="10">
        <v>29</v>
      </c>
      <c r="B32" s="11"/>
      <c r="C32" s="11"/>
      <c r="D32" s="11">
        <v>25526</v>
      </c>
      <c r="E32" s="11">
        <v>24000</v>
      </c>
      <c r="F32" s="11">
        <f t="shared" si="0"/>
        <v>-1526</v>
      </c>
      <c r="I32" s="11"/>
      <c r="J32" s="24"/>
    </row>
    <row r="33" spans="1:13" x14ac:dyDescent="0.2">
      <c r="A33" s="10">
        <v>30</v>
      </c>
      <c r="B33" s="11"/>
      <c r="C33" s="11"/>
      <c r="D33" s="11">
        <v>25795</v>
      </c>
      <c r="E33" s="11">
        <v>24000</v>
      </c>
      <c r="F33" s="11">
        <f t="shared" si="0"/>
        <v>-1795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>
        <v>23966</v>
      </c>
      <c r="E34" s="11">
        <v>24000</v>
      </c>
      <c r="F34" s="11">
        <f t="shared" si="0"/>
        <v>34</v>
      </c>
      <c r="H34" s="49">
        <f>+A39</f>
        <v>37225</v>
      </c>
      <c r="I34" s="509">
        <v>-178485</v>
      </c>
      <c r="J34" s="509">
        <v>-108573</v>
      </c>
      <c r="K34" s="14"/>
      <c r="L34" s="14"/>
    </row>
    <row r="35" spans="1:13" x14ac:dyDescent="0.2">
      <c r="A35" s="10"/>
      <c r="B35" s="11">
        <f>SUM(B4:B34)</f>
        <v>64539</v>
      </c>
      <c r="C35" s="11">
        <f>SUM(C4:C34)</f>
        <v>60000</v>
      </c>
      <c r="D35" s="11">
        <f>SUM(D4:D34)</f>
        <v>760187</v>
      </c>
      <c r="E35" s="11">
        <f>SUM(E4:E34)</f>
        <v>740164</v>
      </c>
      <c r="F35" s="11">
        <f>SUM(F4:F34)</f>
        <v>-24562</v>
      </c>
      <c r="G35" s="11"/>
      <c r="H35" s="49">
        <f>+A40</f>
        <v>37256</v>
      </c>
      <c r="I35" s="355">
        <f>+C36</f>
        <v>-4539</v>
      </c>
      <c r="J35" s="355">
        <f>+E36</f>
        <v>-20023</v>
      </c>
      <c r="K35" s="206"/>
      <c r="L35" s="14"/>
    </row>
    <row r="36" spans="1:13" x14ac:dyDescent="0.2">
      <c r="C36" s="25">
        <f>+C35-B35</f>
        <v>-4539</v>
      </c>
      <c r="E36" s="25">
        <f>+E35-D35</f>
        <v>-20023</v>
      </c>
      <c r="F36" s="25">
        <f>+E36+C36</f>
        <v>-24562</v>
      </c>
      <c r="H36" s="32"/>
      <c r="I36" s="14">
        <f>+I35+I34</f>
        <v>-183024</v>
      </c>
      <c r="J36" s="14">
        <f>+J35+J34</f>
        <v>-128596</v>
      </c>
      <c r="K36" s="14">
        <f>+J36+I36</f>
        <v>-311620</v>
      </c>
      <c r="L36" s="14"/>
    </row>
    <row r="37" spans="1:13" x14ac:dyDescent="0.2">
      <c r="C37" s="316">
        <f>+summary!H5</f>
        <v>2.2599999999999998</v>
      </c>
      <c r="E37" s="104">
        <f>+C37</f>
        <v>2.2599999999999998</v>
      </c>
      <c r="F37" s="138">
        <f>+F36*E37</f>
        <v>-55510.119999999995</v>
      </c>
    </row>
    <row r="38" spans="1:13" x14ac:dyDescent="0.2">
      <c r="C38" s="138">
        <f>+C37*C36</f>
        <v>-10258.14</v>
      </c>
      <c r="E38" s="136">
        <f>+E37*E36</f>
        <v>-45251.979999999996</v>
      </c>
      <c r="F38" s="138">
        <f>+E38+C38</f>
        <v>-55510.119999999995</v>
      </c>
    </row>
    <row r="39" spans="1:13" x14ac:dyDescent="0.2">
      <c r="A39" s="57">
        <v>37225</v>
      </c>
      <c r="B39" s="2" t="s">
        <v>46</v>
      </c>
      <c r="C39" s="522">
        <v>-1023166.39</v>
      </c>
      <c r="D39" s="323"/>
      <c r="E39" s="508">
        <v>-526596.1</v>
      </c>
      <c r="F39" s="322">
        <f>+E39+C39</f>
        <v>-1549762.49</v>
      </c>
    </row>
    <row r="40" spans="1:13" x14ac:dyDescent="0.2">
      <c r="A40" s="57">
        <v>37256</v>
      </c>
      <c r="B40" s="2" t="s">
        <v>46</v>
      </c>
      <c r="C40" s="317">
        <f>+C39+C38</f>
        <v>-1033424.53</v>
      </c>
      <c r="D40" s="252"/>
      <c r="E40" s="317">
        <f>+E39+E38</f>
        <v>-571848.07999999996</v>
      </c>
      <c r="F40" s="317">
        <f>+E40+C40</f>
        <v>-1605272.6099999999</v>
      </c>
      <c r="H40" s="131"/>
    </row>
    <row r="41" spans="1:13" x14ac:dyDescent="0.2">
      <c r="C41" s="332"/>
      <c r="D41" s="246"/>
      <c r="E41" s="246"/>
      <c r="H41" s="31">
        <f>+C39+E39+F45+F46+F47+F48</f>
        <v>-2686904.37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113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48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21">
        <v>-51695.87</v>
      </c>
      <c r="G45" s="249" t="s">
        <v>123</v>
      </c>
      <c r="J45" s="12">
        <v>20379</v>
      </c>
      <c r="K45" s="500">
        <v>2979</v>
      </c>
      <c r="M45" s="14"/>
    </row>
    <row r="46" spans="1:13" x14ac:dyDescent="0.2">
      <c r="C46" s="246"/>
      <c r="D46" s="246"/>
      <c r="E46" s="12">
        <v>26357</v>
      </c>
      <c r="F46" s="520">
        <f>44144.84-58339.66</f>
        <v>-14194.820000000007</v>
      </c>
      <c r="G46" s="249" t="s">
        <v>124</v>
      </c>
      <c r="J46" s="12">
        <v>26357</v>
      </c>
      <c r="K46" s="500">
        <f>26521-24566</f>
        <v>1955</v>
      </c>
    </row>
    <row r="47" spans="1:13" x14ac:dyDescent="0.2">
      <c r="C47" s="246"/>
      <c r="D47" s="246"/>
      <c r="E47" s="12">
        <v>21544</v>
      </c>
      <c r="F47" s="521">
        <v>61340.160000000003</v>
      </c>
      <c r="G47" s="249" t="s">
        <v>125</v>
      </c>
      <c r="J47" s="12">
        <v>21544</v>
      </c>
      <c r="K47" s="500">
        <v>36108</v>
      </c>
    </row>
    <row r="48" spans="1:13" x14ac:dyDescent="0.2">
      <c r="C48" s="246"/>
      <c r="D48" s="246"/>
      <c r="E48" s="12">
        <v>24532</v>
      </c>
      <c r="F48" s="523">
        <v>-1132591.3500000001</v>
      </c>
      <c r="G48" s="249" t="s">
        <v>122</v>
      </c>
      <c r="J48" s="12">
        <v>24532</v>
      </c>
      <c r="K48" s="509">
        <v>-139694</v>
      </c>
    </row>
    <row r="49" spans="3:13" x14ac:dyDescent="0.2">
      <c r="C49" s="246"/>
      <c r="D49" s="246"/>
      <c r="F49" s="333">
        <f>SUM(F40:F48)</f>
        <v>-2742414.49</v>
      </c>
      <c r="G49" s="246"/>
      <c r="K49" s="14">
        <f>SUM(K36:K48)</f>
        <v>-410272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140</v>
      </c>
      <c r="F51" s="138">
        <f>+Duke!C57</f>
        <v>2751791.8</v>
      </c>
      <c r="M51" s="14">
        <f>+Duke!I57</f>
        <v>741283</v>
      </c>
    </row>
    <row r="53" spans="3:13" x14ac:dyDescent="0.2">
      <c r="F53" s="104">
        <f>+F51+F49</f>
        <v>9377.3099999995902</v>
      </c>
      <c r="M53" s="16">
        <f>+M51+K49</f>
        <v>331011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-1033424.53</v>
      </c>
    </row>
    <row r="74" spans="1:3" x14ac:dyDescent="0.2">
      <c r="A74">
        <v>22051</v>
      </c>
      <c r="B74" s="31">
        <f>+J36</f>
        <v>-128596</v>
      </c>
      <c r="C74" s="247">
        <f>+E40</f>
        <v>-571848.07999999996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186798</v>
      </c>
      <c r="C77" s="259">
        <f>+Duke!C48</f>
        <v>841974.51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381295</v>
      </c>
      <c r="C79" s="259">
        <f>+Duke!C20</f>
        <v>1537446.14</v>
      </c>
    </row>
    <row r="81" spans="2:3" x14ac:dyDescent="0.2">
      <c r="B81" s="31">
        <f>SUM(B68:B80)</f>
        <v>331011</v>
      </c>
      <c r="C81" s="259">
        <f>SUM(C68:C80)</f>
        <v>9377.309999999823</v>
      </c>
    </row>
    <row r="82" spans="2:3" x14ac:dyDescent="0.2">
      <c r="C82">
        <f>+C81/B81</f>
        <v>2.8329300234734869E-2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6402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-1830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6116</v>
      </c>
      <c r="C24" s="11">
        <v>5488</v>
      </c>
      <c r="D24" s="11">
        <v>2116</v>
      </c>
      <c r="E24" s="11">
        <v>1000</v>
      </c>
      <c r="F24" s="129">
        <v>949</v>
      </c>
      <c r="G24" s="11">
        <v>1011</v>
      </c>
      <c r="H24" s="11">
        <v>929</v>
      </c>
      <c r="I24" s="11">
        <v>1414</v>
      </c>
      <c r="J24" s="25">
        <f t="shared" si="0"/>
        <v>-1197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6326</v>
      </c>
      <c r="C25" s="11">
        <v>5488</v>
      </c>
      <c r="D25" s="11">
        <v>2017</v>
      </c>
      <c r="E25" s="11">
        <v>1000</v>
      </c>
      <c r="F25" s="129">
        <v>921</v>
      </c>
      <c r="G25" s="11">
        <v>1011</v>
      </c>
      <c r="H25" s="11">
        <v>1534</v>
      </c>
      <c r="I25" s="11">
        <v>1414</v>
      </c>
      <c r="J25" s="25">
        <f t="shared" si="0"/>
        <v>-1885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6116</v>
      </c>
      <c r="C26" s="11">
        <v>5688</v>
      </c>
      <c r="D26" s="11">
        <v>1932</v>
      </c>
      <c r="E26" s="11">
        <v>2300</v>
      </c>
      <c r="F26" s="129">
        <v>925</v>
      </c>
      <c r="G26" s="11">
        <v>1011</v>
      </c>
      <c r="H26" s="11">
        <v>1840</v>
      </c>
      <c r="I26" s="11">
        <v>1414</v>
      </c>
      <c r="J26" s="25">
        <f t="shared" si="0"/>
        <v>-400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6167</v>
      </c>
      <c r="C27" s="11">
        <v>5688</v>
      </c>
      <c r="D27" s="11">
        <v>1860</v>
      </c>
      <c r="E27" s="11">
        <v>2300</v>
      </c>
      <c r="F27" s="129">
        <v>915</v>
      </c>
      <c r="G27" s="11">
        <v>1011</v>
      </c>
      <c r="H27" s="11">
        <v>1725</v>
      </c>
      <c r="I27" s="11">
        <v>1414</v>
      </c>
      <c r="J27" s="25">
        <f t="shared" si="0"/>
        <v>-254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5989</v>
      </c>
      <c r="C28" s="11">
        <v>5688</v>
      </c>
      <c r="D28" s="11">
        <v>1807</v>
      </c>
      <c r="E28" s="11">
        <v>2300</v>
      </c>
      <c r="F28" s="129">
        <v>960</v>
      </c>
      <c r="G28" s="11">
        <v>1011</v>
      </c>
      <c r="H28" s="11">
        <v>1894</v>
      </c>
      <c r="I28" s="11">
        <v>1414</v>
      </c>
      <c r="J28" s="25">
        <f t="shared" si="0"/>
        <v>-237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5734</v>
      </c>
      <c r="C29" s="11">
        <v>5688</v>
      </c>
      <c r="D29" s="11">
        <v>1732</v>
      </c>
      <c r="E29" s="11">
        <v>2300</v>
      </c>
      <c r="F29" s="129">
        <v>937</v>
      </c>
      <c r="G29" s="11">
        <v>1011</v>
      </c>
      <c r="H29" s="11">
        <v>1915</v>
      </c>
      <c r="I29" s="11">
        <v>1414</v>
      </c>
      <c r="J29" s="25">
        <f t="shared" si="0"/>
        <v>95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5510</v>
      </c>
      <c r="C30" s="11">
        <v>5688</v>
      </c>
      <c r="D30" s="11">
        <v>1652</v>
      </c>
      <c r="E30" s="11">
        <v>2300</v>
      </c>
      <c r="F30" s="129">
        <v>921</v>
      </c>
      <c r="G30" s="11">
        <v>1011</v>
      </c>
      <c r="H30" s="11">
        <v>1733</v>
      </c>
      <c r="I30" s="11">
        <v>1414</v>
      </c>
      <c r="J30" s="25">
        <f t="shared" si="0"/>
        <v>597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5377</v>
      </c>
      <c r="C31" s="11">
        <v>5688</v>
      </c>
      <c r="D31" s="11">
        <v>1567</v>
      </c>
      <c r="E31" s="11">
        <v>2300</v>
      </c>
      <c r="F31" s="129">
        <v>307</v>
      </c>
      <c r="G31" s="11">
        <v>1011</v>
      </c>
      <c r="H31" s="11">
        <v>1634</v>
      </c>
      <c r="I31" s="11">
        <v>1414</v>
      </c>
      <c r="J31" s="25">
        <f t="shared" si="0"/>
        <v>1528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5763</v>
      </c>
      <c r="C32" s="11">
        <v>5688</v>
      </c>
      <c r="D32" s="11">
        <v>1512</v>
      </c>
      <c r="E32" s="11">
        <v>2300</v>
      </c>
      <c r="F32" s="129">
        <v>1048</v>
      </c>
      <c r="G32" s="11">
        <v>1011</v>
      </c>
      <c r="H32" s="11">
        <v>1565</v>
      </c>
      <c r="I32" s="11">
        <v>1414</v>
      </c>
      <c r="J32" s="25">
        <f t="shared" si="0"/>
        <v>525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6039</v>
      </c>
      <c r="C33" s="11">
        <v>5688</v>
      </c>
      <c r="D33" s="11">
        <v>1450</v>
      </c>
      <c r="E33" s="11">
        <v>2300</v>
      </c>
      <c r="F33" s="129">
        <v>1107</v>
      </c>
      <c r="G33" s="11">
        <v>1011</v>
      </c>
      <c r="H33" s="11">
        <v>1519</v>
      </c>
      <c r="I33" s="11">
        <v>1414</v>
      </c>
      <c r="J33" s="25">
        <f t="shared" si="0"/>
        <v>298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5935</v>
      </c>
      <c r="C34" s="11">
        <v>5688</v>
      </c>
      <c r="D34" s="11">
        <v>1378</v>
      </c>
      <c r="E34" s="11">
        <v>2300</v>
      </c>
      <c r="F34" s="129">
        <v>991</v>
      </c>
      <c r="G34" s="11">
        <v>1011</v>
      </c>
      <c r="H34" s="11">
        <v>1526</v>
      </c>
      <c r="I34" s="11">
        <v>1414</v>
      </c>
      <c r="J34" s="25">
        <f t="shared" si="0"/>
        <v>583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5801</v>
      </c>
      <c r="C35" s="11">
        <v>5688</v>
      </c>
      <c r="D35" s="11">
        <v>1313</v>
      </c>
      <c r="E35" s="11">
        <v>2300</v>
      </c>
      <c r="F35" s="129">
        <v>1040</v>
      </c>
      <c r="G35" s="11">
        <v>1011</v>
      </c>
      <c r="H35" s="11">
        <v>1637</v>
      </c>
      <c r="I35" s="11">
        <v>1414</v>
      </c>
      <c r="J35" s="25">
        <f t="shared" si="0"/>
        <v>622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5837</v>
      </c>
      <c r="C36" s="11">
        <v>5688</v>
      </c>
      <c r="D36" s="11">
        <v>1243</v>
      </c>
      <c r="E36" s="11">
        <v>2300</v>
      </c>
      <c r="F36" s="129">
        <v>1061</v>
      </c>
      <c r="G36" s="11">
        <v>1011</v>
      </c>
      <c r="H36" s="11">
        <v>1641</v>
      </c>
      <c r="I36" s="11">
        <v>1414</v>
      </c>
      <c r="J36" s="25">
        <f t="shared" si="0"/>
        <v>631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5579</v>
      </c>
      <c r="C37" s="11">
        <v>5688</v>
      </c>
      <c r="D37" s="11">
        <v>1172</v>
      </c>
      <c r="E37" s="11">
        <v>2300</v>
      </c>
      <c r="F37" s="129">
        <v>884</v>
      </c>
      <c r="G37" s="11">
        <v>1011</v>
      </c>
      <c r="H37" s="11">
        <v>1544</v>
      </c>
      <c r="I37" s="11">
        <v>1414</v>
      </c>
      <c r="J37" s="25">
        <f t="shared" si="0"/>
        <v>1234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>
        <v>5323</v>
      </c>
      <c r="C38" s="11">
        <v>5688</v>
      </c>
      <c r="D38" s="11">
        <v>1097</v>
      </c>
      <c r="E38" s="11">
        <v>2300</v>
      </c>
      <c r="F38" s="129">
        <v>1032</v>
      </c>
      <c r="G38" s="11">
        <v>1011</v>
      </c>
      <c r="H38" s="11">
        <v>1583</v>
      </c>
      <c r="I38" s="11">
        <v>1414</v>
      </c>
      <c r="J38" s="25">
        <f t="shared" si="0"/>
        <v>1378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173836</v>
      </c>
      <c r="C39" s="11">
        <f t="shared" si="1"/>
        <v>172728</v>
      </c>
      <c r="D39" s="11">
        <f t="shared" si="1"/>
        <v>47641</v>
      </c>
      <c r="E39" s="11">
        <f t="shared" si="1"/>
        <v>40900</v>
      </c>
      <c r="F39" s="129">
        <f t="shared" si="1"/>
        <v>29672</v>
      </c>
      <c r="G39" s="11">
        <f t="shared" si="1"/>
        <v>30677</v>
      </c>
      <c r="H39" s="11">
        <f t="shared" si="1"/>
        <v>46658</v>
      </c>
      <c r="I39" s="11">
        <f t="shared" si="1"/>
        <v>43834</v>
      </c>
      <c r="J39" s="25">
        <f t="shared" si="1"/>
        <v>-9668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-21753</v>
      </c>
      <c r="L41"/>
      <c r="R41" s="138"/>
      <c r="X41" s="138"/>
    </row>
    <row r="42" spans="1:24" x14ac:dyDescent="0.2">
      <c r="A42" s="57">
        <v>37225</v>
      </c>
      <c r="C42" s="15"/>
      <c r="J42" s="519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37256</v>
      </c>
      <c r="C43" s="48"/>
      <c r="J43" s="138">
        <f>+J42+J41</f>
        <v>401413.07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09">
        <v>174196</v>
      </c>
      <c r="L47"/>
    </row>
    <row r="48" spans="1:24" x14ac:dyDescent="0.2">
      <c r="A48" s="49">
        <f>+A43</f>
        <v>37256</v>
      </c>
      <c r="B48" s="32"/>
      <c r="C48" s="32"/>
      <c r="D48" s="355">
        <f>+J39</f>
        <v>-9668</v>
      </c>
      <c r="L48"/>
    </row>
    <row r="49" spans="1:12" x14ac:dyDescent="0.2">
      <c r="A49" s="32"/>
      <c r="B49" s="32"/>
      <c r="C49" s="32"/>
      <c r="D49" s="14">
        <f>+D48+D47</f>
        <v>164528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>
        <v>11067</v>
      </c>
      <c r="C16" s="419">
        <v>10932</v>
      </c>
      <c r="D16" s="419">
        <v>-36</v>
      </c>
      <c r="E16" s="419"/>
      <c r="F16" s="310">
        <f t="shared" si="0"/>
        <v>-99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>
        <v>11312</v>
      </c>
      <c r="C17" s="419">
        <v>10932</v>
      </c>
      <c r="D17" s="419">
        <v>-13</v>
      </c>
      <c r="E17" s="419"/>
      <c r="F17" s="310">
        <f t="shared" si="0"/>
        <v>-367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>
        <v>12111</v>
      </c>
      <c r="C18" s="419">
        <v>10932</v>
      </c>
      <c r="D18" s="419">
        <v>-37</v>
      </c>
      <c r="E18" s="419"/>
      <c r="F18" s="310">
        <f t="shared" si="0"/>
        <v>-1142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>
        <v>11738</v>
      </c>
      <c r="C19" s="419">
        <v>10157</v>
      </c>
      <c r="D19" s="419">
        <v>-23</v>
      </c>
      <c r="E19" s="419"/>
      <c r="F19" s="310">
        <f t="shared" si="0"/>
        <v>-1558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>
        <v>10888</v>
      </c>
      <c r="C20" s="419">
        <v>10157</v>
      </c>
      <c r="D20" s="419">
        <v>-36</v>
      </c>
      <c r="E20" s="419"/>
      <c r="F20" s="310">
        <f t="shared" si="0"/>
        <v>-695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>
        <v>11402</v>
      </c>
      <c r="C21" s="419">
        <v>10157</v>
      </c>
      <c r="D21" s="419">
        <v>-64</v>
      </c>
      <c r="E21" s="419"/>
      <c r="F21" s="310">
        <f t="shared" si="0"/>
        <v>-1181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>
        <v>12146</v>
      </c>
      <c r="C22" s="419">
        <v>10157</v>
      </c>
      <c r="D22" s="419">
        <v>-98</v>
      </c>
      <c r="E22" s="419"/>
      <c r="F22" s="310">
        <f t="shared" si="0"/>
        <v>-1891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>
        <v>11119</v>
      </c>
      <c r="C23" s="419">
        <v>10157</v>
      </c>
      <c r="D23" s="419">
        <v>-89</v>
      </c>
      <c r="E23" s="419"/>
      <c r="F23" s="310">
        <f t="shared" si="0"/>
        <v>-873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>
        <v>12181</v>
      </c>
      <c r="C24" s="419">
        <v>10157</v>
      </c>
      <c r="D24" s="419">
        <v>-250</v>
      </c>
      <c r="E24" s="419"/>
      <c r="F24" s="310">
        <f t="shared" si="0"/>
        <v>-1774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>
        <v>13410</v>
      </c>
      <c r="C25" s="419">
        <v>10157</v>
      </c>
      <c r="D25" s="419">
        <v>-31</v>
      </c>
      <c r="E25" s="419"/>
      <c r="F25" s="310">
        <f t="shared" si="0"/>
        <v>-3222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>
        <v>13193</v>
      </c>
      <c r="C26" s="419">
        <v>10157</v>
      </c>
      <c r="D26" s="419">
        <v>-57</v>
      </c>
      <c r="E26" s="419"/>
      <c r="F26" s="310">
        <f t="shared" si="0"/>
        <v>-2979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>
        <v>14842</v>
      </c>
      <c r="C27" s="419">
        <v>10157</v>
      </c>
      <c r="D27" s="419">
        <v>-110</v>
      </c>
      <c r="E27" s="419"/>
      <c r="F27" s="310">
        <f t="shared" si="0"/>
        <v>-4575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>
        <v>16244</v>
      </c>
      <c r="C28" s="419">
        <v>10157</v>
      </c>
      <c r="D28" s="419">
        <v>-1190</v>
      </c>
      <c r="E28" s="419"/>
      <c r="F28" s="310">
        <f t="shared" si="0"/>
        <v>-4897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>
        <v>20211</v>
      </c>
      <c r="C29" s="419">
        <v>10157</v>
      </c>
      <c r="D29" s="419">
        <v>-3524</v>
      </c>
      <c r="E29" s="419"/>
      <c r="F29" s="310">
        <f t="shared" si="0"/>
        <v>-6530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>
        <v>23933</v>
      </c>
      <c r="C30" s="419">
        <v>10157</v>
      </c>
      <c r="D30" s="419">
        <v>-3480</v>
      </c>
      <c r="E30" s="419"/>
      <c r="F30" s="310">
        <f t="shared" si="0"/>
        <v>-10296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>
        <v>18188</v>
      </c>
      <c r="C31" s="419">
        <v>10157</v>
      </c>
      <c r="D31" s="419">
        <v>-3553</v>
      </c>
      <c r="E31" s="419"/>
      <c r="F31" s="310">
        <f t="shared" si="0"/>
        <v>-4478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>
        <v>17902</v>
      </c>
      <c r="C32" s="419">
        <v>10157</v>
      </c>
      <c r="D32" s="419">
        <v>-3522</v>
      </c>
      <c r="E32" s="419"/>
      <c r="F32" s="310">
        <f t="shared" si="0"/>
        <v>-4223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>
        <v>17654</v>
      </c>
      <c r="C33" s="419">
        <v>10157</v>
      </c>
      <c r="D33" s="419">
        <v>-3519</v>
      </c>
      <c r="E33" s="419"/>
      <c r="F33" s="310">
        <f t="shared" si="0"/>
        <v>-3978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>
        <v>19957</v>
      </c>
      <c r="C34" s="419">
        <v>10157</v>
      </c>
      <c r="D34" s="419">
        <v>-3511</v>
      </c>
      <c r="E34" s="419"/>
      <c r="F34" s="310">
        <f t="shared" si="0"/>
        <v>-6289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>
        <v>20717</v>
      </c>
      <c r="C35" s="419">
        <v>10157</v>
      </c>
      <c r="D35" s="419">
        <v>-2399</v>
      </c>
      <c r="E35" s="419"/>
      <c r="F35" s="310">
        <f t="shared" si="0"/>
        <v>-8161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>
        <v>14964</v>
      </c>
      <c r="C36" s="419">
        <v>10157</v>
      </c>
      <c r="D36" s="419">
        <v>-1930</v>
      </c>
      <c r="E36" s="419"/>
      <c r="F36" s="310">
        <f t="shared" si="0"/>
        <v>-2877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>
        <v>16327</v>
      </c>
      <c r="C37" s="419">
        <v>10157</v>
      </c>
      <c r="D37" s="419">
        <v>-3521</v>
      </c>
      <c r="E37" s="419"/>
      <c r="F37" s="310">
        <f t="shared" si="0"/>
        <v>-2649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>
        <v>14420</v>
      </c>
      <c r="C38" s="419">
        <v>10157</v>
      </c>
      <c r="D38" s="419">
        <v>-3748</v>
      </c>
      <c r="E38" s="419"/>
      <c r="F38" s="310">
        <f t="shared" si="0"/>
        <v>-515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450969</v>
      </c>
      <c r="C39" s="419">
        <f>SUM(C8:C38)</f>
        <v>323291</v>
      </c>
      <c r="D39" s="419">
        <f>SUM(D8:D38)</f>
        <v>-35014</v>
      </c>
      <c r="E39" s="419">
        <f>SUM(E8:E38)</f>
        <v>0</v>
      </c>
      <c r="F39" s="419">
        <f>SUM(F8:F38)</f>
        <v>-92664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-208494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85"/>
      <c r="C42" s="443"/>
      <c r="D42" s="443"/>
      <c r="E42" s="443"/>
      <c r="F42" s="510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37256</v>
      </c>
      <c r="B43" s="285"/>
      <c r="C43" s="444"/>
      <c r="D43" s="444"/>
      <c r="E43" s="444"/>
      <c r="F43" s="425">
        <f>+F42+F41</f>
        <v>183895.58000000002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09">
        <v>-260608</v>
      </c>
      <c r="E47" s="11"/>
    </row>
    <row r="48" spans="1:26" x14ac:dyDescent="0.2">
      <c r="A48" s="49">
        <f>+A43</f>
        <v>37256</v>
      </c>
      <c r="B48" s="32"/>
      <c r="C48" s="32"/>
      <c r="D48" s="355">
        <f>+F39</f>
        <v>-92664</v>
      </c>
      <c r="E48" s="11"/>
    </row>
    <row r="49" spans="1:5" x14ac:dyDescent="0.2">
      <c r="A49" s="32"/>
      <c r="B49" s="32"/>
      <c r="C49" s="32"/>
      <c r="D49" s="14">
        <f>+D48+D47</f>
        <v>-353272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6" workbookViewId="0">
      <selection activeCell="A14" sqref="A14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82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">
      <c r="G3" s="289" t="s">
        <v>30</v>
      </c>
      <c r="H3" s="349">
        <v>2.2400000000000002</v>
      </c>
      <c r="I3" s="381">
        <f ca="1">NOW()</f>
        <v>41885.682435532406</v>
      </c>
    </row>
    <row r="4" spans="1:32" ht="15" customHeight="1" x14ac:dyDescent="0.2">
      <c r="A4" s="34" t="s">
        <v>148</v>
      </c>
      <c r="C4" s="34" t="s">
        <v>5</v>
      </c>
      <c r="G4" s="290" t="s">
        <v>31</v>
      </c>
      <c r="H4" s="291">
        <v>2.25</v>
      </c>
    </row>
    <row r="5" spans="1:32" ht="15" customHeight="1" x14ac:dyDescent="0.2">
      <c r="B5" s="348"/>
      <c r="G5" s="289" t="s">
        <v>118</v>
      </c>
      <c r="H5" s="349">
        <v>2.2599999999999998</v>
      </c>
    </row>
    <row r="6" spans="1:32" ht="12" customHeight="1" x14ac:dyDescent="0.2">
      <c r="C6" s="448"/>
    </row>
    <row r="7" spans="1:32" ht="15" customHeight="1" x14ac:dyDescent="0.2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">
      <c r="A8" s="204" t="s">
        <v>257</v>
      </c>
      <c r="B8" s="493">
        <f>+Duke!$C$20</f>
        <v>1537446.14</v>
      </c>
      <c r="C8" s="206">
        <f>+B8/$H$5</f>
        <v>680285.90265486727</v>
      </c>
      <c r="D8" s="371">
        <f>+Duke!A7</f>
        <v>37256</v>
      </c>
      <c r="E8" s="204" t="s">
        <v>86</v>
      </c>
      <c r="F8" s="204" t="s">
        <v>101</v>
      </c>
      <c r="G8" s="204" t="s">
        <v>320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4" t="s">
        <v>264</v>
      </c>
      <c r="B9" s="493">
        <f>+Duke!$C$54+Duke!$C$53+Duke!$C$48+Duke!$C$33</f>
        <v>1214345.6599999999</v>
      </c>
      <c r="C9" s="206">
        <f>+B9/$H$5</f>
        <v>537321.08849557524</v>
      </c>
      <c r="D9" s="371">
        <f>+DEFS!A40</f>
        <v>37256</v>
      </c>
      <c r="E9" s="204" t="s">
        <v>86</v>
      </c>
      <c r="F9" s="204" t="s">
        <v>101</v>
      </c>
      <c r="G9" s="204" t="s">
        <v>322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480" t="s">
        <v>83</v>
      </c>
      <c r="B10" s="493">
        <f>+PNM!$D$23</f>
        <v>713715.32000000007</v>
      </c>
      <c r="C10" s="275">
        <f>+B10/$H$4</f>
        <v>317206.80888888892</v>
      </c>
      <c r="D10" s="372">
        <f>+PNM!A23</f>
        <v>37256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480" t="s">
        <v>81</v>
      </c>
      <c r="B11" s="493">
        <f>+Conoco!$F$41</f>
        <v>460431.19</v>
      </c>
      <c r="C11" s="275">
        <f>+B11/$H$4</f>
        <v>204636.08444444445</v>
      </c>
      <c r="D11" s="371">
        <f>+Conoco!A41</f>
        <v>37256</v>
      </c>
      <c r="E11" s="32" t="s">
        <v>86</v>
      </c>
      <c r="F11" s="32" t="s">
        <v>114</v>
      </c>
      <c r="G11" s="32" t="s">
        <v>145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480" t="s">
        <v>95</v>
      </c>
      <c r="B12" s="493">
        <f>+C12*$H$4</f>
        <v>420356.25</v>
      </c>
      <c r="C12" s="275">
        <f>+Mojave!D40</f>
        <v>186825</v>
      </c>
      <c r="D12" s="372">
        <f>+Mojave!A40</f>
        <v>37256</v>
      </c>
      <c r="E12" s="32" t="s">
        <v>85</v>
      </c>
      <c r="F12" s="32" t="s">
        <v>101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480" t="s">
        <v>2</v>
      </c>
      <c r="B13" s="493">
        <f>+mewborne!$J$43</f>
        <v>401413.07</v>
      </c>
      <c r="C13" s="275">
        <f>+B13/$H$4</f>
        <v>178405.80888888889</v>
      </c>
      <c r="D13" s="372">
        <f>+mewborne!A43</f>
        <v>37256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480" t="s">
        <v>108</v>
      </c>
      <c r="B14" s="493">
        <f>+KN_Westar!F41</f>
        <v>375563.64</v>
      </c>
      <c r="C14" s="275">
        <f>+B14/$H$4</f>
        <v>166917.17333333334</v>
      </c>
      <c r="D14" s="372">
        <f>+KN_Westar!A41</f>
        <v>37250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480" t="s">
        <v>89</v>
      </c>
      <c r="B15" s="493">
        <f>+C15*$H$5</f>
        <v>262408.59999999998</v>
      </c>
      <c r="C15" s="275">
        <f>+NGPL!F38</f>
        <v>116110</v>
      </c>
      <c r="D15" s="372">
        <f>+NGPL!A38</f>
        <v>37256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+B8+B9+B40</f>
        <v>9377.3099999995902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479" t="s">
        <v>33</v>
      </c>
      <c r="B16" s="493">
        <f>+C16*$H$4</f>
        <v>234945</v>
      </c>
      <c r="C16" s="206">
        <f>+SoCal!F40</f>
        <v>104420</v>
      </c>
      <c r="D16" s="371">
        <f>+SoCal!A40</f>
        <v>37256</v>
      </c>
      <c r="E16" s="204" t="s">
        <v>85</v>
      </c>
      <c r="F16" s="204" t="s">
        <v>103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480" t="s">
        <v>3</v>
      </c>
      <c r="B17" s="493">
        <f>+'Amoco Abo'!$F$43</f>
        <v>183895.58000000002</v>
      </c>
      <c r="C17" s="275">
        <f>+B17/$H$4</f>
        <v>81731.368888888901</v>
      </c>
      <c r="D17" s="372">
        <f>+'Amoco Abo'!A43</f>
        <v>37256</v>
      </c>
      <c r="E17" s="32" t="s">
        <v>86</v>
      </c>
      <c r="F17" s="32" t="s">
        <v>116</v>
      </c>
      <c r="G17" s="32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479" t="s">
        <v>129</v>
      </c>
      <c r="B18" s="493">
        <f>+Calpine!D41</f>
        <v>181805</v>
      </c>
      <c r="C18" s="206">
        <f>+B18/$H$4</f>
        <v>80802.222222222219</v>
      </c>
      <c r="D18" s="371">
        <f>+Calpine!A41</f>
        <v>37256</v>
      </c>
      <c r="E18" s="204" t="s">
        <v>86</v>
      </c>
      <c r="F18" s="204" t="s">
        <v>100</v>
      </c>
      <c r="G18" s="204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480" t="s">
        <v>214</v>
      </c>
      <c r="B19" s="493">
        <f>+Dominion!D41</f>
        <v>180031.53</v>
      </c>
      <c r="C19" s="275">
        <f>+B19/$H$5</f>
        <v>79659.969026548686</v>
      </c>
      <c r="D19" s="372">
        <f>+Dominion!A41</f>
        <v>37256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480" t="s">
        <v>217</v>
      </c>
      <c r="B20" s="493">
        <f>+Devon!D41</f>
        <v>161290.23000000001</v>
      </c>
      <c r="C20" s="275">
        <f>+B20/$H$5</f>
        <v>71367.358407079664</v>
      </c>
      <c r="D20" s="372">
        <f>+Devon!A41</f>
        <v>37256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480" t="s">
        <v>115</v>
      </c>
      <c r="B21" s="493">
        <f>+C21*$H$4</f>
        <v>132909.75</v>
      </c>
      <c r="C21" s="206">
        <f>+'PG&amp;E'!D40</f>
        <v>59071</v>
      </c>
      <c r="D21" s="372">
        <f>+'PG&amp;E'!A40</f>
        <v>37256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480" t="s">
        <v>225</v>
      </c>
      <c r="B22" s="493">
        <f>+Amarillo!P41</f>
        <v>114286.65</v>
      </c>
      <c r="C22" s="275">
        <f>+B22/$H$4</f>
        <v>50794.066666666666</v>
      </c>
      <c r="D22" s="372">
        <f>+Amarillo!A41</f>
        <v>37256</v>
      </c>
      <c r="E22" s="32" t="s">
        <v>86</v>
      </c>
      <c r="F22" s="32" t="s">
        <v>114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480" t="s">
        <v>131</v>
      </c>
      <c r="B23" s="493">
        <f>+EPFS!D41</f>
        <v>85004.19</v>
      </c>
      <c r="C23" s="206">
        <f>+B23/$H$5</f>
        <v>37612.473451327438</v>
      </c>
      <c r="D23" s="371">
        <f>+EPFS!A41</f>
        <v>37256</v>
      </c>
      <c r="E23" s="32" t="s">
        <v>86</v>
      </c>
      <c r="F23" s="32" t="s">
        <v>103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204" t="s">
        <v>34</v>
      </c>
      <c r="B24" s="493">
        <f>+'El Paso'!C39*summary!H4+'El Paso'!E39*summary!H3</f>
        <v>77646.14</v>
      </c>
      <c r="C24" s="275">
        <f>+'El Paso'!H39</f>
        <v>34377</v>
      </c>
      <c r="D24" s="371">
        <f>+'El Paso'!A39</f>
        <v>37256</v>
      </c>
      <c r="E24" s="204" t="s">
        <v>85</v>
      </c>
      <c r="F24" s="204" t="s">
        <v>101</v>
      </c>
      <c r="G24" s="204"/>
      <c r="H24" s="15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481" t="s">
        <v>80</v>
      </c>
      <c r="B25" s="492">
        <f>+Agave!$D$24</f>
        <v>68958.7</v>
      </c>
      <c r="C25" s="472">
        <f>+B25/$H$4</f>
        <v>30648.31111111111</v>
      </c>
      <c r="D25" s="471">
        <f>+Agave!A24</f>
        <v>37256</v>
      </c>
      <c r="E25" s="451" t="s">
        <v>86</v>
      </c>
      <c r="F25" s="451" t="s">
        <v>103</v>
      </c>
      <c r="G25" s="451"/>
      <c r="H25" s="204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479" t="s">
        <v>141</v>
      </c>
      <c r="B26" s="493">
        <f>+'Citizens-Griffith'!D41</f>
        <v>67744.5</v>
      </c>
      <c r="C26" s="275">
        <f>+B26/$H$4</f>
        <v>30108.666666666668</v>
      </c>
      <c r="D26" s="371">
        <f>+'Citizens-Griffith'!A41</f>
        <v>37256</v>
      </c>
      <c r="E26" s="204" t="s">
        <v>86</v>
      </c>
      <c r="F26" s="204" t="s">
        <v>100</v>
      </c>
      <c r="G26" s="204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480" t="s">
        <v>24</v>
      </c>
      <c r="B27" s="493">
        <f>+C27*$H$3</f>
        <v>67751.040000000008</v>
      </c>
      <c r="C27" s="353">
        <f>+'Red C'!$F$45</f>
        <v>30246</v>
      </c>
      <c r="D27" s="371">
        <f>+'Red C'!A45</f>
        <v>37256</v>
      </c>
      <c r="E27" s="204" t="s">
        <v>85</v>
      </c>
      <c r="F27" s="32" t="s">
        <v>116</v>
      </c>
      <c r="G27" s="32"/>
      <c r="H27" s="32"/>
      <c r="I27" s="204"/>
      <c r="J27" s="204"/>
      <c r="K27" s="204"/>
      <c r="L27" s="32" t="s">
        <v>251</v>
      </c>
      <c r="M27" s="483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479" t="s">
        <v>88</v>
      </c>
      <c r="B28" s="493">
        <f>+NNG!$D$24</f>
        <v>58522.5</v>
      </c>
      <c r="C28" s="275">
        <f>+B28/$H$4</f>
        <v>26010</v>
      </c>
      <c r="D28" s="371">
        <f>+NNG!A24</f>
        <v>37256</v>
      </c>
      <c r="E28" s="204" t="s">
        <v>86</v>
      </c>
      <c r="F28" s="204" t="s">
        <v>101</v>
      </c>
      <c r="G28" s="32"/>
      <c r="H28" s="204"/>
      <c r="I28" s="204"/>
      <c r="J28" s="204"/>
      <c r="K28" s="204"/>
      <c r="L28" s="204" t="s">
        <v>250</v>
      </c>
      <c r="M28" s="483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04" t="s">
        <v>96</v>
      </c>
      <c r="B29" s="493">
        <f>+burlington!D42</f>
        <v>47283.44</v>
      </c>
      <c r="C29" s="275">
        <f>+B29/$H$3</f>
        <v>21108.678571428569</v>
      </c>
      <c r="D29" s="371">
        <f>+burlington!A42</f>
        <v>37256</v>
      </c>
      <c r="E29" s="204" t="s">
        <v>86</v>
      </c>
      <c r="F29" s="32" t="s">
        <v>114</v>
      </c>
      <c r="G29" s="32"/>
      <c r="H29" s="204"/>
      <c r="I29" s="204"/>
      <c r="J29" s="204"/>
      <c r="K29" s="204"/>
      <c r="L29" s="204"/>
      <c r="M29" s="483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480" t="s">
        <v>133</v>
      </c>
      <c r="B30" s="493">
        <f>+SidR!D41</f>
        <v>45576.47</v>
      </c>
      <c r="C30" s="275">
        <f>+B30/$H$5</f>
        <v>20166.579646017701</v>
      </c>
      <c r="D30" s="372">
        <f>+SidR!A41</f>
        <v>37256</v>
      </c>
      <c r="E30" s="32" t="s">
        <v>86</v>
      </c>
      <c r="F30" s="32" t="s">
        <v>103</v>
      </c>
      <c r="G30" s="32"/>
      <c r="H30" s="204"/>
      <c r="I30" s="204"/>
      <c r="J30" s="204"/>
      <c r="K30" s="204"/>
      <c r="L30" s="204"/>
      <c r="M30" s="483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480" t="s">
        <v>111</v>
      </c>
      <c r="B31" s="493">
        <f>+C31*$H$4</f>
        <v>36738</v>
      </c>
      <c r="C31" s="275">
        <f>+CIG!D42</f>
        <v>16328</v>
      </c>
      <c r="D31" s="372">
        <f>+CIG!A42</f>
        <v>37256</v>
      </c>
      <c r="E31" s="204" t="s">
        <v>85</v>
      </c>
      <c r="F31" s="32" t="s">
        <v>114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480" t="s">
        <v>313</v>
      </c>
      <c r="B32" s="493">
        <f>+'WTG inc'!N43</f>
        <v>32493.99</v>
      </c>
      <c r="C32" s="275">
        <f>+B32/$H$4</f>
        <v>14441.773333333334</v>
      </c>
      <c r="D32" s="372">
        <f>+'WTG inc'!A43</f>
        <v>37256</v>
      </c>
      <c r="E32" s="32" t="s">
        <v>86</v>
      </c>
      <c r="F32" s="32" t="s">
        <v>103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">
      <c r="A33" s="479" t="s">
        <v>110</v>
      </c>
      <c r="B33" s="493">
        <f>+Continental!F43</f>
        <v>34262.240000000005</v>
      </c>
      <c r="C33" s="206">
        <f>+B33/$H$4</f>
        <v>15227.662222222225</v>
      </c>
      <c r="D33" s="371">
        <f>+Continental!A43</f>
        <v>37256</v>
      </c>
      <c r="E33" s="204" t="s">
        <v>86</v>
      </c>
      <c r="F33" s="204" t="s">
        <v>116</v>
      </c>
      <c r="G33" s="204"/>
      <c r="H33" s="204"/>
      <c r="I33" s="204"/>
      <c r="J33" s="204"/>
      <c r="K33" s="204"/>
      <c r="L33" s="204"/>
      <c r="M33" s="483"/>
      <c r="N33" s="273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480" t="s">
        <v>32</v>
      </c>
      <c r="B34" s="493">
        <f>+Lonestar!F43</f>
        <v>19943.240000000002</v>
      </c>
      <c r="C34" s="275">
        <f>+B34/$H$5</f>
        <v>8824.4424778761077</v>
      </c>
      <c r="D34" s="371">
        <f>+Lonestar!A43</f>
        <v>37256</v>
      </c>
      <c r="E34" s="32" t="s">
        <v>85</v>
      </c>
      <c r="F34" s="32" t="s">
        <v>103</v>
      </c>
      <c r="G34" s="32" t="s">
        <v>323</v>
      </c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479" t="s">
        <v>72</v>
      </c>
      <c r="B35" s="495">
        <f>+transcol!$D$43</f>
        <v>12821.4</v>
      </c>
      <c r="C35" s="353">
        <f>+B35/$H$4</f>
        <v>5698.4</v>
      </c>
      <c r="D35" s="371">
        <f>+transcol!A43</f>
        <v>37256</v>
      </c>
      <c r="E35" s="204" t="s">
        <v>86</v>
      </c>
      <c r="F35" s="204" t="s">
        <v>116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32" t="s">
        <v>104</v>
      </c>
      <c r="B36" s="532">
        <f>+EOG!$J$41</f>
        <v>4884.9599999999991</v>
      </c>
      <c r="C36" s="71">
        <f>+B36/$H$4</f>
        <v>2171.0933333333328</v>
      </c>
      <c r="D36" s="371">
        <f>+EOG!A41</f>
        <v>37256</v>
      </c>
      <c r="E36" s="32" t="s">
        <v>86</v>
      </c>
      <c r="F36" s="32" t="s">
        <v>103</v>
      </c>
      <c r="G36" s="32"/>
      <c r="H36" s="204"/>
      <c r="I36" s="204"/>
      <c r="J36" s="204"/>
      <c r="K36" s="204"/>
      <c r="L36" s="32" t="s">
        <v>252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97</v>
      </c>
      <c r="B37" s="47">
        <f>SUM(B8:B36)</f>
        <v>7234474.4200000027</v>
      </c>
      <c r="C37" s="69">
        <f>SUM(C8:C36)</f>
        <v>3208522.9327307213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90</v>
      </c>
      <c r="B39" s="339" t="s">
        <v>17</v>
      </c>
      <c r="C39" s="340" t="s">
        <v>0</v>
      </c>
      <c r="D39" s="347" t="s">
        <v>149</v>
      </c>
      <c r="E39" s="338" t="s">
        <v>91</v>
      </c>
      <c r="F39" s="341" t="s">
        <v>102</v>
      </c>
      <c r="G39" s="338" t="s">
        <v>99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04" t="s">
        <v>256</v>
      </c>
      <c r="B40" s="495">
        <f>+DEFS!$C$40+DEFS!$E$40+DEFS!$F$44+DEFS!$F$45+DEFS!$F$46+DEFS!$F$47+DEFS!$F$48</f>
        <v>-2742414.49</v>
      </c>
      <c r="C40" s="353">
        <f>+B40/$H$5</f>
        <v>-1213457.7389380534</v>
      </c>
      <c r="D40" s="371">
        <f>+DEFS!A40</f>
        <v>37256</v>
      </c>
      <c r="E40" s="204" t="s">
        <v>86</v>
      </c>
      <c r="F40" s="32" t="s">
        <v>101</v>
      </c>
      <c r="G40" s="32" t="s">
        <v>321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04" t="s">
        <v>137</v>
      </c>
      <c r="B41" s="493">
        <f>+Citizens!D18</f>
        <v>-538712.04</v>
      </c>
      <c r="C41" s="206">
        <f>+B41/$H$4</f>
        <v>-239427.57333333336</v>
      </c>
      <c r="D41" s="371">
        <f>+Citizens!A18</f>
        <v>37256</v>
      </c>
      <c r="E41" s="204" t="s">
        <v>86</v>
      </c>
      <c r="F41" s="204" t="s">
        <v>100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32" t="s">
        <v>135</v>
      </c>
      <c r="B42" s="493">
        <f>+'NS Steel'!D41</f>
        <v>-355805.25</v>
      </c>
      <c r="C42" s="206">
        <f>+B42/$H$4</f>
        <v>-158135.66666666666</v>
      </c>
      <c r="D42" s="372">
        <f>+'NS Steel'!A41</f>
        <v>37256</v>
      </c>
      <c r="E42" s="32" t="s">
        <v>86</v>
      </c>
      <c r="F42" s="32" t="s">
        <v>101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204" t="s">
        <v>268</v>
      </c>
      <c r="B43" s="493">
        <f>+MiVida_Rich!D41</f>
        <v>-195699.5</v>
      </c>
      <c r="C43" s="206">
        <f>+B43/$H$5</f>
        <v>-86592.699115044263</v>
      </c>
      <c r="D43" s="371">
        <f>+MiVida_Rich!A41</f>
        <v>37225</v>
      </c>
      <c r="E43" s="204" t="s">
        <v>86</v>
      </c>
      <c r="F43" s="204" t="s">
        <v>100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 t="s">
        <v>223</v>
      </c>
      <c r="B44" s="493">
        <f>+crosstex!F41</f>
        <v>-133109.25</v>
      </c>
      <c r="C44" s="206">
        <f>+B44/$H$4</f>
        <v>-59159.666666666664</v>
      </c>
      <c r="D44" s="372">
        <f>+crosstex!A41</f>
        <v>37256</v>
      </c>
      <c r="E44" s="32" t="s">
        <v>86</v>
      </c>
      <c r="F44" s="32" t="s">
        <v>101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2.95" customHeight="1" x14ac:dyDescent="0.2">
      <c r="A45" s="479" t="s">
        <v>29</v>
      </c>
      <c r="B45" s="493">
        <f>+C45*$H$3</f>
        <v>-76903.680000000008</v>
      </c>
      <c r="C45" s="275">
        <f>+williams!J35</f>
        <v>-34332</v>
      </c>
      <c r="D45" s="371">
        <f>+williams!A40</f>
        <v>37256</v>
      </c>
      <c r="E45" s="204" t="s">
        <v>86</v>
      </c>
      <c r="F45" s="204" t="s">
        <v>147</v>
      </c>
      <c r="G45" s="2"/>
      <c r="H45" s="204"/>
      <c r="I45" s="204"/>
      <c r="J45" s="204"/>
      <c r="K45" s="204"/>
      <c r="L45" s="204"/>
      <c r="M45" s="483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93" customFormat="1" ht="13.5" customHeight="1" x14ac:dyDescent="0.2">
      <c r="A46" s="32" t="s">
        <v>150</v>
      </c>
      <c r="B46" s="493">
        <f>+PGETX!$H$39</f>
        <v>-68258.31</v>
      </c>
      <c r="C46" s="275">
        <f>+B46/$H$4</f>
        <v>-30337.026666666665</v>
      </c>
      <c r="D46" s="372">
        <f>+PGETX!E39</f>
        <v>37256</v>
      </c>
      <c r="E46" s="32" t="s">
        <v>86</v>
      </c>
      <c r="F46" s="32" t="s">
        <v>103</v>
      </c>
      <c r="G46" s="32"/>
      <c r="H46" s="204"/>
      <c r="I46" s="204"/>
      <c r="J46" s="204"/>
      <c r="K46" s="204"/>
      <c r="L46" s="204"/>
      <c r="M46" s="483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s="246" customFormat="1" ht="13.5" customHeight="1" x14ac:dyDescent="0.2">
      <c r="A47" s="32" t="s">
        <v>6</v>
      </c>
      <c r="B47" s="493">
        <f>+C47*$H$3</f>
        <v>-67670.400000000009</v>
      </c>
      <c r="C47" s="275">
        <f>+Amoco!D40</f>
        <v>-30210</v>
      </c>
      <c r="D47" s="372">
        <f>+Amoco!A40</f>
        <v>37256</v>
      </c>
      <c r="E47" s="32" t="s">
        <v>85</v>
      </c>
      <c r="F47" s="32" t="s">
        <v>116</v>
      </c>
      <c r="G47" s="32"/>
      <c r="H47" s="249"/>
      <c r="I47" s="249"/>
      <c r="J47" s="249"/>
      <c r="K47" s="249"/>
      <c r="L47" s="32"/>
      <c r="M47" s="483"/>
      <c r="N47" s="273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</row>
    <row r="48" spans="1:32" s="293" customFormat="1" ht="13.5" customHeight="1" x14ac:dyDescent="0.2">
      <c r="A48" s="480" t="s">
        <v>1</v>
      </c>
      <c r="B48" s="493">
        <f>+C48*$H$3</f>
        <v>-50151.360000000008</v>
      </c>
      <c r="C48" s="206">
        <f>+NW!$F$41</f>
        <v>-22389</v>
      </c>
      <c r="D48" s="371">
        <f>+NW!B41</f>
        <v>37256</v>
      </c>
      <c r="E48" s="32" t="s">
        <v>85</v>
      </c>
      <c r="F48" s="32" t="s">
        <v>116</v>
      </c>
      <c r="G48" s="357"/>
      <c r="H48" s="204"/>
      <c r="I48" s="204"/>
      <c r="J48" s="204">
        <f>135710*1.98</f>
        <v>268705.8</v>
      </c>
      <c r="K48" s="204"/>
      <c r="L48" s="204"/>
      <c r="M48" s="483"/>
      <c r="N48" s="273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ht="13.5" customHeight="1" x14ac:dyDescent="0.2">
      <c r="A49" s="204" t="s">
        <v>211</v>
      </c>
      <c r="B49" s="495">
        <f>+WTGmktg!J43</f>
        <v>-35583.08</v>
      </c>
      <c r="C49" s="206">
        <f>+B49/$H$4</f>
        <v>-15814.702222222222</v>
      </c>
      <c r="D49" s="371">
        <f>+WTGmktg!A43</f>
        <v>37256</v>
      </c>
      <c r="E49" s="32" t="s">
        <v>86</v>
      </c>
      <c r="F49" s="204" t="s">
        <v>116</v>
      </c>
      <c r="G49" s="204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">
      <c r="A50" s="32" t="s">
        <v>7</v>
      </c>
      <c r="B50" s="493">
        <f>+Oasis!$D$40</f>
        <v>-33833.970000000008</v>
      </c>
      <c r="C50" s="206">
        <f>+B50/$H$5</f>
        <v>-14970.783185840713</v>
      </c>
      <c r="D50" s="372">
        <f>+Oasis!A40</f>
        <v>37256</v>
      </c>
      <c r="E50" s="32" t="s">
        <v>86</v>
      </c>
      <c r="F50" s="32" t="s">
        <v>103</v>
      </c>
      <c r="G50" s="32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293" customFormat="1" ht="13.5" customHeight="1" x14ac:dyDescent="0.2">
      <c r="A51" s="204" t="s">
        <v>144</v>
      </c>
      <c r="B51" s="495">
        <f>+C51*$H$4</f>
        <v>-18569.25</v>
      </c>
      <c r="C51" s="353">
        <f>+PEPL!D41</f>
        <v>-8253</v>
      </c>
      <c r="D51" s="371">
        <f>+PEPL!A41</f>
        <v>37256</v>
      </c>
      <c r="E51" s="204" t="s">
        <v>85</v>
      </c>
      <c r="F51" s="204" t="s">
        <v>101</v>
      </c>
      <c r="G51" s="32"/>
      <c r="H51" s="204"/>
      <c r="I51" s="204"/>
      <c r="J51" s="204"/>
      <c r="K51" s="204"/>
      <c r="L51" s="32" t="s">
        <v>252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32" t="s">
        <v>308</v>
      </c>
      <c r="B52" s="532">
        <f>+SWGasTrans!$D$41</f>
        <v>-17240.28</v>
      </c>
      <c r="C52" s="71">
        <f>+B52/$H$4</f>
        <v>-7662.3466666666664</v>
      </c>
      <c r="D52" s="371">
        <f>+SWGasTrans!A41</f>
        <v>37256</v>
      </c>
      <c r="E52" s="32" t="s">
        <v>86</v>
      </c>
      <c r="F52" s="32" t="s">
        <v>100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98</v>
      </c>
      <c r="B53" s="351">
        <f>SUM(B40:B52)</f>
        <v>-4333950.8600000003</v>
      </c>
      <c r="C53" s="206">
        <f>SUM(C40:C52)</f>
        <v>-1920742.2034611609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59">
        <f>+B53+B37</f>
        <v>2900523.5600000024</v>
      </c>
      <c r="C55" s="360">
        <f>+C53+C37</f>
        <v>1287780.7292695604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279</v>
      </c>
      <c r="B109" s="528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280</v>
      </c>
      <c r="B110" s="528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290</v>
      </c>
      <c r="B114" s="75">
        <v>9780.35</v>
      </c>
      <c r="C114" s="524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293</v>
      </c>
      <c r="B115" s="75">
        <v>47610.18</v>
      </c>
      <c r="C115" s="524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297</v>
      </c>
      <c r="B116" s="15">
        <v>-1548.84</v>
      </c>
      <c r="C116" s="524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301</v>
      </c>
      <c r="B117" s="15">
        <v>-10776.55</v>
      </c>
      <c r="C117" s="524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302</v>
      </c>
      <c r="B118" s="15">
        <v>9125.5499999999993</v>
      </c>
      <c r="C118" s="525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304</v>
      </c>
      <c r="B119" s="530" t="s">
        <v>305</v>
      </c>
      <c r="C119" s="525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309</v>
      </c>
      <c r="B120" s="15">
        <v>1357.88</v>
      </c>
      <c r="C120" s="525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300</v>
      </c>
      <c r="B121" s="15">
        <f>44144.84-58339.66</f>
        <v>-14194.820000000007</v>
      </c>
      <c r="C121" s="525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300</v>
      </c>
      <c r="B122" s="15">
        <v>-51695.87</v>
      </c>
      <c r="C122" s="525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300</v>
      </c>
      <c r="B123" s="15">
        <v>61340.160000000003</v>
      </c>
      <c r="C123" s="525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300</v>
      </c>
      <c r="B124" s="259"/>
      <c r="C124" s="525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310</v>
      </c>
      <c r="B125" s="259">
        <v>828.64</v>
      </c>
      <c r="C125" s="525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311</v>
      </c>
      <c r="B126" s="259">
        <v>8282.6</v>
      </c>
      <c r="C126" s="525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303</v>
      </c>
      <c r="B127" s="259">
        <v>17432.3</v>
      </c>
      <c r="C127" s="525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296</v>
      </c>
      <c r="B128" s="259">
        <v>-7228.77</v>
      </c>
      <c r="C128" s="524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295</v>
      </c>
      <c r="B129" s="15">
        <v>249009.74</v>
      </c>
      <c r="C129" s="524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289</v>
      </c>
      <c r="B130" s="15">
        <v>1974.11</v>
      </c>
      <c r="C130" s="524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274</v>
      </c>
      <c r="B131" s="75">
        <v>-35893</v>
      </c>
      <c r="C131" s="524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284</v>
      </c>
      <c r="B132" s="75">
        <v>27281.87</v>
      </c>
      <c r="C132" s="524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287</v>
      </c>
      <c r="B133" s="75">
        <v>-2614.58</v>
      </c>
      <c r="C133" s="524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288</v>
      </c>
      <c r="B134" s="75">
        <v>-177733.88</v>
      </c>
      <c r="C134" s="524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291</v>
      </c>
      <c r="B135" s="15">
        <v>3338.45</v>
      </c>
      <c r="C135" s="524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292</v>
      </c>
      <c r="B136" s="15">
        <v>15325.21</v>
      </c>
      <c r="C136" s="524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294</v>
      </c>
      <c r="B137" s="15">
        <v>-33878.81</v>
      </c>
      <c r="C137" s="524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298</v>
      </c>
      <c r="B138" s="15">
        <v>-726.96</v>
      </c>
      <c r="C138" s="524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299</v>
      </c>
      <c r="B139" s="47">
        <v>-4405.4799999999996</v>
      </c>
      <c r="C139" s="524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4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4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4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f>-1100818-122</f>
        <v>-1100940</v>
      </c>
      <c r="C6" s="80"/>
      <c r="D6" s="80">
        <f t="shared" ref="D6:D14" si="0">+C6-B6</f>
        <v>1100940</v>
      </c>
    </row>
    <row r="7" spans="1:4" x14ac:dyDescent="0.2">
      <c r="A7" s="32">
        <v>3531</v>
      </c>
      <c r="B7" s="312">
        <v>-980343</v>
      </c>
      <c r="C7" s="80">
        <v>-384788</v>
      </c>
      <c r="D7" s="80">
        <f t="shared" si="0"/>
        <v>595555</v>
      </c>
    </row>
    <row r="8" spans="1:4" x14ac:dyDescent="0.2">
      <c r="A8" s="32">
        <v>60667</v>
      </c>
      <c r="B8" s="312">
        <v>-526759</v>
      </c>
      <c r="C8" s="80">
        <v>-2515779</v>
      </c>
      <c r="D8" s="80">
        <f t="shared" si="0"/>
        <v>-1989020</v>
      </c>
    </row>
    <row r="9" spans="1:4" x14ac:dyDescent="0.2">
      <c r="A9" s="32">
        <v>60749</v>
      </c>
      <c r="B9" s="312">
        <v>39224</v>
      </c>
      <c r="C9" s="80">
        <v>-46973</v>
      </c>
      <c r="D9" s="80">
        <f t="shared" si="0"/>
        <v>-86197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-404732</v>
      </c>
      <c r="C11" s="80"/>
      <c r="D11" s="80">
        <f t="shared" si="0"/>
        <v>404732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26010</v>
      </c>
    </row>
    <row r="19" spans="1:5" x14ac:dyDescent="0.2">
      <c r="A19" s="32" t="s">
        <v>82</v>
      </c>
      <c r="B19" s="69"/>
      <c r="C19" s="69"/>
      <c r="D19" s="73">
        <f>+summary!H4</f>
        <v>2.25</v>
      </c>
    </row>
    <row r="20" spans="1:5" x14ac:dyDescent="0.2">
      <c r="B20" s="69"/>
      <c r="C20" s="69"/>
      <c r="D20" s="75">
        <f>+D19*D18</f>
        <v>58522.5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499">
        <v>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37256</v>
      </c>
      <c r="B24" s="69"/>
      <c r="C24" s="69"/>
      <c r="D24" s="335">
        <f>+D22+D20</f>
        <v>58522.5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0">
        <v>0</v>
      </c>
    </row>
    <row r="33" spans="1:4" x14ac:dyDescent="0.2">
      <c r="A33" s="49">
        <f>+A24</f>
        <v>37256</v>
      </c>
      <c r="D33" s="355">
        <f>+D18</f>
        <v>26010</v>
      </c>
    </row>
    <row r="34" spans="1:4" x14ac:dyDescent="0.2">
      <c r="D34" s="14">
        <f>+D33+D32</f>
        <v>26010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2" sqref="C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9236</v>
      </c>
      <c r="B5" s="90">
        <f>-122858-5928</f>
        <v>-128786</v>
      </c>
      <c r="C5" s="90">
        <v>-56412</v>
      </c>
      <c r="D5" s="90">
        <f t="shared" ref="D5:D13" si="0">+C5-B5</f>
        <v>72374</v>
      </c>
      <c r="E5" s="69"/>
      <c r="F5" s="201"/>
    </row>
    <row r="6" spans="1:13" x14ac:dyDescent="0.2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-2684188-89346</f>
        <v>-2773534</v>
      </c>
      <c r="C7" s="90">
        <v>-3252741</v>
      </c>
      <c r="D7" s="90">
        <f t="shared" si="0"/>
        <v>-479207</v>
      </c>
      <c r="E7" s="275"/>
      <c r="F7" s="201"/>
    </row>
    <row r="8" spans="1:13" x14ac:dyDescent="0.2">
      <c r="A8" s="87">
        <v>58710</v>
      </c>
      <c r="B8" s="90">
        <v>-135873</v>
      </c>
      <c r="C8" s="90">
        <v>-86121</v>
      </c>
      <c r="D8" s="90">
        <f t="shared" si="0"/>
        <v>49752</v>
      </c>
      <c r="E8" s="275"/>
      <c r="F8" s="201"/>
    </row>
    <row r="9" spans="1:13" x14ac:dyDescent="0.2">
      <c r="A9" s="87">
        <v>60921</v>
      </c>
      <c r="B9" s="90">
        <v>-1654104</v>
      </c>
      <c r="C9" s="90">
        <v>-1264161</v>
      </c>
      <c r="D9" s="90">
        <f t="shared" si="0"/>
        <v>389943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f>-68079-2260</f>
        <v>-70339</v>
      </c>
      <c r="C11" s="90">
        <v>-93000</v>
      </c>
      <c r="D11" s="90">
        <f t="shared" si="0"/>
        <v>-22661</v>
      </c>
      <c r="E11" s="276"/>
      <c r="F11" s="475"/>
    </row>
    <row r="12" spans="1:13" x14ac:dyDescent="0.2">
      <c r="A12" s="320">
        <v>500085</v>
      </c>
      <c r="B12" s="90">
        <v>-54387</v>
      </c>
      <c r="C12" s="90"/>
      <c r="D12" s="90">
        <f t="shared" si="0"/>
        <v>54387</v>
      </c>
      <c r="E12" s="275"/>
      <c r="F12" s="475"/>
    </row>
    <row r="13" spans="1:13" x14ac:dyDescent="0.2">
      <c r="A13" s="87">
        <v>500097</v>
      </c>
      <c r="B13" s="90">
        <v>-92265</v>
      </c>
      <c r="C13" s="90">
        <v>-64000</v>
      </c>
      <c r="D13" s="90">
        <f t="shared" si="0"/>
        <v>28265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92853</v>
      </c>
      <c r="E17" s="275"/>
      <c r="F17" s="475"/>
    </row>
    <row r="18" spans="1:7" x14ac:dyDescent="0.2">
      <c r="A18" s="87" t="s">
        <v>82</v>
      </c>
      <c r="B18" s="88"/>
      <c r="C18" s="88"/>
      <c r="D18" s="95">
        <f>+summary!H4</f>
        <v>2.25</v>
      </c>
      <c r="E18" s="277"/>
      <c r="F18" s="475"/>
    </row>
    <row r="19" spans="1:7" x14ac:dyDescent="0.2">
      <c r="A19" s="87"/>
      <c r="B19" s="88"/>
      <c r="C19" s="88"/>
      <c r="D19" s="96">
        <f>+D18*D17</f>
        <v>208919.25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37225</v>
      </c>
      <c r="B21" s="88"/>
      <c r="C21" s="88"/>
      <c r="D21" s="516">
        <v>504796.07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37256</v>
      </c>
      <c r="B23" s="88"/>
      <c r="C23" s="88"/>
      <c r="D23" s="321">
        <f>+D21+D19</f>
        <v>713715.32000000007</v>
      </c>
      <c r="E23" s="207"/>
      <c r="F23" s="476"/>
    </row>
    <row r="24" spans="1:7" ht="13.5" thickTop="1" x14ac:dyDescent="0.2">
      <c r="E24" s="278"/>
    </row>
    <row r="25" spans="1:7" x14ac:dyDescent="0.2">
      <c r="E25" s="543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09">
        <v>190825</v>
      </c>
    </row>
    <row r="29" spans="1:7" x14ac:dyDescent="0.2">
      <c r="A29" s="49">
        <f>+A23</f>
        <v>37256</v>
      </c>
      <c r="B29" s="32"/>
      <c r="C29" s="32"/>
      <c r="D29" s="355">
        <f>+D17</f>
        <v>92853</v>
      </c>
    </row>
    <row r="30" spans="1:7" x14ac:dyDescent="0.2">
      <c r="A30" s="32"/>
      <c r="B30" s="32"/>
      <c r="C30" s="32"/>
      <c r="D30" s="14">
        <f>+D29+D28</f>
        <v>283678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2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>
        <v>22876</v>
      </c>
      <c r="C20" s="330">
        <v>22895</v>
      </c>
      <c r="D20" s="330"/>
      <c r="E20" s="330"/>
      <c r="F20" s="90">
        <f t="shared" si="0"/>
        <v>19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>
        <v>22876</v>
      </c>
      <c r="C21" s="330">
        <v>22895</v>
      </c>
      <c r="D21" s="330"/>
      <c r="E21" s="330"/>
      <c r="F21" s="90">
        <f t="shared" si="0"/>
        <v>19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>
        <v>19733</v>
      </c>
      <c r="C22" s="330">
        <v>19737</v>
      </c>
      <c r="D22" s="330">
        <v>-14512</v>
      </c>
      <c r="E22" s="330">
        <v>-15000</v>
      </c>
      <c r="F22" s="90">
        <f t="shared" si="0"/>
        <v>-484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>
        <v>22844</v>
      </c>
      <c r="C23" s="330">
        <v>22895</v>
      </c>
      <c r="D23" s="330"/>
      <c r="E23" s="330">
        <v>-4995</v>
      </c>
      <c r="F23" s="90">
        <f t="shared" si="0"/>
        <v>-4944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>
        <v>19731</v>
      </c>
      <c r="C24" s="330">
        <v>19737</v>
      </c>
      <c r="D24" s="330"/>
      <c r="E24" s="330"/>
      <c r="F24" s="90">
        <f t="shared" si="0"/>
        <v>6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>
        <v>19709</v>
      </c>
      <c r="C25" s="330">
        <v>19737</v>
      </c>
      <c r="D25" s="330"/>
      <c r="E25" s="330"/>
      <c r="F25" s="90">
        <f t="shared" si="0"/>
        <v>28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>
        <v>19716</v>
      </c>
      <c r="C26" s="330">
        <v>19737</v>
      </c>
      <c r="D26" s="330"/>
      <c r="E26" s="330"/>
      <c r="F26" s="90">
        <f t="shared" si="0"/>
        <v>21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>
        <v>19708</v>
      </c>
      <c r="C27" s="330">
        <v>19737</v>
      </c>
      <c r="D27" s="330"/>
      <c r="E27" s="330"/>
      <c r="F27" s="90">
        <f t="shared" si="0"/>
        <v>29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>
        <v>29624</v>
      </c>
      <c r="C28" s="330">
        <v>19737</v>
      </c>
      <c r="D28" s="14"/>
      <c r="E28" s="14"/>
      <c r="F28" s="90">
        <f t="shared" si="0"/>
        <v>-9887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>
        <v>19812</v>
      </c>
      <c r="C29" s="330">
        <v>19737</v>
      </c>
      <c r="D29" s="14">
        <v>-18198</v>
      </c>
      <c r="E29" s="14">
        <v>-17600</v>
      </c>
      <c r="F29" s="90">
        <f t="shared" si="0"/>
        <v>523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>
        <v>30623</v>
      </c>
      <c r="C30" s="330">
        <v>25737</v>
      </c>
      <c r="D30" s="14">
        <v>-29923</v>
      </c>
      <c r="E30" s="14">
        <v>-53791</v>
      </c>
      <c r="F30" s="90">
        <f t="shared" si="0"/>
        <v>-28754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>
        <v>22766</v>
      </c>
      <c r="C31" s="330">
        <v>22737</v>
      </c>
      <c r="D31" s="14">
        <v>-402</v>
      </c>
      <c r="E31" s="14">
        <v>0</v>
      </c>
      <c r="F31" s="90">
        <f t="shared" si="0"/>
        <v>373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>
        <v>22709</v>
      </c>
      <c r="C32" s="330">
        <v>22737</v>
      </c>
      <c r="D32" s="14"/>
      <c r="E32" s="14"/>
      <c r="F32" s="90">
        <f t="shared" si="0"/>
        <v>28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>
        <v>22737</v>
      </c>
      <c r="C33" s="330">
        <v>22737</v>
      </c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684949</v>
      </c>
      <c r="C34" s="287">
        <f>SUM(C3:C33)</f>
        <v>687788</v>
      </c>
      <c r="D34" s="14">
        <f>SUM(D3:D33)</f>
        <v>-91668</v>
      </c>
      <c r="E34" s="14">
        <f>SUM(E3:E33)</f>
        <v>-165760</v>
      </c>
      <c r="F34" s="14">
        <f>SUM(F3:F33)</f>
        <v>-71253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37225</v>
      </c>
      <c r="B37" s="14"/>
      <c r="C37" s="14"/>
      <c r="D37" s="14"/>
      <c r="E37" s="14"/>
      <c r="F37" s="501">
        <v>187363</v>
      </c>
      <c r="M37" s="259"/>
      <c r="N37" s="259"/>
      <c r="O37" s="259"/>
      <c r="T37" s="259"/>
      <c r="U37" s="259"/>
    </row>
    <row r="38" spans="1:21" x14ac:dyDescent="0.2">
      <c r="A38" s="256">
        <v>37256</v>
      </c>
      <c r="B38" s="14"/>
      <c r="C38" s="14"/>
      <c r="D38" s="14"/>
      <c r="E38" s="14"/>
      <c r="F38" s="150">
        <f>+F37+F34</f>
        <v>116110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37225</v>
      </c>
      <c r="B43" s="32"/>
      <c r="C43" s="32"/>
      <c r="D43" s="508">
        <v>456695.3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37256</v>
      </c>
      <c r="B44" s="32"/>
      <c r="C44" s="32"/>
      <c r="D44" s="382">
        <f>+F34*'by type_area'!J4</f>
        <v>-160319.25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296376.05</v>
      </c>
      <c r="F45" s="293"/>
      <c r="I45" s="540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">
      <c r="A20" s="10">
        <v>17</v>
      </c>
      <c r="B20" s="11">
        <v>-20007</v>
      </c>
      <c r="C20" s="11">
        <v>-20000</v>
      </c>
      <c r="D20" s="25">
        <f t="shared" si="0"/>
        <v>7</v>
      </c>
    </row>
    <row r="21" spans="1:4" x14ac:dyDescent="0.2">
      <c r="A21" s="10">
        <v>18</v>
      </c>
      <c r="B21" s="11">
        <v>-19796</v>
      </c>
      <c r="C21" s="11">
        <v>-20000</v>
      </c>
      <c r="D21" s="25">
        <f t="shared" si="0"/>
        <v>-204</v>
      </c>
    </row>
    <row r="22" spans="1:4" x14ac:dyDescent="0.2">
      <c r="A22" s="10">
        <v>19</v>
      </c>
      <c r="B22" s="11">
        <v>-20162</v>
      </c>
      <c r="C22" s="11">
        <v>-20000</v>
      </c>
      <c r="D22" s="25">
        <f t="shared" si="0"/>
        <v>162</v>
      </c>
    </row>
    <row r="23" spans="1:4" x14ac:dyDescent="0.2">
      <c r="A23" s="10">
        <v>20</v>
      </c>
      <c r="B23" s="129">
        <v>-21201</v>
      </c>
      <c r="C23" s="11">
        <v>-20000</v>
      </c>
      <c r="D23" s="25">
        <f t="shared" si="0"/>
        <v>1201</v>
      </c>
    </row>
    <row r="24" spans="1:4" x14ac:dyDescent="0.2">
      <c r="A24" s="10">
        <v>21</v>
      </c>
      <c r="B24" s="11">
        <v>-20005</v>
      </c>
      <c r="C24" s="11">
        <v>-20000</v>
      </c>
      <c r="D24" s="25">
        <f t="shared" si="0"/>
        <v>5</v>
      </c>
    </row>
    <row r="25" spans="1:4" x14ac:dyDescent="0.2">
      <c r="A25" s="10">
        <v>22</v>
      </c>
      <c r="B25" s="11">
        <v>-20300</v>
      </c>
      <c r="C25" s="11">
        <v>-20000</v>
      </c>
      <c r="D25" s="25">
        <f t="shared" si="0"/>
        <v>300</v>
      </c>
    </row>
    <row r="26" spans="1:4" x14ac:dyDescent="0.2">
      <c r="A26" s="10">
        <v>23</v>
      </c>
      <c r="B26" s="11">
        <v>-20299</v>
      </c>
      <c r="C26" s="11">
        <v>-20000</v>
      </c>
      <c r="D26" s="25">
        <f t="shared" si="0"/>
        <v>299</v>
      </c>
    </row>
    <row r="27" spans="1:4" x14ac:dyDescent="0.2">
      <c r="A27" s="10">
        <v>24</v>
      </c>
      <c r="B27" s="11">
        <v>-20293</v>
      </c>
      <c r="C27" s="11">
        <v>-20000</v>
      </c>
      <c r="D27" s="25">
        <f t="shared" si="0"/>
        <v>293</v>
      </c>
    </row>
    <row r="28" spans="1:4" x14ac:dyDescent="0.2">
      <c r="A28" s="10">
        <v>25</v>
      </c>
      <c r="B28" s="11">
        <v>-20794</v>
      </c>
      <c r="C28" s="11">
        <v>-20000</v>
      </c>
      <c r="D28" s="25">
        <f t="shared" si="0"/>
        <v>794</v>
      </c>
    </row>
    <row r="29" spans="1:4" x14ac:dyDescent="0.2">
      <c r="A29" s="10">
        <v>26</v>
      </c>
      <c r="B29" s="11">
        <v>-21001</v>
      </c>
      <c r="C29" s="11">
        <v>-19655</v>
      </c>
      <c r="D29" s="25">
        <f t="shared" si="0"/>
        <v>1346</v>
      </c>
    </row>
    <row r="30" spans="1:4" x14ac:dyDescent="0.2">
      <c r="A30" s="10">
        <v>27</v>
      </c>
      <c r="B30" s="11">
        <v>-20245</v>
      </c>
      <c r="C30" s="11">
        <v>-19589</v>
      </c>
      <c r="D30" s="25">
        <f t="shared" si="0"/>
        <v>656</v>
      </c>
    </row>
    <row r="31" spans="1:4" x14ac:dyDescent="0.2">
      <c r="A31" s="10">
        <v>28</v>
      </c>
      <c r="B31" s="11">
        <v>-20001</v>
      </c>
      <c r="C31" s="11">
        <v>-20000</v>
      </c>
      <c r="D31" s="25">
        <f t="shared" si="0"/>
        <v>1</v>
      </c>
    </row>
    <row r="32" spans="1:4" x14ac:dyDescent="0.2">
      <c r="A32" s="10">
        <v>29</v>
      </c>
      <c r="B32" s="11">
        <v>-20003</v>
      </c>
      <c r="C32" s="11">
        <v>-20000</v>
      </c>
      <c r="D32" s="25">
        <f t="shared" si="0"/>
        <v>3</v>
      </c>
    </row>
    <row r="33" spans="1:4" x14ac:dyDescent="0.2">
      <c r="A33" s="10">
        <v>30</v>
      </c>
      <c r="B33" s="11">
        <v>-19999</v>
      </c>
      <c r="C33" s="11">
        <v>-19868</v>
      </c>
      <c r="D33" s="25">
        <f t="shared" si="0"/>
        <v>131</v>
      </c>
    </row>
    <row r="34" spans="1:4" x14ac:dyDescent="0.2">
      <c r="A34" s="10">
        <v>31</v>
      </c>
      <c r="B34" s="11">
        <v>-19807</v>
      </c>
      <c r="C34" s="11">
        <v>-19827</v>
      </c>
      <c r="D34" s="25">
        <f t="shared" si="0"/>
        <v>-20</v>
      </c>
    </row>
    <row r="35" spans="1:4" x14ac:dyDescent="0.2">
      <c r="A35" s="10"/>
      <c r="B35" s="11">
        <f>SUM(B4:B34)</f>
        <v>-626415</v>
      </c>
      <c r="C35" s="11">
        <f>SUM(C4:C34)</f>
        <v>-616524</v>
      </c>
      <c r="D35" s="11">
        <f>SUM(D4:D34)</f>
        <v>9891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14">
        <v>176934</v>
      </c>
    </row>
    <row r="39" spans="1:4" x14ac:dyDescent="0.2">
      <c r="A39" s="2"/>
      <c r="D39" s="24"/>
    </row>
    <row r="40" spans="1:4" x14ac:dyDescent="0.2">
      <c r="A40" s="57">
        <v>37256</v>
      </c>
      <c r="D40" s="51">
        <f>+D38+D35</f>
        <v>186825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12">
        <v>177562.79</v>
      </c>
    </row>
    <row r="46" spans="1:4" x14ac:dyDescent="0.2">
      <c r="A46" s="49">
        <f>+A40</f>
        <v>37256</v>
      </c>
      <c r="B46" s="32"/>
      <c r="C46" s="32"/>
      <c r="D46" s="382">
        <f>+D35*'by type_area'!J4</f>
        <v>22254.75</v>
      </c>
    </row>
    <row r="47" spans="1:4" x14ac:dyDescent="0.2">
      <c r="A47" s="32"/>
      <c r="B47" s="32"/>
      <c r="C47" s="32"/>
      <c r="D47" s="200">
        <f>+D46+D45</f>
        <v>199817.54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11141</v>
      </c>
      <c r="C20" s="11">
        <v>13000</v>
      </c>
      <c r="D20" s="11">
        <v>8431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11074</v>
      </c>
      <c r="C21" s="11">
        <v>12000</v>
      </c>
      <c r="D21" s="11">
        <v>9003</v>
      </c>
      <c r="E21" s="11">
        <v>8866</v>
      </c>
      <c r="F21" s="11"/>
      <c r="G21" s="11"/>
      <c r="H21" s="11"/>
      <c r="I21" s="11"/>
      <c r="J21" s="11">
        <f t="shared" si="0"/>
        <v>789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11196</v>
      </c>
      <c r="C22" s="11">
        <v>12000</v>
      </c>
      <c r="D22" s="11">
        <v>8165</v>
      </c>
      <c r="E22" s="11">
        <v>8866</v>
      </c>
      <c r="F22" s="11"/>
      <c r="G22" s="11"/>
      <c r="H22" s="11"/>
      <c r="I22" s="11"/>
      <c r="J22" s="11">
        <f t="shared" si="0"/>
        <v>1505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11322</v>
      </c>
      <c r="C23" s="11">
        <v>12000</v>
      </c>
      <c r="D23" s="11">
        <v>8767</v>
      </c>
      <c r="E23" s="11">
        <v>8866</v>
      </c>
      <c r="F23" s="11"/>
      <c r="G23" s="11"/>
      <c r="H23" s="11"/>
      <c r="I23" s="11"/>
      <c r="J23" s="11">
        <f t="shared" si="0"/>
        <v>777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11540</v>
      </c>
      <c r="C24" s="11">
        <v>12000</v>
      </c>
      <c r="D24" s="11">
        <v>8415</v>
      </c>
      <c r="E24" s="11">
        <v>8866</v>
      </c>
      <c r="F24" s="11"/>
      <c r="G24" s="11"/>
      <c r="H24" s="11"/>
      <c r="I24" s="11"/>
      <c r="J24" s="11">
        <f t="shared" si="0"/>
        <v>911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11282</v>
      </c>
      <c r="C25" s="11">
        <v>12000</v>
      </c>
      <c r="D25" s="11">
        <v>8486</v>
      </c>
      <c r="E25" s="11">
        <v>8866</v>
      </c>
      <c r="F25" s="11"/>
      <c r="G25" s="11"/>
      <c r="H25" s="11"/>
      <c r="I25" s="11"/>
      <c r="J25" s="11">
        <f t="shared" si="0"/>
        <v>1098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11398</v>
      </c>
      <c r="C26" s="11">
        <v>12000</v>
      </c>
      <c r="D26" s="11">
        <v>8988</v>
      </c>
      <c r="E26" s="11">
        <v>8866</v>
      </c>
      <c r="F26" s="11"/>
      <c r="G26" s="11"/>
      <c r="H26" s="11"/>
      <c r="I26" s="11"/>
      <c r="J26" s="11">
        <f t="shared" si="0"/>
        <v>480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11434</v>
      </c>
      <c r="C27" s="11">
        <v>12000</v>
      </c>
      <c r="D27" s="11">
        <v>8762</v>
      </c>
      <c r="E27" s="11">
        <v>8866</v>
      </c>
      <c r="F27" s="11"/>
      <c r="G27" s="11"/>
      <c r="H27" s="11">
        <v>97</v>
      </c>
      <c r="I27" s="11"/>
      <c r="J27" s="11">
        <f t="shared" si="0"/>
        <v>573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11137</v>
      </c>
      <c r="C28" s="11">
        <v>12000</v>
      </c>
      <c r="D28" s="11">
        <v>7950</v>
      </c>
      <c r="E28" s="11">
        <v>8866</v>
      </c>
      <c r="F28" s="11"/>
      <c r="G28" s="11"/>
      <c r="H28" s="11"/>
      <c r="I28" s="11"/>
      <c r="J28" s="11">
        <f t="shared" si="0"/>
        <v>1779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11246</v>
      </c>
      <c r="C29" s="11">
        <v>12000</v>
      </c>
      <c r="D29" s="11">
        <v>7520</v>
      </c>
      <c r="E29" s="11">
        <v>8866</v>
      </c>
      <c r="F29" s="11"/>
      <c r="G29" s="11"/>
      <c r="H29" s="11"/>
      <c r="I29" s="11"/>
      <c r="J29" s="11">
        <f t="shared" si="0"/>
        <v>2100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11234</v>
      </c>
      <c r="C30" s="11">
        <v>12000</v>
      </c>
      <c r="D30" s="11">
        <v>8016</v>
      </c>
      <c r="E30" s="11">
        <v>8866</v>
      </c>
      <c r="F30" s="11"/>
      <c r="G30" s="11"/>
      <c r="H30" s="11"/>
      <c r="I30" s="11"/>
      <c r="J30" s="11">
        <f t="shared" si="0"/>
        <v>1616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11739</v>
      </c>
      <c r="C31" s="11">
        <v>11700</v>
      </c>
      <c r="D31" s="11">
        <v>8784</v>
      </c>
      <c r="E31" s="11">
        <v>8866</v>
      </c>
      <c r="F31" s="11"/>
      <c r="G31" s="11"/>
      <c r="H31" s="11"/>
      <c r="I31" s="11"/>
      <c r="J31" s="11">
        <f t="shared" si="0"/>
        <v>43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11540</v>
      </c>
      <c r="C32" s="11">
        <v>11700</v>
      </c>
      <c r="D32" s="11">
        <v>8744</v>
      </c>
      <c r="E32" s="11">
        <v>8866</v>
      </c>
      <c r="F32" s="11"/>
      <c r="G32" s="11"/>
      <c r="H32" s="11"/>
      <c r="I32" s="11">
        <v>300</v>
      </c>
      <c r="J32" s="11">
        <f t="shared" si="0"/>
        <v>582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11357</v>
      </c>
      <c r="C33" s="11">
        <v>11700</v>
      </c>
      <c r="D33" s="11">
        <v>8223</v>
      </c>
      <c r="E33" s="11">
        <v>8866</v>
      </c>
      <c r="F33" s="11"/>
      <c r="G33" s="11"/>
      <c r="H33" s="11"/>
      <c r="I33" s="11">
        <v>300</v>
      </c>
      <c r="J33" s="11">
        <f t="shared" si="0"/>
        <v>1286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11311</v>
      </c>
      <c r="C34" s="11">
        <v>11700</v>
      </c>
      <c r="D34" s="11">
        <v>7439</v>
      </c>
      <c r="E34" s="11">
        <v>8866</v>
      </c>
      <c r="F34" s="11"/>
      <c r="G34" s="11"/>
      <c r="H34" s="11"/>
      <c r="I34" s="11">
        <v>300</v>
      </c>
      <c r="J34" s="11">
        <f t="shared" si="0"/>
        <v>2116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371153</v>
      </c>
      <c r="C35" s="11">
        <f t="shared" ref="C35:I35" si="1">SUM(C4:C34)</f>
        <v>390736</v>
      </c>
      <c r="D35" s="11">
        <f t="shared" si="1"/>
        <v>266782</v>
      </c>
      <c r="E35" s="11">
        <f t="shared" si="1"/>
        <v>267106</v>
      </c>
      <c r="F35" s="11">
        <f t="shared" si="1"/>
        <v>44</v>
      </c>
      <c r="G35" s="11">
        <f t="shared" si="1"/>
        <v>0</v>
      </c>
      <c r="H35" s="11">
        <f t="shared" si="1"/>
        <v>1487</v>
      </c>
      <c r="I35" s="11">
        <f t="shared" si="1"/>
        <v>900</v>
      </c>
      <c r="J35" s="11">
        <f>SUM(J4:J34)</f>
        <v>19276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43371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08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37256</v>
      </c>
      <c r="J41" s="322">
        <f>+J39+J37</f>
        <v>4884.9599999999991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09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37256</v>
      </c>
      <c r="B47" s="32"/>
      <c r="C47" s="32"/>
      <c r="D47" s="355">
        <f>+J35</f>
        <v>19276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-125383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D37" sqref="D3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-33275</v>
      </c>
      <c r="E6" s="24">
        <v>-32563</v>
      </c>
      <c r="F6" s="24">
        <f>+C6+E6-B6-D6</f>
        <v>712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-32525</v>
      </c>
      <c r="E7" s="24">
        <v>-32563</v>
      </c>
      <c r="F7" s="24">
        <f t="shared" ref="F7:F36" si="1">+C7+E7-B7-D7</f>
        <v>-38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-32436</v>
      </c>
      <c r="E8" s="24">
        <v>-32563</v>
      </c>
      <c r="F8" s="24">
        <f t="shared" si="1"/>
        <v>-127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-8093</v>
      </c>
      <c r="E9" s="24">
        <v>-827</v>
      </c>
      <c r="F9" s="24">
        <f t="shared" si="1"/>
        <v>7266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4">
        <v>4660</v>
      </c>
      <c r="F10" s="24">
        <f t="shared" si="1"/>
        <v>4660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-791</v>
      </c>
      <c r="E11" s="24">
        <v>-5816</v>
      </c>
      <c r="F11" s="24">
        <f t="shared" si="1"/>
        <v>-5025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4">
        <v>-5816</v>
      </c>
      <c r="F12" s="24">
        <f t="shared" si="1"/>
        <v>-5816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4">
        <v>-816</v>
      </c>
      <c r="F13" s="24">
        <f t="shared" si="1"/>
        <v>-816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-816</v>
      </c>
      <c r="F14" s="24">
        <f t="shared" si="1"/>
        <v>-816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4">
        <v>-816</v>
      </c>
      <c r="F15" s="24">
        <f t="shared" si="1"/>
        <v>-816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-38245</v>
      </c>
      <c r="E16" s="24">
        <v>-39554</v>
      </c>
      <c r="F16" s="24">
        <f t="shared" si="1"/>
        <v>-1309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-30926</v>
      </c>
      <c r="E17" s="24">
        <v>-30816</v>
      </c>
      <c r="F17" s="24">
        <f t="shared" si="1"/>
        <v>110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-22893</v>
      </c>
      <c r="E18" s="24">
        <v>-22622</v>
      </c>
      <c r="F18" s="24">
        <f t="shared" si="1"/>
        <v>271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-31770</v>
      </c>
      <c r="E19" s="24">
        <v>-30816</v>
      </c>
      <c r="F19" s="24">
        <f t="shared" si="1"/>
        <v>954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-20252</v>
      </c>
      <c r="E20" s="24">
        <v>-21316</v>
      </c>
      <c r="F20" s="24">
        <f t="shared" si="1"/>
        <v>-1064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-21892</v>
      </c>
      <c r="E21" s="24">
        <v>-21316</v>
      </c>
      <c r="F21" s="24">
        <f t="shared" si="1"/>
        <v>576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-20839</v>
      </c>
      <c r="E22" s="24">
        <v>-21316</v>
      </c>
      <c r="F22" s="24">
        <f t="shared" si="1"/>
        <v>-477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-29544</v>
      </c>
      <c r="E23" s="24">
        <v>-30816</v>
      </c>
      <c r="F23" s="24">
        <f t="shared" si="1"/>
        <v>-1272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-22158</v>
      </c>
      <c r="E24" s="24">
        <v>-23816</v>
      </c>
      <c r="F24" s="24">
        <f t="shared" si="1"/>
        <v>-1658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-15402</v>
      </c>
      <c r="E25" s="24">
        <v>-15816</v>
      </c>
      <c r="F25" s="24">
        <f t="shared" si="1"/>
        <v>-414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-30336</v>
      </c>
      <c r="E26" s="24">
        <v>-30816</v>
      </c>
      <c r="F26" s="24">
        <f t="shared" si="1"/>
        <v>-480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-28076</v>
      </c>
      <c r="E27" s="24">
        <v>-28054</v>
      </c>
      <c r="F27" s="24">
        <f t="shared" si="1"/>
        <v>22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-27998</v>
      </c>
      <c r="E28" s="24">
        <v>-28054</v>
      </c>
      <c r="F28" s="24">
        <f t="shared" si="1"/>
        <v>-56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-28157</v>
      </c>
      <c r="E29" s="24">
        <v>-28054</v>
      </c>
      <c r="F29" s="24">
        <f t="shared" si="1"/>
        <v>103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-27306</v>
      </c>
      <c r="E30" s="24">
        <v>-28054</v>
      </c>
      <c r="F30" s="24">
        <f t="shared" si="1"/>
        <v>-748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-502914</v>
      </c>
      <c r="E37" s="24">
        <f>SUM(E6:E36)</f>
        <v>-509172</v>
      </c>
      <c r="F37" s="24">
        <f>SUM(F6:F36)</f>
        <v>-6258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-14080.5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E40" s="14"/>
      <c r="F40" s="517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37250</v>
      </c>
      <c r="E41" s="14"/>
      <c r="F41" s="104">
        <f>+F40+F39</f>
        <v>375563.64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37250</v>
      </c>
      <c r="B47" s="32"/>
      <c r="C47" s="32"/>
      <c r="D47" s="355">
        <f>+F37</f>
        <v>-6258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-13723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9" workbookViewId="0">
      <selection activeCell="E33" sqref="E3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">
      <c r="A23" s="10">
        <v>16</v>
      </c>
      <c r="B23" s="11"/>
      <c r="C23" s="11"/>
      <c r="D23" s="11"/>
      <c r="E23" s="11">
        <v>68</v>
      </c>
      <c r="F23" s="25">
        <f t="shared" si="0"/>
        <v>68</v>
      </c>
    </row>
    <row r="24" spans="1:10" x14ac:dyDescent="0.2">
      <c r="A24" s="10">
        <v>17</v>
      </c>
      <c r="B24" s="11"/>
      <c r="C24" s="11"/>
      <c r="D24" s="11"/>
      <c r="E24" s="11">
        <v>68</v>
      </c>
      <c r="F24" s="25">
        <f t="shared" si="0"/>
        <v>68</v>
      </c>
    </row>
    <row r="25" spans="1:10" x14ac:dyDescent="0.2">
      <c r="A25" s="10">
        <v>18</v>
      </c>
      <c r="B25" s="11"/>
      <c r="C25" s="11"/>
      <c r="D25" s="11"/>
      <c r="E25" s="11">
        <v>68</v>
      </c>
      <c r="F25" s="25">
        <f t="shared" si="0"/>
        <v>68</v>
      </c>
    </row>
    <row r="26" spans="1:10" x14ac:dyDescent="0.2">
      <c r="A26" s="10">
        <v>19</v>
      </c>
      <c r="B26" s="11"/>
      <c r="C26" s="11"/>
      <c r="D26" s="11"/>
      <c r="E26" s="11">
        <v>68</v>
      </c>
      <c r="F26" s="25">
        <f t="shared" si="0"/>
        <v>68</v>
      </c>
    </row>
    <row r="27" spans="1:10" x14ac:dyDescent="0.2">
      <c r="A27" s="10">
        <v>20</v>
      </c>
      <c r="B27" s="11"/>
      <c r="C27" s="11"/>
      <c r="D27" s="11"/>
      <c r="E27" s="11">
        <v>68</v>
      </c>
      <c r="F27" s="25">
        <f t="shared" si="0"/>
        <v>68</v>
      </c>
    </row>
    <row r="28" spans="1:10" x14ac:dyDescent="0.2">
      <c r="A28" s="10">
        <v>21</v>
      </c>
      <c r="B28" s="11"/>
      <c r="C28" s="11"/>
      <c r="D28" s="11"/>
      <c r="E28" s="11">
        <v>68</v>
      </c>
      <c r="F28" s="25">
        <f t="shared" si="0"/>
        <v>68</v>
      </c>
    </row>
    <row r="29" spans="1:10" x14ac:dyDescent="0.2">
      <c r="A29" s="10">
        <v>22</v>
      </c>
      <c r="B29" s="11"/>
      <c r="C29" s="11"/>
      <c r="D29" s="11"/>
      <c r="E29" s="11">
        <v>68</v>
      </c>
      <c r="F29" s="25">
        <f t="shared" si="0"/>
        <v>68</v>
      </c>
    </row>
    <row r="30" spans="1:10" x14ac:dyDescent="0.2">
      <c r="A30" s="10">
        <v>23</v>
      </c>
      <c r="B30" s="11"/>
      <c r="C30" s="11"/>
      <c r="D30" s="11"/>
      <c r="E30" s="11">
        <v>68</v>
      </c>
      <c r="F30" s="25">
        <f t="shared" si="0"/>
        <v>68</v>
      </c>
    </row>
    <row r="31" spans="1:10" x14ac:dyDescent="0.2">
      <c r="A31" s="10">
        <v>24</v>
      </c>
      <c r="B31" s="11"/>
      <c r="C31" s="11"/>
      <c r="D31" s="11"/>
      <c r="E31" s="11">
        <v>68</v>
      </c>
      <c r="F31" s="25">
        <f t="shared" si="0"/>
        <v>68</v>
      </c>
    </row>
    <row r="32" spans="1:10" x14ac:dyDescent="0.2">
      <c r="A32" s="10">
        <v>25</v>
      </c>
      <c r="B32" s="11"/>
      <c r="C32" s="11"/>
      <c r="D32" s="11"/>
      <c r="E32" s="11">
        <v>68</v>
      </c>
      <c r="F32" s="25">
        <f t="shared" si="0"/>
        <v>68</v>
      </c>
    </row>
    <row r="33" spans="1:6" x14ac:dyDescent="0.2">
      <c r="A33" s="10">
        <v>26</v>
      </c>
      <c r="B33" s="11"/>
      <c r="C33" s="11"/>
      <c r="D33" s="11"/>
      <c r="E33" s="11">
        <v>68</v>
      </c>
      <c r="F33" s="25">
        <f t="shared" si="0"/>
        <v>68</v>
      </c>
    </row>
    <row r="34" spans="1:6" x14ac:dyDescent="0.2">
      <c r="A34" s="10">
        <v>27</v>
      </c>
      <c r="B34" s="11"/>
      <c r="C34" s="11"/>
      <c r="D34" s="11"/>
      <c r="E34" s="11">
        <v>119</v>
      </c>
      <c r="F34" s="25">
        <f t="shared" si="0"/>
        <v>119</v>
      </c>
    </row>
    <row r="35" spans="1:6" x14ac:dyDescent="0.2">
      <c r="A35" s="10">
        <v>28</v>
      </c>
      <c r="B35" s="11"/>
      <c r="C35" s="11"/>
      <c r="D35" s="11"/>
      <c r="E35" s="11">
        <v>119</v>
      </c>
      <c r="F35" s="25">
        <f t="shared" si="0"/>
        <v>119</v>
      </c>
    </row>
    <row r="36" spans="1:6" x14ac:dyDescent="0.2">
      <c r="A36" s="10">
        <v>29</v>
      </c>
      <c r="B36" s="11"/>
      <c r="C36" s="11"/>
      <c r="D36" s="11"/>
      <c r="E36" s="11">
        <v>119</v>
      </c>
      <c r="F36" s="25">
        <f t="shared" si="0"/>
        <v>119</v>
      </c>
    </row>
    <row r="37" spans="1:6" x14ac:dyDescent="0.2">
      <c r="A37" s="10">
        <v>30</v>
      </c>
      <c r="B37" s="11"/>
      <c r="C37" s="11"/>
      <c r="D37" s="11"/>
      <c r="E37" s="11">
        <v>119</v>
      </c>
      <c r="F37" s="25">
        <f t="shared" si="0"/>
        <v>119</v>
      </c>
    </row>
    <row r="38" spans="1:6" x14ac:dyDescent="0.2">
      <c r="A38" s="10">
        <v>31</v>
      </c>
      <c r="B38" s="11"/>
      <c r="C38" s="11"/>
      <c r="D38" s="11"/>
      <c r="E38" s="11">
        <v>119</v>
      </c>
      <c r="F38" s="25">
        <f t="shared" si="0"/>
        <v>119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2363</v>
      </c>
      <c r="F39" s="25">
        <f>SUM(F8:F38)</f>
        <v>2363</v>
      </c>
    </row>
    <row r="40" spans="1:6" x14ac:dyDescent="0.2">
      <c r="A40" s="26"/>
      <c r="C40" s="14"/>
      <c r="F40" s="253">
        <f>+summary!H4</f>
        <v>2.25</v>
      </c>
    </row>
    <row r="41" spans="1:6" x14ac:dyDescent="0.2">
      <c r="F41" s="138">
        <f>+F40*F39</f>
        <v>5316.75</v>
      </c>
    </row>
    <row r="42" spans="1:6" x14ac:dyDescent="0.2">
      <c r="A42" s="57">
        <v>37225</v>
      </c>
      <c r="C42" s="15"/>
      <c r="F42" s="519">
        <v>28945.49</v>
      </c>
    </row>
    <row r="43" spans="1:6" x14ac:dyDescent="0.2">
      <c r="A43" s="57">
        <v>37256</v>
      </c>
      <c r="C43" s="48"/>
      <c r="F43" s="138">
        <f>+F42+F41</f>
        <v>34262.240000000005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09">
        <v>-1615</v>
      </c>
    </row>
    <row r="49" spans="1:4" x14ac:dyDescent="0.2">
      <c r="A49" s="49">
        <f>+A43</f>
        <v>37256</v>
      </c>
      <c r="B49" s="32"/>
      <c r="C49" s="32"/>
      <c r="D49" s="355">
        <f>+F39</f>
        <v>2363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E37" sqref="E37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>
        <v>320</v>
      </c>
      <c r="C25" s="11"/>
      <c r="D25" s="25">
        <f t="shared" si="0"/>
        <v>-320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320</v>
      </c>
      <c r="C39" s="11">
        <f>SUM(C8:C38)</f>
        <v>0</v>
      </c>
      <c r="D39" s="25">
        <f>SUM(D8:D38)</f>
        <v>-320</v>
      </c>
    </row>
    <row r="40" spans="1:4" x14ac:dyDescent="0.2">
      <c r="A40" s="26"/>
      <c r="C40" s="14"/>
      <c r="D40" s="458"/>
    </row>
    <row r="41" spans="1:4" x14ac:dyDescent="0.2">
      <c r="A41" s="57">
        <v>37225</v>
      </c>
      <c r="C41" s="15"/>
      <c r="D41" s="465">
        <v>16648</v>
      </c>
    </row>
    <row r="42" spans="1:4" x14ac:dyDescent="0.2">
      <c r="A42" s="57">
        <v>37256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469">
        <v>383998.2</v>
      </c>
    </row>
    <row r="48" spans="1:4" x14ac:dyDescent="0.2">
      <c r="A48" s="49">
        <f>+A42</f>
        <v>37256</v>
      </c>
      <c r="B48" s="32"/>
      <c r="C48" s="32"/>
      <c r="D48" s="382">
        <f>+D39*summary!H4</f>
        <v>-720</v>
      </c>
    </row>
    <row r="49" spans="1:4" x14ac:dyDescent="0.2">
      <c r="A49" s="32"/>
      <c r="B49" s="32"/>
      <c r="C49" s="32"/>
      <c r="D49" s="200">
        <f>+D48+D47</f>
        <v>383278.2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-2393794</v>
      </c>
      <c r="I19" s="119">
        <f>+C37</f>
        <v>-2336098</v>
      </c>
      <c r="J19" s="119">
        <f>+I19-H19</f>
        <v>57696</v>
      </c>
      <c r="K19" s="420">
        <f>+D38</f>
        <v>2.25</v>
      </c>
      <c r="L19" s="425">
        <f>+K19*J19</f>
        <v>129816</v>
      </c>
      <c r="M19" s="2"/>
      <c r="N19" s="34"/>
    </row>
    <row r="20" spans="1:14" x14ac:dyDescent="0.2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-87300</v>
      </c>
      <c r="C22" s="11">
        <v>-80337</v>
      </c>
      <c r="D22" s="25">
        <f t="shared" si="0"/>
        <v>6963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-88174</v>
      </c>
      <c r="C23" s="11">
        <v>-85299</v>
      </c>
      <c r="D23" s="25">
        <f t="shared" si="0"/>
        <v>2875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>
        <v>-88659</v>
      </c>
      <c r="C24" s="11">
        <v>-85300</v>
      </c>
      <c r="D24" s="25">
        <f t="shared" si="0"/>
        <v>3359</v>
      </c>
      <c r="G24" s="2" t="s">
        <v>192</v>
      </c>
      <c r="H24" s="24"/>
      <c r="I24" s="24"/>
      <c r="J24" s="24">
        <f>+J19+J17</f>
        <v>188188</v>
      </c>
      <c r="K24" s="416"/>
      <c r="L24" s="110">
        <f>+L19+L17</f>
        <v>211501.09999999983</v>
      </c>
      <c r="M24" s="2"/>
      <c r="N24" s="34"/>
    </row>
    <row r="25" spans="1:14" x14ac:dyDescent="0.2">
      <c r="A25" s="10">
        <v>20</v>
      </c>
      <c r="B25" s="129">
        <v>-87403</v>
      </c>
      <c r="C25" s="11">
        <v>-88439</v>
      </c>
      <c r="D25" s="25">
        <f t="shared" si="0"/>
        <v>-1036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>
        <v>-69371</v>
      </c>
      <c r="C26" s="11">
        <v>-78692</v>
      </c>
      <c r="D26" s="25">
        <f t="shared" si="0"/>
        <v>-9321</v>
      </c>
      <c r="G26" s="2" t="s">
        <v>193</v>
      </c>
      <c r="H26" s="24"/>
      <c r="I26" s="24"/>
      <c r="J26" s="110"/>
      <c r="K26" s="416"/>
      <c r="L26" s="24">
        <f>+L24/K19</f>
        <v>94000.488888888809</v>
      </c>
    </row>
    <row r="27" spans="1:14" x14ac:dyDescent="0.2">
      <c r="A27" s="10">
        <v>22</v>
      </c>
      <c r="B27" s="129">
        <v>-54199</v>
      </c>
      <c r="C27" s="11">
        <v>-52800</v>
      </c>
      <c r="D27" s="25">
        <f t="shared" si="0"/>
        <v>1399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>
        <v>-24310</v>
      </c>
      <c r="C28" s="11">
        <v>-17500</v>
      </c>
      <c r="D28" s="25">
        <f t="shared" si="0"/>
        <v>6810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>
        <v>-82802</v>
      </c>
      <c r="C29" s="11">
        <v>-49936</v>
      </c>
      <c r="D29" s="25">
        <f t="shared" si="0"/>
        <v>32866</v>
      </c>
    </row>
    <row r="30" spans="1:14" x14ac:dyDescent="0.2">
      <c r="A30" s="10">
        <v>25</v>
      </c>
      <c r="B30" s="129">
        <v>-79875</v>
      </c>
      <c r="C30" s="11">
        <v>-80236</v>
      </c>
      <c r="D30" s="25">
        <f t="shared" si="0"/>
        <v>-361</v>
      </c>
    </row>
    <row r="31" spans="1:14" x14ac:dyDescent="0.2">
      <c r="A31" s="10">
        <v>26</v>
      </c>
      <c r="B31" s="129">
        <v>-83734</v>
      </c>
      <c r="C31" s="11">
        <v>-62597</v>
      </c>
      <c r="D31" s="25">
        <f t="shared" si="0"/>
        <v>21137</v>
      </c>
    </row>
    <row r="32" spans="1:14" x14ac:dyDescent="0.2">
      <c r="A32" s="10">
        <v>27</v>
      </c>
      <c r="B32" s="129">
        <v>-86304</v>
      </c>
      <c r="C32" s="11">
        <v>-81278</v>
      </c>
      <c r="D32" s="25">
        <f t="shared" si="0"/>
        <v>5026</v>
      </c>
    </row>
    <row r="33" spans="1:4" x14ac:dyDescent="0.2">
      <c r="A33" s="10">
        <v>28</v>
      </c>
      <c r="B33" s="129">
        <v>-86591</v>
      </c>
      <c r="C33" s="11">
        <v>-84540</v>
      </c>
      <c r="D33" s="25">
        <f t="shared" si="0"/>
        <v>2051</v>
      </c>
    </row>
    <row r="34" spans="1:4" x14ac:dyDescent="0.2">
      <c r="A34" s="10">
        <v>29</v>
      </c>
      <c r="B34" s="129">
        <v>-72379</v>
      </c>
      <c r="C34" s="11">
        <v>-80300</v>
      </c>
      <c r="D34" s="25">
        <f t="shared" si="0"/>
        <v>-7921</v>
      </c>
    </row>
    <row r="35" spans="1:4" x14ac:dyDescent="0.2">
      <c r="A35" s="10">
        <v>30</v>
      </c>
      <c r="B35" s="129">
        <v>-55008</v>
      </c>
      <c r="C35" s="11">
        <v>-80300</v>
      </c>
      <c r="D35" s="25">
        <f t="shared" si="0"/>
        <v>-25292</v>
      </c>
    </row>
    <row r="36" spans="1:4" x14ac:dyDescent="0.2">
      <c r="A36" s="10">
        <v>31</v>
      </c>
      <c r="B36" s="11">
        <v>-82100</v>
      </c>
      <c r="C36" s="11">
        <v>-80300</v>
      </c>
      <c r="D36" s="25">
        <f t="shared" si="0"/>
        <v>1800</v>
      </c>
    </row>
    <row r="37" spans="1:4" x14ac:dyDescent="0.2">
      <c r="A37" s="10"/>
      <c r="B37" s="11">
        <f>SUM(B6:B36)</f>
        <v>-2393794</v>
      </c>
      <c r="C37" s="11">
        <f>SUM(C6:C36)</f>
        <v>-2336098</v>
      </c>
      <c r="D37" s="25">
        <f>SUM(D6:D36)</f>
        <v>57696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129816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37256</v>
      </c>
      <c r="C41" s="48"/>
      <c r="D41" s="138">
        <f>+D40+D39</f>
        <v>181805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116707</v>
      </c>
    </row>
    <row r="46" spans="1:4" x14ac:dyDescent="0.2">
      <c r="A46" s="49">
        <f>+A41</f>
        <v>37256</v>
      </c>
      <c r="B46" s="32"/>
      <c r="C46" s="32"/>
      <c r="D46" s="355">
        <f>+D37</f>
        <v>57696</v>
      </c>
    </row>
    <row r="47" spans="1:4" x14ac:dyDescent="0.2">
      <c r="A47" s="32"/>
      <c r="B47" s="32"/>
      <c r="C47" s="32"/>
      <c r="D47" s="14">
        <f>+D46+D45</f>
        <v>174403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C37" sqref="C37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">
      <c r="A23" s="10">
        <v>18</v>
      </c>
      <c r="B23" s="11">
        <v>30891</v>
      </c>
      <c r="C23" s="11">
        <v>31699</v>
      </c>
      <c r="D23" s="25">
        <f t="shared" si="0"/>
        <v>808</v>
      </c>
    </row>
    <row r="24" spans="1:4" x14ac:dyDescent="0.2">
      <c r="A24" s="10">
        <v>19</v>
      </c>
      <c r="B24" s="11">
        <v>30661</v>
      </c>
      <c r="C24" s="11">
        <v>31699</v>
      </c>
      <c r="D24" s="25">
        <f t="shared" si="0"/>
        <v>1038</v>
      </c>
    </row>
    <row r="25" spans="1:4" x14ac:dyDescent="0.2">
      <c r="A25" s="10">
        <v>20</v>
      </c>
      <c r="B25" s="11">
        <v>31227</v>
      </c>
      <c r="C25" s="11">
        <v>31699</v>
      </c>
      <c r="D25" s="25">
        <f t="shared" si="0"/>
        <v>472</v>
      </c>
    </row>
    <row r="26" spans="1:4" x14ac:dyDescent="0.2">
      <c r="A26" s="10">
        <v>21</v>
      </c>
      <c r="B26" s="11">
        <v>27205</v>
      </c>
      <c r="C26" s="11">
        <v>30014</v>
      </c>
      <c r="D26" s="25">
        <f t="shared" si="0"/>
        <v>2809</v>
      </c>
    </row>
    <row r="27" spans="1:4" x14ac:dyDescent="0.2">
      <c r="A27" s="10">
        <v>22</v>
      </c>
      <c r="B27" s="11">
        <v>28342</v>
      </c>
      <c r="C27" s="11">
        <v>30014</v>
      </c>
      <c r="D27" s="25">
        <f t="shared" si="0"/>
        <v>1672</v>
      </c>
    </row>
    <row r="28" spans="1:4" x14ac:dyDescent="0.2">
      <c r="A28" s="10">
        <v>23</v>
      </c>
      <c r="B28" s="11">
        <v>23004</v>
      </c>
      <c r="C28" s="11">
        <v>30014</v>
      </c>
      <c r="D28" s="25">
        <f t="shared" si="0"/>
        <v>7010</v>
      </c>
    </row>
    <row r="29" spans="1:4" x14ac:dyDescent="0.2">
      <c r="A29" s="10">
        <v>24</v>
      </c>
      <c r="B29" s="11">
        <v>25378</v>
      </c>
      <c r="C29" s="11">
        <v>30014</v>
      </c>
      <c r="D29" s="25">
        <f t="shared" si="0"/>
        <v>4636</v>
      </c>
    </row>
    <row r="30" spans="1:4" x14ac:dyDescent="0.2">
      <c r="A30" s="10">
        <v>25</v>
      </c>
      <c r="B30" s="11">
        <v>27796</v>
      </c>
      <c r="C30" s="11">
        <v>30014</v>
      </c>
      <c r="D30" s="25">
        <f t="shared" si="0"/>
        <v>2218</v>
      </c>
    </row>
    <row r="31" spans="1:4" x14ac:dyDescent="0.2">
      <c r="A31" s="10">
        <v>26</v>
      </c>
      <c r="B31" s="11">
        <v>28632</v>
      </c>
      <c r="C31" s="11">
        <v>30014</v>
      </c>
      <c r="D31" s="25">
        <f t="shared" si="0"/>
        <v>1382</v>
      </c>
    </row>
    <row r="32" spans="1:4" x14ac:dyDescent="0.2">
      <c r="A32" s="10">
        <v>27</v>
      </c>
      <c r="B32" s="11">
        <v>31135</v>
      </c>
      <c r="C32" s="11">
        <v>30014</v>
      </c>
      <c r="D32" s="25">
        <f t="shared" si="0"/>
        <v>-1121</v>
      </c>
    </row>
    <row r="33" spans="1:4" x14ac:dyDescent="0.2">
      <c r="A33" s="10">
        <v>28</v>
      </c>
      <c r="B33" s="11">
        <v>30913</v>
      </c>
      <c r="C33" s="11">
        <v>31700</v>
      </c>
      <c r="D33" s="25">
        <f t="shared" si="0"/>
        <v>787</v>
      </c>
    </row>
    <row r="34" spans="1:4" x14ac:dyDescent="0.2">
      <c r="A34" s="10">
        <v>29</v>
      </c>
      <c r="B34" s="11">
        <v>31205</v>
      </c>
      <c r="C34" s="11">
        <v>31700</v>
      </c>
      <c r="D34" s="25">
        <f t="shared" si="0"/>
        <v>495</v>
      </c>
    </row>
    <row r="35" spans="1:4" x14ac:dyDescent="0.2">
      <c r="A35" s="10">
        <v>30</v>
      </c>
      <c r="B35" s="11">
        <v>31691</v>
      </c>
      <c r="C35" s="11">
        <v>31700</v>
      </c>
      <c r="D35" s="25">
        <f t="shared" si="0"/>
        <v>9</v>
      </c>
    </row>
    <row r="36" spans="1:4" x14ac:dyDescent="0.2">
      <c r="A36" s="10">
        <v>31</v>
      </c>
      <c r="B36" s="11">
        <v>33255</v>
      </c>
      <c r="C36" s="11">
        <v>31700</v>
      </c>
      <c r="D36" s="25">
        <f t="shared" si="0"/>
        <v>-1555</v>
      </c>
    </row>
    <row r="37" spans="1:4" x14ac:dyDescent="0.2">
      <c r="A37" s="10"/>
      <c r="B37" s="11">
        <f>SUM(B6:B36)</f>
        <v>921213</v>
      </c>
      <c r="C37" s="11">
        <f>SUM(C6:C36)</f>
        <v>933577</v>
      </c>
      <c r="D37" s="25">
        <f>SUM(D6:D36)</f>
        <v>12364</v>
      </c>
    </row>
    <row r="38" spans="1:4" x14ac:dyDescent="0.2">
      <c r="A38" s="26"/>
      <c r="B38" s="31"/>
      <c r="C38" s="14"/>
      <c r="D38" s="329">
        <f>+summary!H5</f>
        <v>2.2599999999999998</v>
      </c>
    </row>
    <row r="39" spans="1:4" x14ac:dyDescent="0.2">
      <c r="D39" s="138">
        <f>+D38*D37</f>
        <v>27942.639999999996</v>
      </c>
    </row>
    <row r="40" spans="1:4" x14ac:dyDescent="0.2">
      <c r="A40" s="57">
        <v>37225</v>
      </c>
      <c r="C40" s="15"/>
      <c r="D40" s="519">
        <v>57061.55</v>
      </c>
    </row>
    <row r="41" spans="1:4" x14ac:dyDescent="0.2">
      <c r="A41" s="57">
        <v>37256</v>
      </c>
      <c r="C41" s="48"/>
      <c r="D41" s="138">
        <f>+D40+D39</f>
        <v>85004.19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42218</v>
      </c>
    </row>
    <row r="46" spans="1:4" x14ac:dyDescent="0.2">
      <c r="A46" s="49">
        <f>+A41</f>
        <v>37256</v>
      </c>
      <c r="B46" s="32"/>
      <c r="C46" s="32"/>
      <c r="D46" s="355">
        <f>+D37</f>
        <v>12364</v>
      </c>
    </row>
    <row r="47" spans="1:4" x14ac:dyDescent="0.2">
      <c r="A47" s="32"/>
      <c r="B47" s="32"/>
      <c r="C47" s="32"/>
      <c r="D47" s="14">
        <f>+D46+D45</f>
        <v>54582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35" sqref="D35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293612</v>
      </c>
      <c r="C6" s="11">
        <v>296350</v>
      </c>
      <c r="D6" s="11">
        <v>63640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-7440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312105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8891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6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364308</v>
      </c>
      <c r="C21" s="11">
        <v>363036</v>
      </c>
      <c r="D21" s="11">
        <v>45985</v>
      </c>
      <c r="E21" s="11">
        <v>43721</v>
      </c>
      <c r="F21" s="11">
        <v>14240</v>
      </c>
      <c r="G21" s="11">
        <v>15288</v>
      </c>
      <c r="H21" s="11">
        <v>117395</v>
      </c>
      <c r="I21" s="11">
        <v>120290</v>
      </c>
      <c r="J21" s="11">
        <f t="shared" si="0"/>
        <v>407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353401</v>
      </c>
      <c r="C22" s="11">
        <v>361266</v>
      </c>
      <c r="D22" s="11">
        <v>45953</v>
      </c>
      <c r="E22" s="11">
        <v>47323</v>
      </c>
      <c r="F22" s="11">
        <v>15882</v>
      </c>
      <c r="G22" s="11">
        <v>15475</v>
      </c>
      <c r="H22" s="11">
        <v>131355</v>
      </c>
      <c r="I22" s="11">
        <v>124274</v>
      </c>
      <c r="J22" s="11">
        <f t="shared" si="0"/>
        <v>1747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363251</v>
      </c>
      <c r="C23" s="11">
        <v>362637</v>
      </c>
      <c r="D23" s="129">
        <v>45978</v>
      </c>
      <c r="E23" s="11">
        <v>47661</v>
      </c>
      <c r="F23" s="11">
        <v>15870</v>
      </c>
      <c r="G23" s="11">
        <v>15414</v>
      </c>
      <c r="H23" s="129">
        <v>117041</v>
      </c>
      <c r="I23" s="11">
        <v>118873</v>
      </c>
      <c r="J23" s="11">
        <f t="shared" si="0"/>
        <v>2445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339974</v>
      </c>
      <c r="C24" s="11">
        <v>333702</v>
      </c>
      <c r="D24" s="11">
        <v>46971</v>
      </c>
      <c r="E24" s="11">
        <v>47029</v>
      </c>
      <c r="F24" s="11">
        <v>14794</v>
      </c>
      <c r="G24" s="11">
        <v>15475</v>
      </c>
      <c r="H24" s="11">
        <v>136928</v>
      </c>
      <c r="I24" s="11">
        <v>142023</v>
      </c>
      <c r="J24" s="11">
        <f t="shared" si="0"/>
        <v>-438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361285</v>
      </c>
      <c r="C25" s="11">
        <v>361336</v>
      </c>
      <c r="D25" s="11">
        <v>43684</v>
      </c>
      <c r="E25" s="11">
        <v>43721</v>
      </c>
      <c r="F25" s="11">
        <v>24069</v>
      </c>
      <c r="G25" s="11">
        <v>30475</v>
      </c>
      <c r="H25" s="11">
        <v>146163</v>
      </c>
      <c r="I25" s="11">
        <v>144092</v>
      </c>
      <c r="J25" s="11">
        <f t="shared" si="0"/>
        <v>4423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348039</v>
      </c>
      <c r="C26" s="11">
        <v>347741</v>
      </c>
      <c r="D26" s="11">
        <v>43981</v>
      </c>
      <c r="E26" s="11">
        <v>43721</v>
      </c>
      <c r="F26" s="11">
        <v>23984</v>
      </c>
      <c r="G26" s="11">
        <v>30226</v>
      </c>
      <c r="H26" s="11">
        <v>152853</v>
      </c>
      <c r="I26" s="11">
        <v>143788</v>
      </c>
      <c r="J26" s="11">
        <f t="shared" si="0"/>
        <v>-3381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355738</v>
      </c>
      <c r="C27" s="11">
        <v>359941</v>
      </c>
      <c r="D27" s="11">
        <v>44027</v>
      </c>
      <c r="E27" s="11">
        <v>43721</v>
      </c>
      <c r="F27" s="11">
        <v>28658</v>
      </c>
      <c r="G27" s="11">
        <v>28507</v>
      </c>
      <c r="H27" s="11">
        <v>143473</v>
      </c>
      <c r="I27" s="11">
        <v>144059</v>
      </c>
      <c r="J27" s="11">
        <f t="shared" si="0"/>
        <v>4332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333130</v>
      </c>
      <c r="C28" s="11">
        <v>359573</v>
      </c>
      <c r="D28" s="11">
        <v>49428</v>
      </c>
      <c r="E28" s="11">
        <v>43721</v>
      </c>
      <c r="F28" s="11">
        <v>24021</v>
      </c>
      <c r="G28" s="11">
        <v>28507</v>
      </c>
      <c r="H28" s="11">
        <v>151948</v>
      </c>
      <c r="I28" s="11">
        <v>143643</v>
      </c>
      <c r="J28" s="11">
        <f t="shared" si="0"/>
        <v>16917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333378</v>
      </c>
      <c r="C29" s="11">
        <v>309560</v>
      </c>
      <c r="D29" s="11">
        <v>56609</v>
      </c>
      <c r="E29" s="11">
        <v>43721</v>
      </c>
      <c r="F29" s="11">
        <v>25429</v>
      </c>
      <c r="G29" s="11">
        <v>26238</v>
      </c>
      <c r="H29" s="11">
        <v>154895</v>
      </c>
      <c r="I29" s="11">
        <v>143629</v>
      </c>
      <c r="J29" s="11">
        <f t="shared" si="0"/>
        <v>-47163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315330</v>
      </c>
      <c r="C30" s="11">
        <v>309386</v>
      </c>
      <c r="D30" s="11">
        <v>44420</v>
      </c>
      <c r="E30" s="11">
        <v>43721</v>
      </c>
      <c r="F30" s="11">
        <v>23186</v>
      </c>
      <c r="G30" s="11">
        <v>22241</v>
      </c>
      <c r="H30" s="11">
        <v>144997</v>
      </c>
      <c r="I30" s="11">
        <v>141183</v>
      </c>
      <c r="J30" s="11">
        <f t="shared" si="0"/>
        <v>-11402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318102</v>
      </c>
      <c r="C31" s="11">
        <v>332631</v>
      </c>
      <c r="D31" s="11">
        <v>33893</v>
      </c>
      <c r="E31" s="11">
        <v>32000</v>
      </c>
      <c r="F31" s="11">
        <v>27499</v>
      </c>
      <c r="G31" s="11">
        <v>25036</v>
      </c>
      <c r="H31" s="11">
        <v>160947</v>
      </c>
      <c r="I31" s="11">
        <v>152096</v>
      </c>
      <c r="J31" s="11">
        <f t="shared" si="0"/>
        <v>1322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337728</v>
      </c>
      <c r="C32" s="11">
        <v>312673</v>
      </c>
      <c r="D32" s="11">
        <v>1451</v>
      </c>
      <c r="E32" s="11">
        <v>28000</v>
      </c>
      <c r="F32" s="11">
        <v>20241</v>
      </c>
      <c r="G32" s="11">
        <v>30226</v>
      </c>
      <c r="H32" s="11">
        <v>159066</v>
      </c>
      <c r="I32" s="11">
        <v>157690</v>
      </c>
      <c r="J32" s="11">
        <f t="shared" si="0"/>
        <v>10103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>
        <v>320227</v>
      </c>
      <c r="C33" s="11">
        <v>313861</v>
      </c>
      <c r="D33" s="11"/>
      <c r="E33" s="11">
        <v>28000</v>
      </c>
      <c r="F33" s="11">
        <v>24216</v>
      </c>
      <c r="G33" s="11">
        <v>26526</v>
      </c>
      <c r="H33" s="11">
        <v>159027</v>
      </c>
      <c r="I33" s="11">
        <v>154427</v>
      </c>
      <c r="J33" s="11">
        <f t="shared" si="0"/>
        <v>19344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>
        <v>283722</v>
      </c>
      <c r="C34" s="11">
        <v>286800</v>
      </c>
      <c r="D34" s="11">
        <v>37298</v>
      </c>
      <c r="E34" s="11">
        <v>28000</v>
      </c>
      <c r="F34" s="11">
        <v>25001</v>
      </c>
      <c r="G34" s="11">
        <v>26526</v>
      </c>
      <c r="H34" s="11">
        <v>158516</v>
      </c>
      <c r="I34" s="11">
        <v>158086</v>
      </c>
      <c r="J34" s="11">
        <f t="shared" si="0"/>
        <v>-5125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10019103</v>
      </c>
      <c r="C35" s="11">
        <f t="shared" ref="C35:I35" si="3">SUM(C4:C34)</f>
        <v>10085748</v>
      </c>
      <c r="D35" s="11">
        <f t="shared" si="3"/>
        <v>1415519</v>
      </c>
      <c r="E35" s="11">
        <f t="shared" si="3"/>
        <v>1400212</v>
      </c>
      <c r="F35" s="11">
        <f t="shared" si="3"/>
        <v>650139</v>
      </c>
      <c r="G35" s="11">
        <f t="shared" si="3"/>
        <v>685959</v>
      </c>
      <c r="H35" s="11">
        <f t="shared" si="3"/>
        <v>3876238</v>
      </c>
      <c r="I35" s="11">
        <f t="shared" si="3"/>
        <v>3754748</v>
      </c>
      <c r="J35" s="11">
        <f>SUM(J4:J34)</f>
        <v>-34332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07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37256</v>
      </c>
      <c r="J40" s="51">
        <f>+J38+J35</f>
        <v>-34332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02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37256</v>
      </c>
      <c r="B47" s="32"/>
      <c r="C47" s="32"/>
      <c r="D47" s="382">
        <f>+J35*'by type_area'!J3</f>
        <v>-76903.680000000008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-76903.680000000008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5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">
      <c r="A23" s="10">
        <v>18</v>
      </c>
      <c r="B23" s="11">
        <v>41390</v>
      </c>
      <c r="C23" s="11">
        <v>43336</v>
      </c>
      <c r="D23" s="25">
        <f t="shared" si="0"/>
        <v>1946</v>
      </c>
    </row>
    <row r="24" spans="1:4" x14ac:dyDescent="0.2">
      <c r="A24" s="10">
        <v>19</v>
      </c>
      <c r="B24" s="11">
        <v>46550</v>
      </c>
      <c r="C24" s="11">
        <v>46153</v>
      </c>
      <c r="D24" s="25">
        <f t="shared" si="0"/>
        <v>-397</v>
      </c>
    </row>
    <row r="25" spans="1:4" x14ac:dyDescent="0.2">
      <c r="A25" s="10">
        <v>20</v>
      </c>
      <c r="B25" s="129">
        <v>65126</v>
      </c>
      <c r="C25" s="11">
        <v>67124</v>
      </c>
      <c r="D25" s="25">
        <f t="shared" si="0"/>
        <v>1998</v>
      </c>
    </row>
    <row r="26" spans="1:4" x14ac:dyDescent="0.2">
      <c r="A26" s="10">
        <v>21</v>
      </c>
      <c r="B26" s="11">
        <v>52434</v>
      </c>
      <c r="C26" s="11">
        <v>49465</v>
      </c>
      <c r="D26" s="25">
        <f t="shared" si="0"/>
        <v>-2969</v>
      </c>
    </row>
    <row r="27" spans="1:4" x14ac:dyDescent="0.2">
      <c r="A27" s="10">
        <v>22</v>
      </c>
      <c r="B27" s="11">
        <v>45644</v>
      </c>
      <c r="C27" s="11">
        <v>45654</v>
      </c>
      <c r="D27" s="25">
        <f t="shared" si="0"/>
        <v>10</v>
      </c>
    </row>
    <row r="28" spans="1:4" x14ac:dyDescent="0.2">
      <c r="A28" s="10">
        <v>23</v>
      </c>
      <c r="B28" s="11">
        <v>57273</v>
      </c>
      <c r="C28" s="11">
        <v>60853</v>
      </c>
      <c r="D28" s="25">
        <f t="shared" si="0"/>
        <v>3580</v>
      </c>
    </row>
    <row r="29" spans="1:4" x14ac:dyDescent="0.2">
      <c r="A29" s="10">
        <v>24</v>
      </c>
      <c r="B29" s="11">
        <v>61491</v>
      </c>
      <c r="C29" s="11">
        <v>60654</v>
      </c>
      <c r="D29" s="25">
        <f t="shared" si="0"/>
        <v>-837</v>
      </c>
    </row>
    <row r="30" spans="1:4" x14ac:dyDescent="0.2">
      <c r="A30" s="10">
        <v>25</v>
      </c>
      <c r="B30" s="11">
        <v>48252</v>
      </c>
      <c r="C30" s="11">
        <v>45654</v>
      </c>
      <c r="D30" s="25">
        <f t="shared" si="0"/>
        <v>-2598</v>
      </c>
    </row>
    <row r="31" spans="1:4" x14ac:dyDescent="0.2">
      <c r="A31" s="10">
        <v>26</v>
      </c>
      <c r="B31" s="11">
        <v>51633</v>
      </c>
      <c r="C31" s="11">
        <v>51878</v>
      </c>
      <c r="D31" s="25">
        <f t="shared" si="0"/>
        <v>245</v>
      </c>
    </row>
    <row r="32" spans="1:4" x14ac:dyDescent="0.2">
      <c r="A32" s="10">
        <v>27</v>
      </c>
      <c r="B32" s="11">
        <v>45541</v>
      </c>
      <c r="C32" s="11">
        <v>45108</v>
      </c>
      <c r="D32" s="25">
        <f t="shared" si="0"/>
        <v>-433</v>
      </c>
    </row>
    <row r="33" spans="1:4" x14ac:dyDescent="0.2">
      <c r="A33" s="10">
        <v>28</v>
      </c>
      <c r="B33" s="11">
        <v>55353</v>
      </c>
      <c r="C33" s="11">
        <v>55105</v>
      </c>
      <c r="D33" s="25">
        <f t="shared" si="0"/>
        <v>-248</v>
      </c>
    </row>
    <row r="34" spans="1:4" x14ac:dyDescent="0.2">
      <c r="A34" s="10">
        <v>29</v>
      </c>
      <c r="B34" s="11">
        <v>37618</v>
      </c>
      <c r="C34" s="11">
        <v>36809</v>
      </c>
      <c r="D34" s="25">
        <f t="shared" si="0"/>
        <v>-809</v>
      </c>
    </row>
    <row r="35" spans="1:4" x14ac:dyDescent="0.2">
      <c r="A35" s="10">
        <v>30</v>
      </c>
      <c r="B35" s="11">
        <v>37152</v>
      </c>
      <c r="C35" s="11">
        <v>36809</v>
      </c>
      <c r="D35" s="25">
        <f t="shared" si="0"/>
        <v>-343</v>
      </c>
    </row>
    <row r="36" spans="1:4" x14ac:dyDescent="0.2">
      <c r="A36" s="10">
        <v>31</v>
      </c>
      <c r="B36" s="11">
        <v>37432</v>
      </c>
      <c r="C36" s="11">
        <v>36814</v>
      </c>
      <c r="D36" s="25">
        <f t="shared" si="0"/>
        <v>-618</v>
      </c>
    </row>
    <row r="37" spans="1:4" x14ac:dyDescent="0.2">
      <c r="A37" s="10"/>
      <c r="B37" s="11">
        <f>SUM(B6:B36)</f>
        <v>1551363</v>
      </c>
      <c r="C37" s="11">
        <f>SUM(C6:C36)</f>
        <v>1555639</v>
      </c>
      <c r="D37" s="25">
        <f>SUM(D6:D36)</f>
        <v>4276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9663.7599999999984</v>
      </c>
    </row>
    <row r="40" spans="1:4" x14ac:dyDescent="0.2">
      <c r="A40" s="57">
        <v>37225</v>
      </c>
      <c r="C40" s="15"/>
      <c r="D40" s="518">
        <v>35912.71</v>
      </c>
    </row>
    <row r="41" spans="1:4" x14ac:dyDescent="0.2">
      <c r="A41" s="57">
        <v>37256</v>
      </c>
      <c r="C41" s="48"/>
      <c r="D41" s="138">
        <f>+D40+D39</f>
        <v>45576.47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17122</v>
      </c>
    </row>
    <row r="47" spans="1:4" x14ac:dyDescent="0.2">
      <c r="A47" s="49">
        <f>+A41</f>
        <v>37256</v>
      </c>
      <c r="B47" s="32"/>
      <c r="C47" s="32"/>
      <c r="D47" s="355">
        <f>+D37</f>
        <v>4276</v>
      </c>
    </row>
    <row r="48" spans="1:4" x14ac:dyDescent="0.2">
      <c r="A48" s="32"/>
      <c r="B48" s="32"/>
      <c r="C48" s="32"/>
      <c r="D48" s="14">
        <f>+D47+D46</f>
        <v>21398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1" workbookViewId="0">
      <selection activeCell="B35" sqref="B3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>
        <v>-15</v>
      </c>
      <c r="C22" s="11">
        <v>-530</v>
      </c>
      <c r="D22" s="25">
        <f t="shared" si="0"/>
        <v>-515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-11</v>
      </c>
      <c r="C24" s="11"/>
      <c r="D24" s="25">
        <f t="shared" si="0"/>
        <v>11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-9</v>
      </c>
      <c r="C25" s="11"/>
      <c r="D25" s="25">
        <f t="shared" si="0"/>
        <v>9</v>
      </c>
    </row>
    <row r="26" spans="1:15" x14ac:dyDescent="0.2">
      <c r="A26" s="10">
        <v>21</v>
      </c>
      <c r="B26" s="11">
        <v>-12</v>
      </c>
      <c r="C26" s="11"/>
      <c r="D26" s="25">
        <f t="shared" si="0"/>
        <v>12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-17</v>
      </c>
      <c r="C27" s="11"/>
      <c r="D27" s="25">
        <f t="shared" si="0"/>
        <v>17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-16</v>
      </c>
      <c r="C28" s="11"/>
      <c r="D28" s="25">
        <f t="shared" si="0"/>
        <v>16</v>
      </c>
    </row>
    <row r="29" spans="1:15" x14ac:dyDescent="0.2">
      <c r="A29" s="10">
        <v>24</v>
      </c>
      <c r="B29" s="11">
        <v>-13</v>
      </c>
      <c r="C29" s="11"/>
      <c r="D29" s="25">
        <f t="shared" si="0"/>
        <v>13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-3</v>
      </c>
      <c r="C31" s="11"/>
      <c r="D31" s="25">
        <f t="shared" si="0"/>
        <v>3</v>
      </c>
    </row>
    <row r="32" spans="1:15" x14ac:dyDescent="0.2">
      <c r="A32" s="10">
        <v>27</v>
      </c>
      <c r="B32" s="11">
        <v>-2</v>
      </c>
      <c r="C32" s="11"/>
      <c r="D32" s="25">
        <f t="shared" si="0"/>
        <v>2</v>
      </c>
    </row>
    <row r="33" spans="1:4" x14ac:dyDescent="0.2">
      <c r="A33" s="10">
        <v>28</v>
      </c>
      <c r="B33" s="11">
        <v>-3</v>
      </c>
      <c r="C33" s="11"/>
      <c r="D33" s="25">
        <f t="shared" si="0"/>
        <v>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>
        <v>-1</v>
      </c>
      <c r="C36" s="11"/>
      <c r="D36" s="25">
        <f t="shared" si="0"/>
        <v>1</v>
      </c>
    </row>
    <row r="37" spans="1:4" x14ac:dyDescent="0.2">
      <c r="A37" s="10"/>
      <c r="B37" s="11">
        <f>SUM(B6:B36)</f>
        <v>-19177</v>
      </c>
      <c r="C37" s="11">
        <f>SUM(C6:C36)</f>
        <v>-23822</v>
      </c>
      <c r="D37" s="25">
        <f>SUM(D6:D36)</f>
        <v>-4645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-10451.25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37256</v>
      </c>
      <c r="C41" s="48"/>
      <c r="D41" s="138">
        <f>+D40+D39</f>
        <v>-355805.25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09">
        <v>-39976</v>
      </c>
    </row>
    <row r="49" spans="1:4" x14ac:dyDescent="0.2">
      <c r="A49" s="49">
        <f>+A41</f>
        <v>37256</v>
      </c>
      <c r="B49" s="32"/>
      <c r="C49" s="32"/>
      <c r="D49" s="355">
        <f>+D37</f>
        <v>-4645</v>
      </c>
    </row>
    <row r="50" spans="1:4" x14ac:dyDescent="0.2">
      <c r="A50" s="32"/>
      <c r="B50" s="32"/>
      <c r="C50" s="32"/>
      <c r="D50" s="14">
        <f>+D49+D48</f>
        <v>-44621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-52242</v>
      </c>
      <c r="C8" s="11">
        <v>-50314</v>
      </c>
      <c r="D8" s="25">
        <f t="shared" si="0"/>
        <v>1928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>
        <v>-399</v>
      </c>
      <c r="C36" s="11"/>
      <c r="D36" s="25">
        <f t="shared" si="0"/>
        <v>399</v>
      </c>
    </row>
    <row r="37" spans="1:4" x14ac:dyDescent="0.2">
      <c r="A37" s="10"/>
      <c r="B37" s="11">
        <f>SUM(B6:B36)</f>
        <v>-204430</v>
      </c>
      <c r="C37" s="11">
        <f>SUM(C6:C36)</f>
        <v>-197164</v>
      </c>
      <c r="D37" s="25">
        <f>SUM(D6:D36)</f>
        <v>7266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16348.5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37256</v>
      </c>
      <c r="C41" s="48"/>
      <c r="D41" s="138">
        <f>+D40+D39</f>
        <v>67744.5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28886</v>
      </c>
    </row>
    <row r="47" spans="1:4" x14ac:dyDescent="0.2">
      <c r="A47" s="49">
        <f>+A41</f>
        <v>37256</v>
      </c>
      <c r="B47" s="32"/>
      <c r="C47" s="32"/>
      <c r="D47" s="355">
        <f>+D37</f>
        <v>7266</v>
      </c>
    </row>
    <row r="48" spans="1:4" x14ac:dyDescent="0.2">
      <c r="A48" s="32"/>
      <c r="B48" s="32"/>
      <c r="C48" s="32"/>
      <c r="D48" s="14">
        <f>+D47+D46</f>
        <v>36152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56659</v>
      </c>
      <c r="B5" s="326">
        <v>-42</v>
      </c>
      <c r="C5" s="90">
        <v>-3906</v>
      </c>
      <c r="D5" s="90">
        <f>+C5-B5</f>
        <v>-3864</v>
      </c>
      <c r="E5" s="275"/>
      <c r="F5" s="273"/>
    </row>
    <row r="6" spans="1:13" x14ac:dyDescent="0.2">
      <c r="A6" s="87">
        <v>500046</v>
      </c>
      <c r="B6" s="90">
        <f>-10126-272</f>
        <v>-10398</v>
      </c>
      <c r="C6" s="90">
        <v>-5894</v>
      </c>
      <c r="D6" s="90">
        <f t="shared" ref="D6:D11" si="0">+C6-B6</f>
        <v>4504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">
      <c r="A8" s="87">
        <v>500134</v>
      </c>
      <c r="B8" s="92">
        <f>-32072-994</f>
        <v>-33066</v>
      </c>
      <c r="C8" s="90">
        <v>-46056</v>
      </c>
      <c r="D8" s="90">
        <f t="shared" si="0"/>
        <v>-12990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-12350</v>
      </c>
      <c r="E12" s="275"/>
      <c r="F12" s="273"/>
    </row>
    <row r="13" spans="1:13" x14ac:dyDescent="0.2">
      <c r="A13" s="87" t="s">
        <v>82</v>
      </c>
      <c r="B13" s="88"/>
      <c r="C13" s="88"/>
      <c r="D13" s="95">
        <f>+summary!H4</f>
        <v>2.25</v>
      </c>
      <c r="E13" s="277"/>
      <c r="F13" s="273"/>
    </row>
    <row r="14" spans="1:13" x14ac:dyDescent="0.2">
      <c r="A14" s="87"/>
      <c r="B14" s="88"/>
      <c r="C14" s="88"/>
      <c r="D14" s="96">
        <f>+D13*D12</f>
        <v>-27787.5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37225</v>
      </c>
      <c r="B16" s="88"/>
      <c r="C16" s="88"/>
      <c r="D16" s="516">
        <v>-510924.54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37256</v>
      </c>
      <c r="B18" s="88"/>
      <c r="C18" s="88"/>
      <c r="D18" s="321">
        <f>+D16+D14</f>
        <v>-538712.04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09">
        <v>-24926</v>
      </c>
    </row>
    <row r="23" spans="1:7" x14ac:dyDescent="0.2">
      <c r="A23" s="49">
        <f>+A18</f>
        <v>37256</v>
      </c>
      <c r="B23" s="32"/>
      <c r="C23" s="32"/>
      <c r="D23" s="355">
        <f>+D12</f>
        <v>-12350</v>
      </c>
    </row>
    <row r="24" spans="1:7" x14ac:dyDescent="0.2">
      <c r="A24" s="32"/>
      <c r="B24" s="32"/>
      <c r="C24" s="32"/>
      <c r="D24" s="14">
        <f>+D23+D22</f>
        <v>-37276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D39" sqref="D3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>
        <v>-2578</v>
      </c>
      <c r="D18" s="25">
        <f t="shared" si="0"/>
        <v>-2578</v>
      </c>
    </row>
    <row r="19" spans="1:4" x14ac:dyDescent="0.2">
      <c r="A19" s="10">
        <v>14</v>
      </c>
      <c r="B19" s="11"/>
      <c r="C19" s="11">
        <v>-12000</v>
      </c>
      <c r="D19" s="25">
        <f t="shared" si="0"/>
        <v>-12000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-22369</v>
      </c>
      <c r="C25" s="11">
        <v>-5714</v>
      </c>
      <c r="D25" s="25">
        <f t="shared" si="0"/>
        <v>16655</v>
      </c>
    </row>
    <row r="26" spans="1:4" x14ac:dyDescent="0.2">
      <c r="A26" s="10">
        <v>21</v>
      </c>
      <c r="B26" s="11">
        <v>-8466</v>
      </c>
      <c r="C26" s="11">
        <v>-8570</v>
      </c>
      <c r="D26" s="25">
        <f t="shared" si="0"/>
        <v>-104</v>
      </c>
    </row>
    <row r="27" spans="1:4" x14ac:dyDescent="0.2">
      <c r="A27" s="10">
        <v>22</v>
      </c>
      <c r="B27" s="11">
        <v>-16160</v>
      </c>
      <c r="C27" s="11">
        <v>-14983</v>
      </c>
      <c r="D27" s="25">
        <f t="shared" si="0"/>
        <v>1177</v>
      </c>
    </row>
    <row r="28" spans="1:4" x14ac:dyDescent="0.2">
      <c r="A28" s="10">
        <v>23</v>
      </c>
      <c r="B28" s="11">
        <v>-16435</v>
      </c>
      <c r="C28" s="11">
        <v>-14983</v>
      </c>
      <c r="D28" s="25">
        <f t="shared" si="0"/>
        <v>1452</v>
      </c>
    </row>
    <row r="29" spans="1:4" x14ac:dyDescent="0.2">
      <c r="A29" s="10">
        <v>24</v>
      </c>
      <c r="B29" s="11">
        <v>-16410</v>
      </c>
      <c r="C29" s="11">
        <v>-14983</v>
      </c>
      <c r="D29" s="25">
        <f t="shared" si="0"/>
        <v>1427</v>
      </c>
    </row>
    <row r="30" spans="1:4" x14ac:dyDescent="0.2">
      <c r="A30" s="10">
        <v>25</v>
      </c>
      <c r="B30" s="129">
        <v>-16299</v>
      </c>
      <c r="C30" s="11">
        <v>-14983</v>
      </c>
      <c r="D30" s="25">
        <f t="shared" si="0"/>
        <v>1316</v>
      </c>
    </row>
    <row r="31" spans="1:4" x14ac:dyDescent="0.2">
      <c r="A31" s="10">
        <v>26</v>
      </c>
      <c r="B31" s="11">
        <v>-16327</v>
      </c>
      <c r="C31" s="11">
        <v>-14983</v>
      </c>
      <c r="D31" s="25">
        <f t="shared" si="0"/>
        <v>1344</v>
      </c>
    </row>
    <row r="32" spans="1:4" x14ac:dyDescent="0.2">
      <c r="A32" s="10">
        <v>27</v>
      </c>
      <c r="B32" s="11">
        <v>-44139</v>
      </c>
      <c r="C32" s="11">
        <v>-43460</v>
      </c>
      <c r="D32" s="25">
        <f t="shared" si="0"/>
        <v>679</v>
      </c>
    </row>
    <row r="33" spans="1:4" x14ac:dyDescent="0.2">
      <c r="A33" s="10">
        <v>28</v>
      </c>
      <c r="B33" s="11">
        <v>-12714</v>
      </c>
      <c r="C33" s="11">
        <v>-12866</v>
      </c>
      <c r="D33" s="25">
        <f t="shared" si="0"/>
        <v>-152</v>
      </c>
    </row>
    <row r="34" spans="1:4" x14ac:dyDescent="0.2">
      <c r="A34" s="10">
        <v>29</v>
      </c>
      <c r="B34" s="11">
        <v>0</v>
      </c>
      <c r="C34" s="11">
        <v>-20000</v>
      </c>
      <c r="D34" s="25">
        <f t="shared" si="0"/>
        <v>-20000</v>
      </c>
    </row>
    <row r="35" spans="1:4" x14ac:dyDescent="0.2">
      <c r="A35" s="10">
        <v>30</v>
      </c>
      <c r="B35" s="11">
        <v>-43416</v>
      </c>
      <c r="C35" s="11">
        <v>-20000</v>
      </c>
      <c r="D35" s="25">
        <f t="shared" si="0"/>
        <v>23416</v>
      </c>
    </row>
    <row r="36" spans="1:4" x14ac:dyDescent="0.2">
      <c r="A36" s="10">
        <v>31</v>
      </c>
      <c r="B36" s="11">
        <v>-21780</v>
      </c>
      <c r="C36" s="11">
        <v>-20000</v>
      </c>
      <c r="D36" s="25">
        <f t="shared" si="0"/>
        <v>1780</v>
      </c>
    </row>
    <row r="37" spans="1:4" x14ac:dyDescent="0.2">
      <c r="A37" s="10"/>
      <c r="B37" s="11">
        <f>SUM(B6:B36)</f>
        <v>-336108</v>
      </c>
      <c r="C37" s="11">
        <f>SUM(C6:C36)</f>
        <v>-330755</v>
      </c>
      <c r="D37" s="25">
        <f>SUM(D6:D36)</f>
        <v>5353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37225</v>
      </c>
      <c r="C40" s="15"/>
      <c r="D40" s="507">
        <f>-23051+9445</f>
        <v>-13606</v>
      </c>
    </row>
    <row r="41" spans="1:4" x14ac:dyDescent="0.2">
      <c r="A41" s="57">
        <v>37256</v>
      </c>
      <c r="C41" s="48"/>
      <c r="D41" s="25">
        <f>+D40+D37</f>
        <v>-8253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+A40</f>
        <v>37225</v>
      </c>
      <c r="B45" s="32"/>
      <c r="C45" s="32"/>
      <c r="D45" s="502">
        <v>151190.72</v>
      </c>
    </row>
    <row r="46" spans="1:4" x14ac:dyDescent="0.2">
      <c r="A46" s="49">
        <f>+A41</f>
        <v>37256</v>
      </c>
      <c r="B46" s="32"/>
      <c r="C46" s="32"/>
      <c r="D46" s="382">
        <f>+D37*'by type_area'!J4</f>
        <v>12044.25</v>
      </c>
    </row>
    <row r="47" spans="1:4" x14ac:dyDescent="0.2">
      <c r="A47" s="32"/>
      <c r="B47" s="32"/>
      <c r="C47" s="32"/>
      <c r="D47" s="200">
        <f>+D46+D45</f>
        <v>163234.97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247</v>
      </c>
      <c r="C3" s="87"/>
      <c r="D3" s="87"/>
    </row>
    <row r="4" spans="1:4" x14ac:dyDescent="0.2">
      <c r="A4" s="3"/>
      <c r="B4" s="331" t="s">
        <v>246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9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3" workbookViewId="0">
      <selection activeCell="F31" sqref="F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248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-138</v>
      </c>
      <c r="C21" s="11">
        <v>-91</v>
      </c>
      <c r="D21" s="11"/>
      <c r="E21" s="11"/>
      <c r="F21" s="11">
        <v>-1275</v>
      </c>
      <c r="G21" s="11">
        <v>-1001</v>
      </c>
      <c r="H21" s="11"/>
      <c r="I21" s="11">
        <v>-2</v>
      </c>
      <c r="J21" s="11">
        <f t="shared" si="0"/>
        <v>319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-105</v>
      </c>
      <c r="C22" s="11">
        <v>-91</v>
      </c>
      <c r="D22" s="11"/>
      <c r="E22" s="11"/>
      <c r="F22" s="11">
        <v>-1083</v>
      </c>
      <c r="G22" s="11">
        <v>-1001</v>
      </c>
      <c r="H22" s="11"/>
      <c r="I22" s="11">
        <v>-2</v>
      </c>
      <c r="J22" s="11">
        <f t="shared" si="0"/>
        <v>94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-122</v>
      </c>
      <c r="C23" s="11">
        <v>-91</v>
      </c>
      <c r="D23" s="11"/>
      <c r="E23" s="11"/>
      <c r="F23" s="11">
        <v>-1008</v>
      </c>
      <c r="G23" s="11">
        <v>-1001</v>
      </c>
      <c r="H23" s="11"/>
      <c r="I23" s="11">
        <v>-2</v>
      </c>
      <c r="J23" s="11">
        <f t="shared" si="0"/>
        <v>36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-141</v>
      </c>
      <c r="C24" s="11">
        <v>-91</v>
      </c>
      <c r="D24" s="11"/>
      <c r="E24" s="11"/>
      <c r="F24" s="11">
        <v>-1118</v>
      </c>
      <c r="G24" s="11">
        <v>-1001</v>
      </c>
      <c r="H24" s="11"/>
      <c r="I24" s="11">
        <v>-2</v>
      </c>
      <c r="J24" s="11">
        <f t="shared" si="0"/>
        <v>165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-136</v>
      </c>
      <c r="C25" s="11">
        <v>-7</v>
      </c>
      <c r="D25" s="11"/>
      <c r="E25" s="11"/>
      <c r="F25" s="11">
        <v>-957</v>
      </c>
      <c r="G25" s="11">
        <v>-671</v>
      </c>
      <c r="H25" s="11"/>
      <c r="I25" s="11">
        <v>0</v>
      </c>
      <c r="J25" s="11">
        <f t="shared" si="0"/>
        <v>415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-107</v>
      </c>
      <c r="C26" s="11">
        <v>-91</v>
      </c>
      <c r="D26" s="11"/>
      <c r="E26" s="11"/>
      <c r="F26" s="11">
        <v>-862</v>
      </c>
      <c r="G26" s="11">
        <v>-1001</v>
      </c>
      <c r="H26" s="11"/>
      <c r="I26" s="11">
        <v>-2</v>
      </c>
      <c r="J26" s="11">
        <f t="shared" si="0"/>
        <v>-125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-135</v>
      </c>
      <c r="C27" s="11">
        <v>-91</v>
      </c>
      <c r="D27" s="11"/>
      <c r="E27" s="11"/>
      <c r="F27" s="11">
        <v>-1010</v>
      </c>
      <c r="G27" s="11">
        <v>-1001</v>
      </c>
      <c r="H27" s="11"/>
      <c r="I27" s="11">
        <v>-2</v>
      </c>
      <c r="J27" s="11">
        <f t="shared" si="0"/>
        <v>51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-166</v>
      </c>
      <c r="C28" s="11">
        <v>-91</v>
      </c>
      <c r="D28" s="11"/>
      <c r="E28" s="11"/>
      <c r="F28" s="11">
        <v>-1144</v>
      </c>
      <c r="G28" s="11">
        <v>-1001</v>
      </c>
      <c r="H28" s="11"/>
      <c r="I28" s="11">
        <v>-2</v>
      </c>
      <c r="J28" s="11">
        <f t="shared" si="0"/>
        <v>216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-161</v>
      </c>
      <c r="C29" s="11">
        <v>-91</v>
      </c>
      <c r="D29" s="11"/>
      <c r="E29" s="11"/>
      <c r="F29" s="11">
        <v>-1332</v>
      </c>
      <c r="G29" s="11">
        <v>-1001</v>
      </c>
      <c r="H29" s="11"/>
      <c r="I29" s="11">
        <v>-2</v>
      </c>
      <c r="J29" s="11">
        <f t="shared" si="0"/>
        <v>399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-178</v>
      </c>
      <c r="C30" s="11">
        <v>-91</v>
      </c>
      <c r="D30" s="11"/>
      <c r="E30" s="11"/>
      <c r="F30" s="11">
        <v>-1233</v>
      </c>
      <c r="G30" s="11">
        <v>-1001</v>
      </c>
      <c r="H30" s="11"/>
      <c r="I30" s="11">
        <v>-2</v>
      </c>
      <c r="J30" s="11">
        <f t="shared" si="0"/>
        <v>317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-141</v>
      </c>
      <c r="C31" s="11">
        <v>-91</v>
      </c>
      <c r="D31" s="11"/>
      <c r="E31" s="11"/>
      <c r="F31" s="11">
        <v>-1275</v>
      </c>
      <c r="G31" s="11">
        <v>-1001</v>
      </c>
      <c r="H31" s="11"/>
      <c r="I31" s="11"/>
      <c r="J31" s="11">
        <f t="shared" si="0"/>
        <v>324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>
        <v>-144</v>
      </c>
      <c r="C32" s="11">
        <v>-91</v>
      </c>
      <c r="D32" s="11"/>
      <c r="E32" s="11"/>
      <c r="F32" s="11">
        <v>-1406</v>
      </c>
      <c r="G32" s="11">
        <v>-1001</v>
      </c>
      <c r="H32" s="11"/>
      <c r="I32" s="11"/>
      <c r="J32" s="11">
        <f t="shared" si="0"/>
        <v>458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>
        <v>-160</v>
      </c>
      <c r="C33" s="11">
        <v>-91</v>
      </c>
      <c r="D33" s="11"/>
      <c r="E33" s="11"/>
      <c r="F33" s="11">
        <v>-1105</v>
      </c>
      <c r="G33" s="11">
        <v>-1001</v>
      </c>
      <c r="H33" s="11"/>
      <c r="I33" s="11"/>
      <c r="J33" s="11">
        <f t="shared" si="0"/>
        <v>173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>
        <v>-193</v>
      </c>
      <c r="C34" s="11">
        <v>-91</v>
      </c>
      <c r="D34" s="11"/>
      <c r="E34" s="11"/>
      <c r="F34" s="11">
        <v>-1279</v>
      </c>
      <c r="G34" s="11">
        <v>-1001</v>
      </c>
      <c r="H34" s="11"/>
      <c r="I34" s="11"/>
      <c r="J34" s="11">
        <f t="shared" si="0"/>
        <v>380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>
        <v>-190</v>
      </c>
      <c r="C35" s="11">
        <v>-91</v>
      </c>
      <c r="D35" s="11"/>
      <c r="E35" s="11"/>
      <c r="F35" s="11">
        <v>-1541</v>
      </c>
      <c r="G35" s="11">
        <v>-1001</v>
      </c>
      <c r="H35" s="11"/>
      <c r="I35" s="11"/>
      <c r="J35" s="11">
        <f t="shared" si="0"/>
        <v>639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>
        <v>-175</v>
      </c>
      <c r="C36" s="11">
        <v>-91</v>
      </c>
      <c r="D36" s="11"/>
      <c r="E36" s="11"/>
      <c r="F36" s="11">
        <v>-1547</v>
      </c>
      <c r="G36" s="11">
        <v>-1001</v>
      </c>
      <c r="H36" s="11"/>
      <c r="I36" s="11"/>
      <c r="J36" s="11">
        <f t="shared" si="0"/>
        <v>630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-3948</v>
      </c>
      <c r="C37" s="11">
        <f t="shared" ref="C37:I37" si="1">SUM(C6:C36)</f>
        <v>-3504</v>
      </c>
      <c r="D37" s="11">
        <f t="shared" si="1"/>
        <v>0</v>
      </c>
      <c r="E37" s="11">
        <f t="shared" si="1"/>
        <v>0</v>
      </c>
      <c r="F37" s="11">
        <f t="shared" si="1"/>
        <v>-32281</v>
      </c>
      <c r="G37" s="11">
        <f t="shared" si="1"/>
        <v>-30701</v>
      </c>
      <c r="H37" s="11">
        <f t="shared" si="1"/>
        <v>0</v>
      </c>
      <c r="I37" s="11">
        <f t="shared" si="1"/>
        <v>-48</v>
      </c>
      <c r="J37" s="11">
        <f>SUM(J6:J36)</f>
        <v>1976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4446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08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37256</v>
      </c>
      <c r="J43" s="322">
        <f>+J41+J39</f>
        <v>-35583.08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09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37256</v>
      </c>
      <c r="B49" s="32"/>
      <c r="C49" s="32"/>
      <c r="D49" s="355">
        <f>+J37</f>
        <v>1976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-3453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314</v>
      </c>
      <c r="C4" s="4"/>
      <c r="D4" s="38" t="s">
        <v>315</v>
      </c>
      <c r="E4" s="4"/>
      <c r="F4" s="38" t="s">
        <v>316</v>
      </c>
      <c r="G4" s="4"/>
      <c r="H4" s="38" t="s">
        <v>317</v>
      </c>
      <c r="I4" s="4"/>
      <c r="J4" s="38" t="s">
        <v>318</v>
      </c>
      <c r="K4" s="4"/>
      <c r="L4" s="38" t="s">
        <v>319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3">
        <v>-125</v>
      </c>
      <c r="C6" s="11">
        <v>-125</v>
      </c>
      <c r="D6" s="533">
        <v>-1</v>
      </c>
      <c r="E6" s="11">
        <v>-1</v>
      </c>
      <c r="F6" s="533">
        <v>-90</v>
      </c>
      <c r="G6" s="11">
        <v>-90</v>
      </c>
      <c r="H6" s="533">
        <v>-2</v>
      </c>
      <c r="I6" s="11">
        <v>-2</v>
      </c>
      <c r="J6" s="533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3">
        <v>-125</v>
      </c>
      <c r="C7" s="11">
        <v>-125</v>
      </c>
      <c r="D7" s="533">
        <v>-1</v>
      </c>
      <c r="E7" s="11">
        <v>-1</v>
      </c>
      <c r="F7" s="533">
        <v>-90</v>
      </c>
      <c r="G7" s="11">
        <v>-90</v>
      </c>
      <c r="H7" s="533">
        <v>-2</v>
      </c>
      <c r="I7" s="11">
        <v>-2</v>
      </c>
      <c r="J7" s="533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3">
        <v>-125</v>
      </c>
      <c r="C8" s="11">
        <v>-125</v>
      </c>
      <c r="D8" s="533">
        <v>-1</v>
      </c>
      <c r="E8" s="11">
        <v>-1</v>
      </c>
      <c r="F8" s="533">
        <v>-90</v>
      </c>
      <c r="G8" s="11">
        <v>-90</v>
      </c>
      <c r="H8" s="533">
        <v>-2</v>
      </c>
      <c r="I8" s="11">
        <v>-2</v>
      </c>
      <c r="J8" s="533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3">
        <v>-125</v>
      </c>
      <c r="C9" s="11">
        <v>-125</v>
      </c>
      <c r="D9" s="533">
        <v>-1</v>
      </c>
      <c r="E9" s="11">
        <v>-1</v>
      </c>
      <c r="F9" s="533">
        <v>-90</v>
      </c>
      <c r="G9" s="11">
        <v>-90</v>
      </c>
      <c r="H9" s="533">
        <v>-2</v>
      </c>
      <c r="I9" s="11">
        <v>-2</v>
      </c>
      <c r="J9" s="533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3">
        <v>-125</v>
      </c>
      <c r="C10" s="11">
        <v>-125</v>
      </c>
      <c r="D10" s="533">
        <v>-1</v>
      </c>
      <c r="E10" s="11">
        <v>-1</v>
      </c>
      <c r="F10" s="533">
        <v>-90</v>
      </c>
      <c r="G10" s="11">
        <v>-90</v>
      </c>
      <c r="H10" s="533">
        <v>-2</v>
      </c>
      <c r="I10" s="11">
        <v>-2</v>
      </c>
      <c r="J10" s="533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3">
        <v>-125</v>
      </c>
      <c r="C11" s="11">
        <v>-125</v>
      </c>
      <c r="D11" s="533">
        <v>-1</v>
      </c>
      <c r="E11" s="11">
        <v>-1</v>
      </c>
      <c r="F11" s="533">
        <v>-90</v>
      </c>
      <c r="G11" s="11">
        <v>-90</v>
      </c>
      <c r="H11" s="533">
        <v>-2</v>
      </c>
      <c r="I11" s="11">
        <v>-2</v>
      </c>
      <c r="J11" s="533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3">
        <v>-125</v>
      </c>
      <c r="C12" s="11">
        <v>-125</v>
      </c>
      <c r="D12" s="533">
        <v>-1</v>
      </c>
      <c r="E12" s="11">
        <v>-1</v>
      </c>
      <c r="F12" s="533">
        <v>-90</v>
      </c>
      <c r="G12" s="11">
        <v>-90</v>
      </c>
      <c r="H12" s="533">
        <v>-2</v>
      </c>
      <c r="I12" s="11">
        <v>-2</v>
      </c>
      <c r="J12" s="533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3">
        <v>-125</v>
      </c>
      <c r="C13" s="11">
        <v>-125</v>
      </c>
      <c r="D13" s="533">
        <v>-1</v>
      </c>
      <c r="E13" s="11">
        <v>-1</v>
      </c>
      <c r="F13" s="533">
        <v>-90</v>
      </c>
      <c r="G13" s="11">
        <v>-90</v>
      </c>
      <c r="H13" s="533">
        <v>-2</v>
      </c>
      <c r="I13" s="11">
        <v>-2</v>
      </c>
      <c r="J13" s="533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3">
        <v>-125</v>
      </c>
      <c r="C14" s="11">
        <v>-125</v>
      </c>
      <c r="D14" s="533">
        <v>-1</v>
      </c>
      <c r="E14" s="11">
        <v>-1</v>
      </c>
      <c r="F14" s="533">
        <v>-90</v>
      </c>
      <c r="G14" s="11">
        <v>-90</v>
      </c>
      <c r="H14" s="533">
        <v>-2</v>
      </c>
      <c r="I14" s="11">
        <v>-2</v>
      </c>
      <c r="J14" s="533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3">
        <v>-125</v>
      </c>
      <c r="C15" s="11">
        <v>-125</v>
      </c>
      <c r="D15" s="533">
        <v>-1</v>
      </c>
      <c r="E15" s="11">
        <v>-1</v>
      </c>
      <c r="F15" s="533">
        <v>-90</v>
      </c>
      <c r="G15" s="11">
        <v>-90</v>
      </c>
      <c r="H15" s="533">
        <v>-2</v>
      </c>
      <c r="I15" s="11">
        <v>-2</v>
      </c>
      <c r="J15" s="533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3">
        <v>-125</v>
      </c>
      <c r="C16" s="11">
        <v>-125</v>
      </c>
      <c r="D16" s="533">
        <v>-1</v>
      </c>
      <c r="E16" s="11">
        <v>-1</v>
      </c>
      <c r="F16" s="533">
        <v>-90</v>
      </c>
      <c r="G16" s="11">
        <v>-90</v>
      </c>
      <c r="H16" s="533">
        <v>-2</v>
      </c>
      <c r="I16" s="11">
        <v>-2</v>
      </c>
      <c r="J16" s="533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3">
        <v>-125</v>
      </c>
      <c r="C17" s="11">
        <v>-125</v>
      </c>
      <c r="D17" s="533">
        <v>-1</v>
      </c>
      <c r="E17" s="11">
        <v>-1</v>
      </c>
      <c r="F17" s="533">
        <v>-90</v>
      </c>
      <c r="G17" s="11">
        <v>-90</v>
      </c>
      <c r="H17" s="533">
        <v>-2</v>
      </c>
      <c r="I17" s="11">
        <v>-2</v>
      </c>
      <c r="J17" s="533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3">
        <v>-125</v>
      </c>
      <c r="C18" s="11">
        <v>-125</v>
      </c>
      <c r="D18" s="533">
        <v>-1</v>
      </c>
      <c r="E18" s="11">
        <v>-1</v>
      </c>
      <c r="F18" s="533">
        <v>-90</v>
      </c>
      <c r="G18" s="11">
        <v>-90</v>
      </c>
      <c r="H18" s="533">
        <v>-2</v>
      </c>
      <c r="I18" s="11">
        <v>-2</v>
      </c>
      <c r="J18" s="533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3">
        <v>-125</v>
      </c>
      <c r="C19" s="11">
        <v>-125</v>
      </c>
      <c r="D19" s="533">
        <v>-1</v>
      </c>
      <c r="E19" s="11">
        <v>-1</v>
      </c>
      <c r="F19" s="533">
        <v>-90</v>
      </c>
      <c r="G19" s="11">
        <v>-90</v>
      </c>
      <c r="H19" s="533">
        <v>-2</v>
      </c>
      <c r="I19" s="11">
        <v>-2</v>
      </c>
      <c r="J19" s="533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3">
        <v>-125</v>
      </c>
      <c r="C20" s="11">
        <v>-125</v>
      </c>
      <c r="D20" s="533">
        <v>-1</v>
      </c>
      <c r="E20" s="11">
        <v>-1</v>
      </c>
      <c r="F20" s="533">
        <v>-90</v>
      </c>
      <c r="G20" s="11">
        <v>-90</v>
      </c>
      <c r="H20" s="533">
        <v>-2</v>
      </c>
      <c r="I20" s="11">
        <v>-2</v>
      </c>
      <c r="J20" s="533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33">
        <v>-125</v>
      </c>
      <c r="C21" s="11">
        <v>-125</v>
      </c>
      <c r="D21" s="533">
        <v>-1</v>
      </c>
      <c r="E21" s="11">
        <v>-1</v>
      </c>
      <c r="F21" s="533">
        <v>-90</v>
      </c>
      <c r="G21" s="11">
        <v>-90</v>
      </c>
      <c r="H21" s="533">
        <v>-2</v>
      </c>
      <c r="I21" s="11">
        <v>-2</v>
      </c>
      <c r="J21" s="533">
        <v>-40</v>
      </c>
      <c r="K21" s="11">
        <v>-40</v>
      </c>
      <c r="L21" s="11">
        <v>-608</v>
      </c>
      <c r="M21" s="11">
        <v>-319</v>
      </c>
      <c r="N21" s="11">
        <f t="shared" si="0"/>
        <v>289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33">
        <v>-125</v>
      </c>
      <c r="C22" s="11">
        <v>-125</v>
      </c>
      <c r="D22" s="533">
        <v>-1</v>
      </c>
      <c r="E22" s="11">
        <v>-1</v>
      </c>
      <c r="F22" s="533">
        <v>-90</v>
      </c>
      <c r="G22" s="11">
        <v>-90</v>
      </c>
      <c r="H22" s="533">
        <v>-2</v>
      </c>
      <c r="I22" s="11">
        <v>-2</v>
      </c>
      <c r="J22" s="533">
        <v>-40</v>
      </c>
      <c r="K22" s="11">
        <v>-40</v>
      </c>
      <c r="L22" s="11">
        <v>-927</v>
      </c>
      <c r="M22" s="11">
        <v>-319</v>
      </c>
      <c r="N22" s="11">
        <f t="shared" si="0"/>
        <v>608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33">
        <v>-125</v>
      </c>
      <c r="C23" s="11">
        <v>-125</v>
      </c>
      <c r="D23" s="533">
        <v>-1</v>
      </c>
      <c r="E23" s="11">
        <v>-1</v>
      </c>
      <c r="F23" s="533">
        <v>-90</v>
      </c>
      <c r="G23" s="11">
        <v>-90</v>
      </c>
      <c r="H23" s="533">
        <v>-2</v>
      </c>
      <c r="I23" s="11">
        <v>-2</v>
      </c>
      <c r="J23" s="533">
        <v>-40</v>
      </c>
      <c r="K23" s="11">
        <v>-40</v>
      </c>
      <c r="L23" s="11">
        <v>-456</v>
      </c>
      <c r="M23" s="11">
        <v>-319</v>
      </c>
      <c r="N23" s="11">
        <f t="shared" si="0"/>
        <v>137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33">
        <v>-125</v>
      </c>
      <c r="C24" s="11">
        <v>-125</v>
      </c>
      <c r="D24" s="533">
        <v>-1</v>
      </c>
      <c r="E24" s="11">
        <v>-1</v>
      </c>
      <c r="F24" s="533">
        <v>-90</v>
      </c>
      <c r="G24" s="11">
        <v>-90</v>
      </c>
      <c r="H24" s="533">
        <v>-2</v>
      </c>
      <c r="I24" s="11">
        <v>-2</v>
      </c>
      <c r="J24" s="533">
        <v>-40</v>
      </c>
      <c r="K24" s="11">
        <v>-40</v>
      </c>
      <c r="L24" s="11">
        <v>-586</v>
      </c>
      <c r="M24" s="11">
        <v>-319</v>
      </c>
      <c r="N24" s="11">
        <f t="shared" si="0"/>
        <v>267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33">
        <v>-9</v>
      </c>
      <c r="C25" s="11">
        <v>-9</v>
      </c>
      <c r="D25" s="533">
        <v>-1</v>
      </c>
      <c r="E25" s="11">
        <v>-1</v>
      </c>
      <c r="F25" s="533">
        <v>-19</v>
      </c>
      <c r="G25" s="11">
        <v>-19</v>
      </c>
      <c r="H25" s="533">
        <v>0</v>
      </c>
      <c r="I25" s="11">
        <v>0</v>
      </c>
      <c r="J25" s="533">
        <v>-3</v>
      </c>
      <c r="K25" s="11">
        <v>-3</v>
      </c>
      <c r="L25" s="11">
        <v>-691</v>
      </c>
      <c r="M25" s="11">
        <v>-23</v>
      </c>
      <c r="N25" s="11">
        <f t="shared" si="0"/>
        <v>668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33">
        <v>-125</v>
      </c>
      <c r="C26" s="11">
        <v>-125</v>
      </c>
      <c r="D26" s="533">
        <v>-1</v>
      </c>
      <c r="E26" s="11">
        <v>-1</v>
      </c>
      <c r="F26" s="533">
        <v>-90</v>
      </c>
      <c r="G26" s="11">
        <v>-90</v>
      </c>
      <c r="H26" s="533">
        <v>-2</v>
      </c>
      <c r="I26" s="11">
        <v>-2</v>
      </c>
      <c r="J26" s="533">
        <v>-40</v>
      </c>
      <c r="K26" s="11">
        <v>-40</v>
      </c>
      <c r="L26" s="11">
        <v>-717</v>
      </c>
      <c r="M26" s="11">
        <v>-1109</v>
      </c>
      <c r="N26" s="11">
        <f t="shared" si="0"/>
        <v>-392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33">
        <v>-125</v>
      </c>
      <c r="C27" s="11">
        <v>-125</v>
      </c>
      <c r="D27" s="533">
        <v>-1</v>
      </c>
      <c r="E27" s="11">
        <v>-1</v>
      </c>
      <c r="F27" s="533">
        <v>-90</v>
      </c>
      <c r="G27" s="11">
        <v>-90</v>
      </c>
      <c r="H27" s="533">
        <v>-2</v>
      </c>
      <c r="I27" s="11">
        <v>-2</v>
      </c>
      <c r="J27" s="533">
        <v>-40</v>
      </c>
      <c r="K27" s="11">
        <v>-40</v>
      </c>
      <c r="L27" s="11">
        <v>-664</v>
      </c>
      <c r="M27" s="11">
        <v>-1109</v>
      </c>
      <c r="N27" s="11">
        <f t="shared" si="0"/>
        <v>-445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33">
        <v>-125</v>
      </c>
      <c r="C28" s="11">
        <v>-125</v>
      </c>
      <c r="D28" s="533">
        <v>-1</v>
      </c>
      <c r="E28" s="11">
        <v>-1</v>
      </c>
      <c r="F28" s="533">
        <v>-90</v>
      </c>
      <c r="G28" s="11">
        <v>-90</v>
      </c>
      <c r="H28" s="533">
        <v>-2</v>
      </c>
      <c r="I28" s="11">
        <v>-2</v>
      </c>
      <c r="J28" s="533">
        <v>-40</v>
      </c>
      <c r="K28" s="11">
        <v>-40</v>
      </c>
      <c r="L28" s="11">
        <v>-663</v>
      </c>
      <c r="M28" s="11">
        <v>-1109</v>
      </c>
      <c r="N28" s="11">
        <f t="shared" si="0"/>
        <v>-446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33">
        <v>-125</v>
      </c>
      <c r="C29" s="11">
        <v>-125</v>
      </c>
      <c r="D29" s="533">
        <v>-1</v>
      </c>
      <c r="E29" s="11">
        <v>-1</v>
      </c>
      <c r="F29" s="533">
        <v>-90</v>
      </c>
      <c r="G29" s="11">
        <v>-90</v>
      </c>
      <c r="H29" s="533">
        <v>-2</v>
      </c>
      <c r="I29" s="11">
        <v>-2</v>
      </c>
      <c r="J29" s="533">
        <v>-40</v>
      </c>
      <c r="K29" s="11">
        <v>-40</v>
      </c>
      <c r="L29" s="11">
        <v>-692</v>
      </c>
      <c r="M29" s="11">
        <v>-1109</v>
      </c>
      <c r="N29" s="11">
        <f t="shared" si="0"/>
        <v>-417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33">
        <v>-125</v>
      </c>
      <c r="C30" s="11">
        <v>-125</v>
      </c>
      <c r="D30" s="533">
        <v>-1</v>
      </c>
      <c r="E30" s="11">
        <v>-1</v>
      </c>
      <c r="F30" s="533">
        <v>-90</v>
      </c>
      <c r="G30" s="11">
        <v>-90</v>
      </c>
      <c r="H30" s="533">
        <v>-2</v>
      </c>
      <c r="I30" s="11">
        <v>-2</v>
      </c>
      <c r="J30" s="533">
        <v>-40</v>
      </c>
      <c r="K30" s="11">
        <v>-40</v>
      </c>
      <c r="L30" s="11">
        <v>-541</v>
      </c>
      <c r="M30" s="11">
        <v>-1109</v>
      </c>
      <c r="N30" s="11">
        <f t="shared" si="0"/>
        <v>-568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-887</v>
      </c>
      <c r="M31" s="11">
        <v>-1109</v>
      </c>
      <c r="N31" s="11">
        <f t="shared" si="0"/>
        <v>-222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-729</v>
      </c>
      <c r="M32" s="11">
        <v>-1109</v>
      </c>
      <c r="N32" s="11">
        <f t="shared" si="0"/>
        <v>-380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-687</v>
      </c>
      <c r="M33" s="11">
        <v>-1109</v>
      </c>
      <c r="N33" s="11">
        <f t="shared" si="0"/>
        <v>-422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-1639</v>
      </c>
      <c r="M34" s="11">
        <v>-1109</v>
      </c>
      <c r="N34" s="11">
        <f t="shared" si="0"/>
        <v>530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>
        <v>-232</v>
      </c>
      <c r="M35" s="11">
        <v>-1109</v>
      </c>
      <c r="N35" s="11">
        <f t="shared" si="0"/>
        <v>-877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>
        <v>-750</v>
      </c>
      <c r="M36" s="11">
        <v>-1109</v>
      </c>
      <c r="N36" s="11">
        <f t="shared" si="0"/>
        <v>-359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-3009</v>
      </c>
      <c r="C37" s="11">
        <f t="shared" ref="C37:N37" si="1">SUM(C6:C36)</f>
        <v>-3009</v>
      </c>
      <c r="D37" s="11">
        <f t="shared" si="1"/>
        <v>-25</v>
      </c>
      <c r="E37" s="11">
        <f t="shared" si="1"/>
        <v>-25</v>
      </c>
      <c r="F37" s="11">
        <f t="shared" si="1"/>
        <v>-2179</v>
      </c>
      <c r="G37" s="11">
        <f t="shared" si="1"/>
        <v>-2179</v>
      </c>
      <c r="H37" s="11">
        <f t="shared" si="1"/>
        <v>-48</v>
      </c>
      <c r="I37" s="11">
        <f t="shared" si="1"/>
        <v>-48</v>
      </c>
      <c r="J37" s="11">
        <f>SUM(J6:J36)</f>
        <v>-963</v>
      </c>
      <c r="K37" s="11">
        <f>SUM(K6:K36)</f>
        <v>-963</v>
      </c>
      <c r="L37" s="11">
        <f>SUM(L6:L36)</f>
        <v>-19350</v>
      </c>
      <c r="M37" s="11">
        <f>SUM(M6:M36)</f>
        <v>-17516</v>
      </c>
      <c r="N37" s="11">
        <f t="shared" si="1"/>
        <v>1834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4126.5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08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37256</v>
      </c>
      <c r="N43" s="322">
        <f>+N41+N39</f>
        <v>32493.99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09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37256</v>
      </c>
      <c r="B49" s="32"/>
      <c r="C49" s="32"/>
      <c r="D49" s="355">
        <f>+N37</f>
        <v>1834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12039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212</v>
      </c>
      <c r="C3" s="87"/>
      <c r="D3" s="87"/>
    </row>
    <row r="4" spans="1:4" x14ac:dyDescent="0.2">
      <c r="A4" s="3"/>
      <c r="B4" s="331" t="s">
        <v>213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110</v>
      </c>
      <c r="C14" s="11">
        <v>240</v>
      </c>
      <c r="D14" s="25">
        <f t="shared" si="0"/>
        <v>130</v>
      </c>
    </row>
    <row r="15" spans="1:4" x14ac:dyDescent="0.2">
      <c r="A15" s="10">
        <v>10</v>
      </c>
      <c r="B15" s="11">
        <v>144</v>
      </c>
      <c r="C15" s="11">
        <v>240</v>
      </c>
      <c r="D15" s="25">
        <f t="shared" si="0"/>
        <v>96</v>
      </c>
    </row>
    <row r="16" spans="1:4" x14ac:dyDescent="0.2">
      <c r="A16" s="10">
        <v>11</v>
      </c>
      <c r="B16" s="11">
        <v>166</v>
      </c>
      <c r="C16" s="11">
        <v>240</v>
      </c>
      <c r="D16" s="25">
        <f t="shared" si="0"/>
        <v>74</v>
      </c>
    </row>
    <row r="17" spans="1:4" x14ac:dyDescent="0.2">
      <c r="A17" s="10">
        <v>12</v>
      </c>
      <c r="B17" s="11">
        <v>139</v>
      </c>
      <c r="C17" s="11">
        <v>240</v>
      </c>
      <c r="D17" s="25">
        <f t="shared" si="0"/>
        <v>101</v>
      </c>
    </row>
    <row r="18" spans="1:4" x14ac:dyDescent="0.2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">
      <c r="A19" s="10">
        <v>14</v>
      </c>
      <c r="B19" s="11">
        <v>178</v>
      </c>
      <c r="C19" s="11">
        <v>240</v>
      </c>
      <c r="D19" s="25">
        <f t="shared" si="0"/>
        <v>62</v>
      </c>
    </row>
    <row r="20" spans="1:4" x14ac:dyDescent="0.2">
      <c r="A20" s="10">
        <v>15</v>
      </c>
      <c r="B20" s="11">
        <v>141</v>
      </c>
      <c r="C20" s="11">
        <v>240</v>
      </c>
      <c r="D20" s="25">
        <f t="shared" si="0"/>
        <v>99</v>
      </c>
    </row>
    <row r="21" spans="1:4" x14ac:dyDescent="0.2">
      <c r="A21" s="10">
        <v>16</v>
      </c>
      <c r="B21" s="11">
        <v>46</v>
      </c>
      <c r="C21" s="11">
        <v>240</v>
      </c>
      <c r="D21" s="25">
        <f t="shared" si="0"/>
        <v>194</v>
      </c>
    </row>
    <row r="22" spans="1:4" x14ac:dyDescent="0.2">
      <c r="A22" s="10">
        <v>17</v>
      </c>
      <c r="B22" s="11">
        <v>191</v>
      </c>
      <c r="C22" s="11">
        <v>240</v>
      </c>
      <c r="D22" s="25">
        <f t="shared" si="0"/>
        <v>49</v>
      </c>
    </row>
    <row r="23" spans="1:4" x14ac:dyDescent="0.2">
      <c r="A23" s="10">
        <v>18</v>
      </c>
      <c r="B23" s="11">
        <v>248</v>
      </c>
      <c r="C23" s="11">
        <v>240</v>
      </c>
      <c r="D23" s="25">
        <f t="shared" si="0"/>
        <v>-8</v>
      </c>
    </row>
    <row r="24" spans="1:4" x14ac:dyDescent="0.2">
      <c r="A24" s="10">
        <v>19</v>
      </c>
      <c r="B24" s="11">
        <v>256</v>
      </c>
      <c r="C24" s="11">
        <v>240</v>
      </c>
      <c r="D24" s="25">
        <f t="shared" si="0"/>
        <v>-16</v>
      </c>
    </row>
    <row r="25" spans="1:4" x14ac:dyDescent="0.2">
      <c r="A25" s="10">
        <v>20</v>
      </c>
      <c r="B25" s="11">
        <v>243</v>
      </c>
      <c r="C25" s="11">
        <v>240</v>
      </c>
      <c r="D25" s="25">
        <f t="shared" si="0"/>
        <v>-3</v>
      </c>
    </row>
    <row r="26" spans="1:4" x14ac:dyDescent="0.2">
      <c r="A26" s="10">
        <v>21</v>
      </c>
      <c r="B26" s="11">
        <v>198</v>
      </c>
      <c r="C26" s="11">
        <v>240</v>
      </c>
      <c r="D26" s="25">
        <f t="shared" si="0"/>
        <v>42</v>
      </c>
    </row>
    <row r="27" spans="1:4" x14ac:dyDescent="0.2">
      <c r="A27" s="10">
        <v>22</v>
      </c>
      <c r="B27" s="11">
        <v>228</v>
      </c>
      <c r="C27" s="11">
        <v>239</v>
      </c>
      <c r="D27" s="25">
        <f t="shared" si="0"/>
        <v>11</v>
      </c>
    </row>
    <row r="28" spans="1:4" x14ac:dyDescent="0.2">
      <c r="A28" s="10">
        <v>23</v>
      </c>
      <c r="B28" s="11">
        <v>192</v>
      </c>
      <c r="C28" s="11">
        <v>239</v>
      </c>
      <c r="D28" s="25">
        <f t="shared" si="0"/>
        <v>47</v>
      </c>
    </row>
    <row r="29" spans="1:4" x14ac:dyDescent="0.2">
      <c r="A29" s="10">
        <v>24</v>
      </c>
      <c r="B29" s="11">
        <v>171</v>
      </c>
      <c r="C29" s="11">
        <v>239</v>
      </c>
      <c r="D29" s="25">
        <f t="shared" si="0"/>
        <v>68</v>
      </c>
    </row>
    <row r="30" spans="1:4" x14ac:dyDescent="0.2">
      <c r="A30" s="10">
        <v>25</v>
      </c>
      <c r="B30" s="11">
        <v>15</v>
      </c>
      <c r="C30" s="11">
        <v>239</v>
      </c>
      <c r="D30" s="25">
        <f t="shared" si="0"/>
        <v>224</v>
      </c>
    </row>
    <row r="31" spans="1:4" x14ac:dyDescent="0.2">
      <c r="A31" s="10">
        <v>26</v>
      </c>
      <c r="B31" s="11">
        <v>247</v>
      </c>
      <c r="C31" s="11">
        <v>239</v>
      </c>
      <c r="D31" s="25">
        <f t="shared" si="0"/>
        <v>-8</v>
      </c>
    </row>
    <row r="32" spans="1:4" x14ac:dyDescent="0.2">
      <c r="A32" s="10">
        <v>27</v>
      </c>
      <c r="B32" s="11">
        <v>194</v>
      </c>
      <c r="C32" s="11">
        <v>240</v>
      </c>
      <c r="D32" s="25">
        <f t="shared" si="0"/>
        <v>46</v>
      </c>
    </row>
    <row r="33" spans="1:4" x14ac:dyDescent="0.2">
      <c r="A33" s="10">
        <v>28</v>
      </c>
      <c r="B33" s="11">
        <v>238</v>
      </c>
      <c r="C33" s="11">
        <v>240</v>
      </c>
      <c r="D33" s="25">
        <f t="shared" si="0"/>
        <v>2</v>
      </c>
    </row>
    <row r="34" spans="1:4" x14ac:dyDescent="0.2">
      <c r="A34" s="10">
        <v>29</v>
      </c>
      <c r="B34" s="11">
        <v>164</v>
      </c>
      <c r="C34" s="11">
        <v>240</v>
      </c>
      <c r="D34" s="25">
        <f t="shared" si="0"/>
        <v>76</v>
      </c>
    </row>
    <row r="35" spans="1:4" x14ac:dyDescent="0.2">
      <c r="A35" s="10">
        <v>30</v>
      </c>
      <c r="B35" s="11">
        <v>291</v>
      </c>
      <c r="C35" s="11">
        <v>240</v>
      </c>
      <c r="D35" s="25">
        <f t="shared" si="0"/>
        <v>-51</v>
      </c>
    </row>
    <row r="36" spans="1:4" x14ac:dyDescent="0.2">
      <c r="A36" s="10">
        <v>31</v>
      </c>
      <c r="B36" s="11">
        <v>167</v>
      </c>
      <c r="C36" s="11">
        <v>240</v>
      </c>
      <c r="D36" s="25">
        <f t="shared" si="0"/>
        <v>73</v>
      </c>
    </row>
    <row r="37" spans="1:4" x14ac:dyDescent="0.2">
      <c r="A37" s="10"/>
      <c r="B37" s="11">
        <f>SUM(B6:B36)</f>
        <v>4680</v>
      </c>
      <c r="C37" s="11">
        <f>SUM(C6:C36)</f>
        <v>7435</v>
      </c>
      <c r="D37" s="25">
        <f>SUM(D6:D36)</f>
        <v>2755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6226.2999999999993</v>
      </c>
    </row>
    <row r="40" spans="1:4" x14ac:dyDescent="0.2">
      <c r="A40" s="57">
        <v>37225</v>
      </c>
      <c r="C40" s="15"/>
      <c r="D40" s="519">
        <v>173805.23</v>
      </c>
    </row>
    <row r="41" spans="1:4" x14ac:dyDescent="0.2">
      <c r="A41" s="57">
        <v>37256</v>
      </c>
      <c r="C41" s="48"/>
      <c r="D41" s="138">
        <f>+D40+D39</f>
        <v>180031.53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76238</v>
      </c>
    </row>
    <row r="47" spans="1:4" x14ac:dyDescent="0.2">
      <c r="A47" s="49">
        <f>+A41</f>
        <v>37256</v>
      </c>
      <c r="B47" s="32"/>
      <c r="C47" s="32"/>
      <c r="D47" s="355">
        <f>+D37</f>
        <v>2755</v>
      </c>
    </row>
    <row r="48" spans="1:4" x14ac:dyDescent="0.2">
      <c r="A48" s="32"/>
      <c r="B48" s="32"/>
      <c r="C48" s="32"/>
      <c r="D48" s="14">
        <f>+D47+D46</f>
        <v>78993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A56" sqref="A5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215</v>
      </c>
      <c r="C3" s="87"/>
      <c r="D3" s="87"/>
    </row>
    <row r="4" spans="1:4" x14ac:dyDescent="0.2">
      <c r="A4" s="3"/>
      <c r="B4" s="331" t="s">
        <v>216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">
      <c r="A21" s="10">
        <v>16</v>
      </c>
      <c r="B21" s="11">
        <v>586</v>
      </c>
      <c r="C21" s="11">
        <v>589</v>
      </c>
      <c r="D21" s="25">
        <f t="shared" si="0"/>
        <v>3</v>
      </c>
    </row>
    <row r="22" spans="1:4" x14ac:dyDescent="0.2">
      <c r="A22" s="10">
        <v>17</v>
      </c>
      <c r="B22" s="11">
        <v>47</v>
      </c>
      <c r="C22" s="11">
        <v>589</v>
      </c>
      <c r="D22" s="25">
        <f t="shared" si="0"/>
        <v>542</v>
      </c>
    </row>
    <row r="23" spans="1:4" x14ac:dyDescent="0.2">
      <c r="A23" s="10">
        <v>18</v>
      </c>
      <c r="B23" s="11"/>
      <c r="C23" s="11">
        <v>589</v>
      </c>
      <c r="D23" s="25">
        <f t="shared" si="0"/>
        <v>589</v>
      </c>
    </row>
    <row r="24" spans="1:4" x14ac:dyDescent="0.2">
      <c r="A24" s="10">
        <v>19</v>
      </c>
      <c r="B24" s="11">
        <v>1</v>
      </c>
      <c r="C24" s="11">
        <v>589</v>
      </c>
      <c r="D24" s="25">
        <f t="shared" si="0"/>
        <v>588</v>
      </c>
    </row>
    <row r="25" spans="1:4" x14ac:dyDescent="0.2">
      <c r="A25" s="10">
        <v>20</v>
      </c>
      <c r="B25" s="11">
        <v>8</v>
      </c>
      <c r="C25" s="11">
        <v>589</v>
      </c>
      <c r="D25" s="25">
        <f t="shared" si="0"/>
        <v>581</v>
      </c>
    </row>
    <row r="26" spans="1:4" x14ac:dyDescent="0.2">
      <c r="A26" s="10">
        <v>21</v>
      </c>
      <c r="B26" s="11">
        <v>505</v>
      </c>
      <c r="C26" s="11">
        <v>589</v>
      </c>
      <c r="D26" s="25">
        <f t="shared" si="0"/>
        <v>84</v>
      </c>
    </row>
    <row r="27" spans="1:4" x14ac:dyDescent="0.2">
      <c r="A27" s="10">
        <v>22</v>
      </c>
      <c r="B27" s="11">
        <v>555</v>
      </c>
      <c r="C27" s="11">
        <v>589</v>
      </c>
      <c r="D27" s="25">
        <f t="shared" si="0"/>
        <v>34</v>
      </c>
    </row>
    <row r="28" spans="1:4" x14ac:dyDescent="0.2">
      <c r="A28" s="10">
        <v>23</v>
      </c>
      <c r="B28" s="11">
        <v>503</v>
      </c>
      <c r="C28" s="11">
        <v>589</v>
      </c>
      <c r="D28" s="25">
        <f t="shared" si="0"/>
        <v>86</v>
      </c>
    </row>
    <row r="29" spans="1:4" x14ac:dyDescent="0.2">
      <c r="A29" s="10">
        <v>24</v>
      </c>
      <c r="B29" s="11">
        <v>378</v>
      </c>
      <c r="C29" s="11">
        <v>589</v>
      </c>
      <c r="D29" s="25">
        <f t="shared" si="0"/>
        <v>211</v>
      </c>
    </row>
    <row r="30" spans="1:4" x14ac:dyDescent="0.2">
      <c r="A30" s="10">
        <v>25</v>
      </c>
      <c r="B30" s="11">
        <v>88</v>
      </c>
      <c r="C30" s="11">
        <v>589</v>
      </c>
      <c r="D30" s="25">
        <f t="shared" si="0"/>
        <v>501</v>
      </c>
    </row>
    <row r="31" spans="1:4" x14ac:dyDescent="0.2">
      <c r="A31" s="10">
        <v>26</v>
      </c>
      <c r="B31" s="11">
        <v>163</v>
      </c>
      <c r="C31" s="11">
        <v>589</v>
      </c>
      <c r="D31" s="25">
        <f t="shared" si="0"/>
        <v>426</v>
      </c>
    </row>
    <row r="32" spans="1:4" x14ac:dyDescent="0.2">
      <c r="A32" s="10">
        <v>27</v>
      </c>
      <c r="B32" s="11">
        <v>218</v>
      </c>
      <c r="C32" s="11">
        <v>589</v>
      </c>
      <c r="D32" s="25">
        <f t="shared" si="0"/>
        <v>371</v>
      </c>
    </row>
    <row r="33" spans="1:4" x14ac:dyDescent="0.2">
      <c r="A33" s="10">
        <v>28</v>
      </c>
      <c r="B33" s="11">
        <v>67</v>
      </c>
      <c r="C33" s="11">
        <v>589</v>
      </c>
      <c r="D33" s="25">
        <f t="shared" si="0"/>
        <v>522</v>
      </c>
    </row>
    <row r="34" spans="1:4" x14ac:dyDescent="0.2">
      <c r="A34" s="10">
        <v>29</v>
      </c>
      <c r="B34" s="11">
        <v>36</v>
      </c>
      <c r="C34" s="11">
        <v>589</v>
      </c>
      <c r="D34" s="25">
        <f t="shared" si="0"/>
        <v>553</v>
      </c>
    </row>
    <row r="35" spans="1:4" x14ac:dyDescent="0.2">
      <c r="A35" s="10">
        <v>30</v>
      </c>
      <c r="B35" s="11">
        <v>95</v>
      </c>
      <c r="C35" s="11">
        <v>589</v>
      </c>
      <c r="D35" s="25">
        <f t="shared" si="0"/>
        <v>494</v>
      </c>
    </row>
    <row r="36" spans="1:4" x14ac:dyDescent="0.2">
      <c r="A36" s="10">
        <v>31</v>
      </c>
      <c r="B36" s="11">
        <v>98</v>
      </c>
      <c r="C36" s="11">
        <v>589</v>
      </c>
      <c r="D36" s="25">
        <f t="shared" si="0"/>
        <v>491</v>
      </c>
    </row>
    <row r="37" spans="1:4" x14ac:dyDescent="0.2">
      <c r="A37" s="10"/>
      <c r="B37" s="11">
        <f>SUM(B6:B36)</f>
        <v>12784</v>
      </c>
      <c r="C37" s="11">
        <f>SUM(C6:C36)</f>
        <v>18259</v>
      </c>
      <c r="D37" s="25">
        <f>SUM(D6:D36)</f>
        <v>5475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12373.499999999998</v>
      </c>
    </row>
    <row r="40" spans="1:4" x14ac:dyDescent="0.2">
      <c r="A40" s="57">
        <v>37225</v>
      </c>
      <c r="C40" s="15"/>
      <c r="D40" s="519">
        <v>148916.73000000001</v>
      </c>
    </row>
    <row r="41" spans="1:4" x14ac:dyDescent="0.2">
      <c r="A41" s="57">
        <v>37256</v>
      </c>
      <c r="C41" s="48"/>
      <c r="D41" s="138">
        <f>+D40+D39</f>
        <v>161290.23000000001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28495</v>
      </c>
    </row>
    <row r="47" spans="1:4" x14ac:dyDescent="0.2">
      <c r="A47" s="49">
        <f>+A41</f>
        <v>37256</v>
      </c>
      <c r="B47" s="32"/>
      <c r="C47" s="32"/>
      <c r="D47" s="355">
        <f>+D37</f>
        <v>5475</v>
      </c>
    </row>
    <row r="48" spans="1:4" x14ac:dyDescent="0.2">
      <c r="A48" s="32"/>
      <c r="B48" s="32"/>
      <c r="C48" s="32"/>
      <c r="D48" s="14">
        <f>+D47+D46</f>
        <v>33970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1" workbookViewId="0">
      <selection activeCell="A43" sqref="A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>
        <v>-1950</v>
      </c>
      <c r="F22" s="11">
        <f t="shared" si="0"/>
        <v>-1950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-17634</v>
      </c>
      <c r="E23" s="11">
        <v>-13094</v>
      </c>
      <c r="F23" s="11">
        <f t="shared" si="0"/>
        <v>4540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>
        <v>-5338</v>
      </c>
      <c r="C24" s="11">
        <v>-5000</v>
      </c>
      <c r="D24" s="11">
        <v>-39746</v>
      </c>
      <c r="E24" s="11">
        <v>-39330</v>
      </c>
      <c r="F24" s="11">
        <f t="shared" si="0"/>
        <v>754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>
        <v>-23377</v>
      </c>
      <c r="C25" s="11">
        <v>-22921</v>
      </c>
      <c r="D25" s="11">
        <v>-27551</v>
      </c>
      <c r="E25" s="11">
        <v>-27756</v>
      </c>
      <c r="F25" s="11">
        <f t="shared" si="0"/>
        <v>251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>
        <v>-39811</v>
      </c>
      <c r="C26" s="11">
        <v>-39821</v>
      </c>
      <c r="D26" s="11">
        <v>-69407</v>
      </c>
      <c r="E26" s="11">
        <v>-69534</v>
      </c>
      <c r="F26" s="11">
        <f t="shared" si="0"/>
        <v>-137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>
        <v>-39595</v>
      </c>
      <c r="C27" s="11">
        <v>-39821</v>
      </c>
      <c r="D27" s="11">
        <v>-68901</v>
      </c>
      <c r="E27" s="11">
        <v>-69534</v>
      </c>
      <c r="F27" s="11">
        <f t="shared" si="0"/>
        <v>-859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>
        <v>-39827</v>
      </c>
      <c r="C28" s="11">
        <v>-39821</v>
      </c>
      <c r="D28" s="11">
        <v>-69543</v>
      </c>
      <c r="E28" s="11">
        <v>-69534</v>
      </c>
      <c r="F28" s="11">
        <f t="shared" si="0"/>
        <v>15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>
        <v>-39821</v>
      </c>
      <c r="C29" s="11">
        <v>-39821</v>
      </c>
      <c r="D29" s="11">
        <v>-70682</v>
      </c>
      <c r="E29" s="11">
        <v>-69534</v>
      </c>
      <c r="F29" s="11">
        <f t="shared" si="0"/>
        <v>1148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>
        <v>-32494</v>
      </c>
      <c r="C30" s="11">
        <v>-31212</v>
      </c>
      <c r="D30" s="11">
        <v>-70041</v>
      </c>
      <c r="E30" s="11">
        <v>-68414</v>
      </c>
      <c r="F30" s="11">
        <f t="shared" si="0"/>
        <v>2909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>
        <v>-9929</v>
      </c>
      <c r="C31" s="11">
        <v>-10000</v>
      </c>
      <c r="D31" s="11">
        <v>-63155</v>
      </c>
      <c r="E31" s="11">
        <v>-62432</v>
      </c>
      <c r="F31" s="11">
        <f t="shared" si="0"/>
        <v>652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>
        <v>-39883</v>
      </c>
      <c r="E32" s="11">
        <v>-39534</v>
      </c>
      <c r="F32" s="11">
        <f t="shared" si="0"/>
        <v>349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>
        <v>-38850</v>
      </c>
      <c r="C33" s="11">
        <v>-39276</v>
      </c>
      <c r="D33" s="11">
        <v>-29201</v>
      </c>
      <c r="E33" s="11">
        <v>-29278</v>
      </c>
      <c r="F33" s="11">
        <f t="shared" si="0"/>
        <v>-503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>
        <v>-39369</v>
      </c>
      <c r="C34" s="11">
        <v>-39276</v>
      </c>
      <c r="D34" s="11">
        <v>-29361</v>
      </c>
      <c r="E34" s="11">
        <v>-29278</v>
      </c>
      <c r="F34" s="11">
        <f t="shared" si="0"/>
        <v>176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>
        <v>-37642</v>
      </c>
      <c r="C35" s="42">
        <v>-39276</v>
      </c>
      <c r="D35" s="43">
        <v>-61830</v>
      </c>
      <c r="E35" s="42">
        <v>-62150</v>
      </c>
      <c r="F35" s="11">
        <f t="shared" si="0"/>
        <v>-1954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-377607</v>
      </c>
      <c r="C36" s="44">
        <f>SUM(C5:C35)</f>
        <v>-376245</v>
      </c>
      <c r="D36" s="43">
        <f>SUM(D5:D35)</f>
        <v>-722680</v>
      </c>
      <c r="E36" s="43">
        <f>SUM(E5:E35)</f>
        <v>-724604</v>
      </c>
      <c r="F36" s="11">
        <f>SUM(F5:F35)</f>
        <v>-562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5">
        <f>+summary!H5</f>
        <v>2.2599999999999998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-1270.1199999999999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37225</v>
      </c>
      <c r="B42" s="32"/>
      <c r="C42" s="470"/>
      <c r="D42" s="111"/>
      <c r="E42" s="470"/>
      <c r="F42" s="534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37256</v>
      </c>
      <c r="B43" s="32"/>
      <c r="C43" s="106"/>
      <c r="D43" s="106"/>
      <c r="E43" s="106"/>
      <c r="F43" s="535">
        <f>+F40+F42</f>
        <v>19943.240000000002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37225</v>
      </c>
      <c r="B48" s="32"/>
      <c r="C48" s="32"/>
      <c r="D48" s="514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37256</v>
      </c>
      <c r="B49" s="32"/>
      <c r="C49" s="32"/>
      <c r="D49" s="355">
        <f>+F36</f>
        <v>-562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14">
        <f>+D49+D48</f>
        <v>9686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6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-2197</v>
      </c>
      <c r="C20" s="24">
        <v>-1613</v>
      </c>
      <c r="D20" s="24">
        <v>-2274</v>
      </c>
      <c r="E20" s="24">
        <v>-2000</v>
      </c>
      <c r="F20" s="24">
        <f t="shared" si="0"/>
        <v>858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-2239</v>
      </c>
      <c r="C21" s="24">
        <v>-1613</v>
      </c>
      <c r="D21" s="24">
        <v>-701</v>
      </c>
      <c r="E21" s="24">
        <v>-2000</v>
      </c>
      <c r="F21" s="24">
        <f t="shared" si="0"/>
        <v>-673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-1978</v>
      </c>
      <c r="C22" s="24">
        <v>-1613</v>
      </c>
      <c r="D22" s="24">
        <v>-2517</v>
      </c>
      <c r="E22" s="24">
        <v>-2000</v>
      </c>
      <c r="F22" s="24">
        <f t="shared" si="0"/>
        <v>882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-1841</v>
      </c>
      <c r="C23" s="24">
        <v>-1613</v>
      </c>
      <c r="D23" s="24">
        <v>-2613</v>
      </c>
      <c r="E23" s="24">
        <v>-2000</v>
      </c>
      <c r="F23" s="24">
        <f t="shared" si="0"/>
        <v>841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-1545</v>
      </c>
      <c r="C24" s="24">
        <v>-1613</v>
      </c>
      <c r="D24" s="24">
        <v>-2628</v>
      </c>
      <c r="E24" s="24">
        <v>-2000</v>
      </c>
      <c r="F24" s="24">
        <f t="shared" si="0"/>
        <v>560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-2325</v>
      </c>
      <c r="C25" s="24">
        <v>-1613</v>
      </c>
      <c r="D25" s="24">
        <v>-2493</v>
      </c>
      <c r="E25" s="24">
        <v>-2000</v>
      </c>
      <c r="F25" s="24">
        <f t="shared" si="0"/>
        <v>1205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-2098</v>
      </c>
      <c r="C26" s="24">
        <v>-1613</v>
      </c>
      <c r="D26" s="24">
        <v>-2294</v>
      </c>
      <c r="E26" s="24">
        <v>-2000</v>
      </c>
      <c r="F26" s="24">
        <f t="shared" si="0"/>
        <v>779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-2163</v>
      </c>
      <c r="C27" s="24">
        <v>-3613</v>
      </c>
      <c r="D27" s="24">
        <v>-188</v>
      </c>
      <c r="E27" s="24">
        <v>-2000</v>
      </c>
      <c r="F27" s="24">
        <f t="shared" si="0"/>
        <v>-3262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-2184</v>
      </c>
      <c r="C28" s="24">
        <v>-3613</v>
      </c>
      <c r="D28" s="24">
        <v>-164</v>
      </c>
      <c r="E28" s="24">
        <v>-2000</v>
      </c>
      <c r="F28" s="24">
        <f t="shared" si="0"/>
        <v>-3265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-2053</v>
      </c>
      <c r="C29" s="24">
        <v>-3613</v>
      </c>
      <c r="D29" s="24">
        <v>-171</v>
      </c>
      <c r="E29" s="24">
        <v>-2000</v>
      </c>
      <c r="F29" s="24">
        <f t="shared" si="0"/>
        <v>-3389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-848</v>
      </c>
      <c r="C30" s="24">
        <v>-3613</v>
      </c>
      <c r="D30" s="24">
        <v>-605</v>
      </c>
      <c r="E30" s="24">
        <v>-2000</v>
      </c>
      <c r="F30" s="24">
        <f t="shared" si="0"/>
        <v>-4160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-1978</v>
      </c>
      <c r="C31" s="24">
        <v>-3613</v>
      </c>
      <c r="D31" s="24">
        <v>-2535</v>
      </c>
      <c r="E31" s="24">
        <v>-2000</v>
      </c>
      <c r="F31" s="24">
        <f t="shared" si="0"/>
        <v>-1100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-2306</v>
      </c>
      <c r="C32" s="24">
        <v>-1613</v>
      </c>
      <c r="D32" s="24">
        <v>-2624</v>
      </c>
      <c r="E32" s="24">
        <v>-2000</v>
      </c>
      <c r="F32" s="24">
        <f t="shared" si="0"/>
        <v>1317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-2165</v>
      </c>
      <c r="C33" s="24">
        <v>-1613</v>
      </c>
      <c r="D33" s="24">
        <v>-2362</v>
      </c>
      <c r="E33" s="24">
        <v>-2000</v>
      </c>
      <c r="F33" s="24">
        <f t="shared" si="0"/>
        <v>914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-2277</v>
      </c>
      <c r="C34" s="24">
        <v>-1613</v>
      </c>
      <c r="D34" s="24">
        <v>-588</v>
      </c>
      <c r="E34" s="24">
        <v>-2000</v>
      </c>
      <c r="F34" s="24">
        <f t="shared" si="0"/>
        <v>-748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-2120</v>
      </c>
      <c r="C35" s="24">
        <v>-1613</v>
      </c>
      <c r="D35" s="24">
        <v>-576</v>
      </c>
      <c r="E35" s="24">
        <v>-2000</v>
      </c>
      <c r="F35" s="24">
        <f t="shared" si="0"/>
        <v>-917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>
        <v>-2283</v>
      </c>
      <c r="C36" s="24">
        <v>-1613</v>
      </c>
      <c r="D36" s="24">
        <v>-512</v>
      </c>
      <c r="E36" s="24">
        <v>-2000</v>
      </c>
      <c r="F36" s="24">
        <f t="shared" si="0"/>
        <v>-818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-63465</v>
      </c>
      <c r="C37" s="24">
        <f>SUM(C6:C36)</f>
        <v>-60003</v>
      </c>
      <c r="D37" s="24">
        <f>SUM(D6:D36)</f>
        <v>-56235</v>
      </c>
      <c r="E37" s="24">
        <f>SUM(E6:E36)</f>
        <v>-62000</v>
      </c>
      <c r="F37" s="24">
        <f>SUM(F6:F36)</f>
        <v>-2303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-5181.75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17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C41" s="322"/>
      <c r="D41" s="262"/>
      <c r="E41" s="262"/>
      <c r="F41" s="104">
        <f>+F40+F39</f>
        <v>-133109.25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-2303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-40794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9" workbookViewId="0">
      <selection activeCell="A40" sqref="A4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>
        <v>-12</v>
      </c>
      <c r="J6" s="24"/>
      <c r="K6" s="24"/>
      <c r="L6" s="24"/>
      <c r="M6" s="24"/>
      <c r="N6" s="24"/>
      <c r="O6" s="24">
        <v>-7</v>
      </c>
      <c r="P6" s="24">
        <f>+C6+E6+I6+K6+M6+O6-B6-D6-F6-H6-J6-L6-N6</f>
        <v>3362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>
        <v>-12</v>
      </c>
      <c r="J7" s="24"/>
      <c r="K7" s="24"/>
      <c r="L7" s="24"/>
      <c r="M7" s="24"/>
      <c r="N7" s="24"/>
      <c r="O7" s="24">
        <v>-7</v>
      </c>
      <c r="P7" s="24">
        <f>+C7+E7+I7+K7+M7+O7-B7-D7-F7-H7-J7-L7-N7</f>
        <v>1930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>
        <v>-12</v>
      </c>
      <c r="J8" s="24"/>
      <c r="K8" s="24"/>
      <c r="L8" s="24"/>
      <c r="M8" s="24"/>
      <c r="N8" s="24"/>
      <c r="O8" s="24">
        <v>-7</v>
      </c>
      <c r="P8" s="24">
        <f t="shared" ref="P8:P36" si="0">+C8+E8+I8+K8+M8+O8-B8-D8-F8-H8-J8-L8-N8</f>
        <v>-5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>
        <v>-12</v>
      </c>
      <c r="J9" s="24"/>
      <c r="K9" s="24"/>
      <c r="L9" s="51"/>
      <c r="M9" s="24"/>
      <c r="N9" s="51"/>
      <c r="O9" s="24">
        <v>-7</v>
      </c>
      <c r="P9" s="24">
        <f t="shared" si="0"/>
        <v>-308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>
        <v>-12</v>
      </c>
      <c r="J10" s="24"/>
      <c r="K10" s="24"/>
      <c r="L10" s="51"/>
      <c r="M10" s="24"/>
      <c r="N10" s="51"/>
      <c r="O10" s="24">
        <v>-7</v>
      </c>
      <c r="P10" s="24">
        <f t="shared" si="0"/>
        <v>-180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>
        <v>-12</v>
      </c>
      <c r="J11" s="24"/>
      <c r="K11" s="24"/>
      <c r="L11" s="24"/>
      <c r="M11" s="24"/>
      <c r="N11" s="24"/>
      <c r="O11" s="24">
        <v>-7</v>
      </c>
      <c r="P11" s="24">
        <f t="shared" si="0"/>
        <v>-156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>
        <v>-12</v>
      </c>
      <c r="J12" s="24"/>
      <c r="K12" s="24"/>
      <c r="L12" s="51"/>
      <c r="M12" s="24"/>
      <c r="N12" s="51"/>
      <c r="O12" s="24">
        <v>-7</v>
      </c>
      <c r="P12" s="24">
        <f t="shared" si="0"/>
        <v>-151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>
        <v>-12</v>
      </c>
      <c r="J13" s="24"/>
      <c r="K13" s="24"/>
      <c r="L13" s="24"/>
      <c r="M13" s="24"/>
      <c r="N13" s="24"/>
      <c r="O13" s="24">
        <v>-7</v>
      </c>
      <c r="P13" s="24">
        <f t="shared" si="0"/>
        <v>17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>
        <v>-12</v>
      </c>
      <c r="J14" s="24"/>
      <c r="K14" s="24"/>
      <c r="L14" s="24"/>
      <c r="M14" s="24"/>
      <c r="N14" s="24"/>
      <c r="O14" s="24">
        <v>-7</v>
      </c>
      <c r="P14" s="24">
        <f t="shared" si="0"/>
        <v>18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>
        <v>-12</v>
      </c>
      <c r="J15" s="24"/>
      <c r="K15" s="24"/>
      <c r="L15" s="24"/>
      <c r="M15" s="24"/>
      <c r="N15" s="24"/>
      <c r="O15" s="24">
        <v>-7</v>
      </c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>
        <v>-12</v>
      </c>
      <c r="J16" s="24"/>
      <c r="K16" s="24"/>
      <c r="L16" s="24"/>
      <c r="M16" s="24"/>
      <c r="N16" s="24"/>
      <c r="O16" s="24">
        <v>-7</v>
      </c>
      <c r="P16" s="24">
        <f t="shared" si="0"/>
        <v>-17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>
        <v>-12</v>
      </c>
      <c r="J17" s="24"/>
      <c r="K17" s="24"/>
      <c r="L17" s="24"/>
      <c r="M17" s="24"/>
      <c r="N17" s="24"/>
      <c r="O17" s="24">
        <v>-7</v>
      </c>
      <c r="P17" s="24">
        <f t="shared" si="0"/>
        <v>9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>
        <v>-12</v>
      </c>
      <c r="J18" s="24"/>
      <c r="K18" s="24"/>
      <c r="L18" s="24"/>
      <c r="M18" s="24"/>
      <c r="N18" s="24"/>
      <c r="O18" s="24">
        <v>-7</v>
      </c>
      <c r="P18" s="24">
        <f t="shared" si="0"/>
        <v>33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>
        <v>-12</v>
      </c>
      <c r="J19" s="24"/>
      <c r="K19" s="24"/>
      <c r="L19" s="24"/>
      <c r="M19" s="24"/>
      <c r="N19" s="24"/>
      <c r="O19" s="24">
        <v>-7</v>
      </c>
      <c r="P19" s="24">
        <f t="shared" si="0"/>
        <v>-36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>
        <v>-12</v>
      </c>
      <c r="J20" s="24"/>
      <c r="K20" s="24"/>
      <c r="L20" s="24"/>
      <c r="M20" s="24"/>
      <c r="N20" s="24"/>
      <c r="O20" s="24">
        <v>-7</v>
      </c>
      <c r="P20" s="24">
        <f t="shared" si="0"/>
        <v>-37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-2215</v>
      </c>
      <c r="C21" s="24">
        <v>-2104</v>
      </c>
      <c r="D21" s="24"/>
      <c r="E21" s="24">
        <v>-25</v>
      </c>
      <c r="F21" s="24"/>
      <c r="G21" s="24">
        <v>-30</v>
      </c>
      <c r="H21" s="24"/>
      <c r="I21" s="24">
        <v>-12</v>
      </c>
      <c r="J21" s="24"/>
      <c r="K21" s="24"/>
      <c r="L21" s="24"/>
      <c r="M21" s="24"/>
      <c r="N21" s="24"/>
      <c r="O21" s="24">
        <v>-7</v>
      </c>
      <c r="P21" s="24">
        <f t="shared" si="0"/>
        <v>67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-2164</v>
      </c>
      <c r="C22" s="24">
        <v>-2104</v>
      </c>
      <c r="D22" s="24"/>
      <c r="E22" s="24">
        <v>-25</v>
      </c>
      <c r="F22" s="24"/>
      <c r="G22" s="24">
        <v>-30</v>
      </c>
      <c r="H22" s="24"/>
      <c r="I22" s="24">
        <v>-12</v>
      </c>
      <c r="J22" s="24"/>
      <c r="K22" s="24"/>
      <c r="L22" s="24"/>
      <c r="M22" s="24"/>
      <c r="N22" s="24"/>
      <c r="O22" s="24">
        <v>-7</v>
      </c>
      <c r="P22" s="24">
        <f t="shared" si="0"/>
        <v>16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-2162</v>
      </c>
      <c r="C23" s="24">
        <v>-2104</v>
      </c>
      <c r="D23" s="24">
        <v>-18</v>
      </c>
      <c r="E23" s="24">
        <v>-25</v>
      </c>
      <c r="F23" s="24"/>
      <c r="G23" s="24">
        <v>-30</v>
      </c>
      <c r="H23" s="24"/>
      <c r="I23" s="24">
        <v>-12</v>
      </c>
      <c r="J23" s="24"/>
      <c r="K23" s="24"/>
      <c r="L23" s="24"/>
      <c r="M23" s="24"/>
      <c r="N23" s="24"/>
      <c r="O23" s="24">
        <v>-7</v>
      </c>
      <c r="P23" s="24">
        <f t="shared" si="0"/>
        <v>32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-2159</v>
      </c>
      <c r="C24" s="24">
        <v>-2104</v>
      </c>
      <c r="D24" s="24"/>
      <c r="E24" s="24">
        <v>-25</v>
      </c>
      <c r="F24" s="24"/>
      <c r="G24" s="24">
        <v>-30</v>
      </c>
      <c r="H24" s="24"/>
      <c r="I24" s="24">
        <v>-12</v>
      </c>
      <c r="J24" s="24"/>
      <c r="K24" s="24"/>
      <c r="L24" s="24"/>
      <c r="M24" s="24"/>
      <c r="N24" s="24"/>
      <c r="O24" s="24">
        <v>-7</v>
      </c>
      <c r="P24" s="24">
        <f t="shared" si="0"/>
        <v>11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-2140</v>
      </c>
      <c r="C25" s="24">
        <v>-2104</v>
      </c>
      <c r="D25" s="24"/>
      <c r="E25" s="24">
        <v>-1</v>
      </c>
      <c r="F25" s="24"/>
      <c r="G25" s="24">
        <v>-1</v>
      </c>
      <c r="H25" s="24"/>
      <c r="I25" s="24">
        <v>-2</v>
      </c>
      <c r="J25" s="24"/>
      <c r="K25" s="24"/>
      <c r="L25" s="24"/>
      <c r="M25" s="24"/>
      <c r="N25" s="24"/>
      <c r="O25" s="24">
        <v>0</v>
      </c>
      <c r="P25" s="24">
        <f t="shared" si="0"/>
        <v>33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-2115</v>
      </c>
      <c r="C26" s="24">
        <v>-2104</v>
      </c>
      <c r="D26" s="24"/>
      <c r="E26" s="24">
        <v>-25</v>
      </c>
      <c r="F26" s="24"/>
      <c r="G26" s="24">
        <v>-30</v>
      </c>
      <c r="H26" s="24"/>
      <c r="I26" s="24">
        <v>-12</v>
      </c>
      <c r="J26" s="24"/>
      <c r="K26" s="24"/>
      <c r="L26" s="24"/>
      <c r="M26" s="24"/>
      <c r="N26" s="24"/>
      <c r="O26" s="24">
        <v>-7</v>
      </c>
      <c r="P26" s="24">
        <f t="shared" si="0"/>
        <v>-33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-2176</v>
      </c>
      <c r="C27" s="24">
        <v>-2104</v>
      </c>
      <c r="D27" s="24"/>
      <c r="E27" s="24">
        <v>-25</v>
      </c>
      <c r="F27" s="24"/>
      <c r="G27" s="24">
        <v>-30</v>
      </c>
      <c r="H27" s="24"/>
      <c r="I27" s="24">
        <v>-12</v>
      </c>
      <c r="J27" s="24"/>
      <c r="K27" s="24"/>
      <c r="L27" s="24"/>
      <c r="M27" s="24"/>
      <c r="N27" s="24"/>
      <c r="O27" s="24">
        <v>-7</v>
      </c>
      <c r="P27" s="24">
        <f t="shared" si="0"/>
        <v>28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-2183</v>
      </c>
      <c r="C28" s="24">
        <v>-2104</v>
      </c>
      <c r="D28" s="24"/>
      <c r="E28" s="24">
        <v>-25</v>
      </c>
      <c r="F28" s="24"/>
      <c r="G28" s="24">
        <v>-30</v>
      </c>
      <c r="H28" s="24"/>
      <c r="I28" s="24">
        <v>-12</v>
      </c>
      <c r="J28" s="24"/>
      <c r="K28" s="24"/>
      <c r="L28" s="24"/>
      <c r="M28" s="24"/>
      <c r="N28" s="24"/>
      <c r="O28" s="24">
        <v>-7</v>
      </c>
      <c r="P28" s="24">
        <f t="shared" si="0"/>
        <v>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-2174</v>
      </c>
      <c r="C29" s="24">
        <v>-2104</v>
      </c>
      <c r="D29" s="24"/>
      <c r="E29" s="24">
        <v>-25</v>
      </c>
      <c r="F29" s="24"/>
      <c r="G29" s="24">
        <v>-30</v>
      </c>
      <c r="H29" s="24"/>
      <c r="I29" s="24">
        <v>-12</v>
      </c>
      <c r="J29" s="24"/>
      <c r="K29" s="24"/>
      <c r="L29" s="24"/>
      <c r="M29" s="24"/>
      <c r="N29" s="24"/>
      <c r="O29" s="24">
        <v>-7</v>
      </c>
      <c r="P29" s="24">
        <f t="shared" si="0"/>
        <v>26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-2182</v>
      </c>
      <c r="C30" s="24">
        <v>-2104</v>
      </c>
      <c r="D30" s="24"/>
      <c r="E30" s="24">
        <v>-25</v>
      </c>
      <c r="F30" s="24"/>
      <c r="G30" s="24">
        <v>-30</v>
      </c>
      <c r="H30" s="24"/>
      <c r="I30" s="24">
        <v>-12</v>
      </c>
      <c r="J30" s="24"/>
      <c r="K30" s="24"/>
      <c r="L30" s="24"/>
      <c r="M30" s="24"/>
      <c r="N30" s="24"/>
      <c r="O30" s="24">
        <v>-7</v>
      </c>
      <c r="P30" s="24">
        <f t="shared" si="0"/>
        <v>34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-2148</v>
      </c>
      <c r="C31" s="24">
        <v>-2104</v>
      </c>
      <c r="D31" s="24"/>
      <c r="E31" s="24">
        <v>-25</v>
      </c>
      <c r="F31" s="24"/>
      <c r="G31" s="24">
        <v>-30</v>
      </c>
      <c r="H31" s="24"/>
      <c r="I31" s="24">
        <v>-12</v>
      </c>
      <c r="J31" s="24"/>
      <c r="K31" s="24"/>
      <c r="L31" s="24"/>
      <c r="M31" s="24"/>
      <c r="N31" s="24"/>
      <c r="O31" s="24">
        <v>-7</v>
      </c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-2182</v>
      </c>
      <c r="C32" s="24">
        <v>-2104</v>
      </c>
      <c r="D32" s="24"/>
      <c r="E32" s="24">
        <v>-25</v>
      </c>
      <c r="F32" s="24"/>
      <c r="G32" s="24">
        <v>-30</v>
      </c>
      <c r="H32" s="24"/>
      <c r="I32" s="24">
        <v>-12</v>
      </c>
      <c r="J32" s="24"/>
      <c r="K32" s="24"/>
      <c r="L32" s="24"/>
      <c r="M32" s="24"/>
      <c r="N32" s="24"/>
      <c r="O32" s="24">
        <v>-7</v>
      </c>
      <c r="P32" s="24">
        <f t="shared" si="0"/>
        <v>34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-2168</v>
      </c>
      <c r="C33" s="24">
        <v>-2104</v>
      </c>
      <c r="D33" s="24"/>
      <c r="E33" s="24">
        <v>-25</v>
      </c>
      <c r="F33" s="24"/>
      <c r="G33" s="24">
        <v>-30</v>
      </c>
      <c r="H33" s="24"/>
      <c r="I33" s="24">
        <v>-12</v>
      </c>
      <c r="J33" s="24"/>
      <c r="K33" s="24"/>
      <c r="L33" s="24"/>
      <c r="M33" s="24"/>
      <c r="N33" s="24"/>
      <c r="O33" s="24">
        <v>-7</v>
      </c>
      <c r="P33" s="24">
        <f t="shared" si="0"/>
        <v>20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-2240</v>
      </c>
      <c r="C34" s="24">
        <v>-2104</v>
      </c>
      <c r="D34" s="24"/>
      <c r="E34" s="24">
        <v>-25</v>
      </c>
      <c r="F34" s="24"/>
      <c r="G34" s="24">
        <v>-30</v>
      </c>
      <c r="H34" s="24"/>
      <c r="I34" s="24">
        <v>-12</v>
      </c>
      <c r="J34" s="24"/>
      <c r="K34" s="24"/>
      <c r="L34" s="24"/>
      <c r="M34" s="24"/>
      <c r="N34" s="24"/>
      <c r="O34" s="24">
        <v>-7</v>
      </c>
      <c r="P34" s="24">
        <f t="shared" si="0"/>
        <v>92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-2267</v>
      </c>
      <c r="C35" s="24">
        <v>-2104</v>
      </c>
      <c r="D35" s="24"/>
      <c r="E35" s="24">
        <v>-25</v>
      </c>
      <c r="F35" s="24"/>
      <c r="G35" s="24">
        <v>-30</v>
      </c>
      <c r="H35" s="24"/>
      <c r="I35" s="24">
        <v>-12</v>
      </c>
      <c r="J35" s="24"/>
      <c r="K35" s="24"/>
      <c r="L35" s="24"/>
      <c r="M35" s="24"/>
      <c r="N35" s="24"/>
      <c r="O35" s="24">
        <v>-7</v>
      </c>
      <c r="P35" s="24">
        <f t="shared" si="0"/>
        <v>119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>
        <v>-2229</v>
      </c>
      <c r="C36" s="24">
        <v>-2104</v>
      </c>
      <c r="D36" s="24"/>
      <c r="E36" s="24">
        <v>-25</v>
      </c>
      <c r="F36" s="24"/>
      <c r="G36" s="24">
        <v>-30</v>
      </c>
      <c r="H36" s="24"/>
      <c r="I36" s="24">
        <v>-12</v>
      </c>
      <c r="J36" s="24"/>
      <c r="K36" s="24"/>
      <c r="L36" s="24"/>
      <c r="M36" s="24"/>
      <c r="N36" s="24"/>
      <c r="O36" s="24">
        <v>-7</v>
      </c>
      <c r="P36" s="24">
        <f t="shared" si="0"/>
        <v>81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-67170</v>
      </c>
      <c r="C37" s="24">
        <f t="shared" si="1"/>
        <v>-60812</v>
      </c>
      <c r="D37" s="24">
        <f t="shared" si="1"/>
        <v>-28</v>
      </c>
      <c r="E37" s="24">
        <f t="shared" si="1"/>
        <v>-751</v>
      </c>
      <c r="F37" s="24">
        <f t="shared" si="1"/>
        <v>0</v>
      </c>
      <c r="G37" s="24">
        <f t="shared" si="1"/>
        <v>-901</v>
      </c>
      <c r="H37" s="24">
        <f t="shared" si="1"/>
        <v>0</v>
      </c>
      <c r="I37" s="24">
        <f t="shared" si="1"/>
        <v>-362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-210</v>
      </c>
      <c r="P37" s="24">
        <f t="shared" si="1"/>
        <v>5063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2.25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11391.75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17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37256</v>
      </c>
      <c r="E41" s="14"/>
      <c r="O41" s="450"/>
      <c r="P41" s="104">
        <f>+P40+P39</f>
        <v>114286.65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09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37256</v>
      </c>
      <c r="B47" s="32"/>
      <c r="C47" s="32"/>
      <c r="D47" s="355">
        <f>+P37</f>
        <v>5063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48091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E35" sqref="E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307</v>
      </c>
      <c r="C3" s="87"/>
      <c r="D3" s="87"/>
    </row>
    <row r="4" spans="1:4" x14ac:dyDescent="0.2">
      <c r="A4" s="3"/>
      <c r="B4" s="331" t="s">
        <v>306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">
      <c r="A22" s="10">
        <v>17</v>
      </c>
      <c r="B22" s="11">
        <v>-13937</v>
      </c>
      <c r="C22" s="11">
        <v>-14000</v>
      </c>
      <c r="D22" s="25">
        <f t="shared" si="0"/>
        <v>-63</v>
      </c>
    </row>
    <row r="23" spans="1:4" x14ac:dyDescent="0.2">
      <c r="A23" s="10">
        <v>18</v>
      </c>
      <c r="B23" s="11">
        <v>-13962</v>
      </c>
      <c r="C23" s="11">
        <v>-14000</v>
      </c>
      <c r="D23" s="25">
        <f t="shared" si="0"/>
        <v>-38</v>
      </c>
    </row>
    <row r="24" spans="1:4" x14ac:dyDescent="0.2">
      <c r="A24" s="10">
        <v>19</v>
      </c>
      <c r="B24" s="11">
        <v>-13945</v>
      </c>
      <c r="C24" s="11">
        <v>-14000</v>
      </c>
      <c r="D24" s="25">
        <f t="shared" si="0"/>
        <v>-55</v>
      </c>
    </row>
    <row r="25" spans="1:4" x14ac:dyDescent="0.2">
      <c r="A25" s="10">
        <v>20</v>
      </c>
      <c r="B25" s="11">
        <v>-13940</v>
      </c>
      <c r="C25" s="11">
        <v>-14000</v>
      </c>
      <c r="D25" s="25">
        <f t="shared" si="0"/>
        <v>-60</v>
      </c>
    </row>
    <row r="26" spans="1:4" x14ac:dyDescent="0.2">
      <c r="A26" s="10">
        <v>21</v>
      </c>
      <c r="B26" s="11">
        <v>-14194</v>
      </c>
      <c r="C26" s="11">
        <v>-14000</v>
      </c>
      <c r="D26" s="25">
        <f t="shared" si="0"/>
        <v>194</v>
      </c>
    </row>
    <row r="27" spans="1:4" x14ac:dyDescent="0.2">
      <c r="A27" s="10">
        <v>22</v>
      </c>
      <c r="B27" s="11">
        <v>-13922</v>
      </c>
      <c r="C27" s="11">
        <v>-14000</v>
      </c>
      <c r="D27" s="25">
        <f t="shared" si="0"/>
        <v>-78</v>
      </c>
    </row>
    <row r="28" spans="1:4" x14ac:dyDescent="0.2">
      <c r="A28" s="10">
        <v>23</v>
      </c>
      <c r="B28" s="11">
        <v>-13890</v>
      </c>
      <c r="C28" s="11">
        <v>-14000</v>
      </c>
      <c r="D28" s="25">
        <f t="shared" si="0"/>
        <v>-110</v>
      </c>
    </row>
    <row r="29" spans="1:4" x14ac:dyDescent="0.2">
      <c r="A29" s="10">
        <v>24</v>
      </c>
      <c r="B29" s="11">
        <v>-13307</v>
      </c>
      <c r="C29" s="11">
        <v>-14000</v>
      </c>
      <c r="D29" s="25">
        <f t="shared" si="0"/>
        <v>-693</v>
      </c>
    </row>
    <row r="30" spans="1:4" x14ac:dyDescent="0.2">
      <c r="A30" s="10">
        <v>25</v>
      </c>
      <c r="B30" s="11">
        <v>-12335</v>
      </c>
      <c r="C30" s="11">
        <v>-14000</v>
      </c>
      <c r="D30" s="25">
        <f t="shared" si="0"/>
        <v>-1665</v>
      </c>
    </row>
    <row r="31" spans="1:4" x14ac:dyDescent="0.2">
      <c r="A31" s="10">
        <v>26</v>
      </c>
      <c r="B31" s="11">
        <v>-11966</v>
      </c>
      <c r="C31" s="11">
        <v>-14000</v>
      </c>
      <c r="D31" s="25">
        <f t="shared" si="0"/>
        <v>-2034</v>
      </c>
    </row>
    <row r="32" spans="1:4" x14ac:dyDescent="0.2">
      <c r="A32" s="10">
        <v>27</v>
      </c>
      <c r="B32" s="11">
        <v>-13523</v>
      </c>
      <c r="C32" s="11">
        <v>-14000</v>
      </c>
      <c r="D32" s="25">
        <f t="shared" si="0"/>
        <v>-477</v>
      </c>
    </row>
    <row r="33" spans="1:4" x14ac:dyDescent="0.2">
      <c r="A33" s="10">
        <v>28</v>
      </c>
      <c r="B33" s="11">
        <v>-13409</v>
      </c>
      <c r="C33" s="11">
        <v>-14000</v>
      </c>
      <c r="D33" s="25">
        <f t="shared" si="0"/>
        <v>-591</v>
      </c>
    </row>
    <row r="34" spans="1:4" x14ac:dyDescent="0.2">
      <c r="A34" s="10">
        <v>29</v>
      </c>
      <c r="B34" s="11">
        <v>-13403</v>
      </c>
      <c r="C34" s="11">
        <v>-14000</v>
      </c>
      <c r="D34" s="25">
        <f t="shared" si="0"/>
        <v>-597</v>
      </c>
    </row>
    <row r="35" spans="1:4" x14ac:dyDescent="0.2">
      <c r="A35" s="10">
        <v>30</v>
      </c>
      <c r="B35" s="11">
        <v>-13456</v>
      </c>
      <c r="C35" s="11">
        <v>-14000</v>
      </c>
      <c r="D35" s="25">
        <f t="shared" si="0"/>
        <v>-544</v>
      </c>
    </row>
    <row r="36" spans="1:4" x14ac:dyDescent="0.2">
      <c r="A36" s="10">
        <v>31</v>
      </c>
      <c r="B36" s="11">
        <v>-13468</v>
      </c>
      <c r="C36" s="11">
        <v>-14000</v>
      </c>
      <c r="D36" s="25">
        <f t="shared" si="0"/>
        <v>-532</v>
      </c>
    </row>
    <row r="37" spans="1:4" x14ac:dyDescent="0.2">
      <c r="A37" s="10"/>
      <c r="B37" s="11">
        <f>SUM(B6:B36)</f>
        <v>-426451</v>
      </c>
      <c r="C37" s="11">
        <f>SUM(C6:C36)</f>
        <v>-433899</v>
      </c>
      <c r="D37" s="25">
        <f>SUM(D6:D36)</f>
        <v>-7448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-16758</v>
      </c>
    </row>
    <row r="40" spans="1:4" x14ac:dyDescent="0.2">
      <c r="A40" s="57">
        <v>37225</v>
      </c>
      <c r="C40" s="15"/>
      <c r="D40" s="519">
        <v>-482.28</v>
      </c>
    </row>
    <row r="41" spans="1:4" x14ac:dyDescent="0.2">
      <c r="A41" s="57">
        <v>37256</v>
      </c>
      <c r="C41" s="48"/>
      <c r="D41" s="138">
        <f>+D40+D39</f>
        <v>-17240.28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12777</v>
      </c>
    </row>
    <row r="47" spans="1:4" x14ac:dyDescent="0.2">
      <c r="A47" s="49">
        <f>+A41</f>
        <v>37256</v>
      </c>
      <c r="B47" s="32"/>
      <c r="C47" s="32"/>
      <c r="D47" s="355">
        <f>+D37</f>
        <v>-7448</v>
      </c>
    </row>
    <row r="48" spans="1:4" x14ac:dyDescent="0.2">
      <c r="A48" s="32"/>
      <c r="B48" s="32"/>
      <c r="C48" s="32"/>
      <c r="D48" s="14">
        <f>+D47+D46</f>
        <v>5329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C38" sqref="C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">
      <c r="A23" s="10">
        <v>17</v>
      </c>
      <c r="B23" s="11">
        <v>175009</v>
      </c>
      <c r="C23" s="11">
        <v>175353</v>
      </c>
      <c r="D23" s="25">
        <f t="shared" si="0"/>
        <v>344</v>
      </c>
    </row>
    <row r="24" spans="1:4" x14ac:dyDescent="0.2">
      <c r="A24" s="10">
        <v>18</v>
      </c>
      <c r="B24" s="11">
        <v>177850</v>
      </c>
      <c r="C24" s="11">
        <v>179956</v>
      </c>
      <c r="D24" s="25">
        <f t="shared" si="0"/>
        <v>2106</v>
      </c>
    </row>
    <row r="25" spans="1:4" x14ac:dyDescent="0.2">
      <c r="A25" s="10">
        <v>19</v>
      </c>
      <c r="B25" s="11">
        <v>158764</v>
      </c>
      <c r="C25" s="11">
        <v>158266</v>
      </c>
      <c r="D25" s="25">
        <f t="shared" si="0"/>
        <v>-498</v>
      </c>
    </row>
    <row r="26" spans="1:4" x14ac:dyDescent="0.2">
      <c r="A26" s="10">
        <v>20</v>
      </c>
      <c r="B26" s="129">
        <v>186649</v>
      </c>
      <c r="C26" s="11">
        <v>186182</v>
      </c>
      <c r="D26" s="25">
        <f t="shared" si="0"/>
        <v>-467</v>
      </c>
    </row>
    <row r="27" spans="1:4" x14ac:dyDescent="0.2">
      <c r="A27" s="10">
        <v>21</v>
      </c>
      <c r="B27" s="129">
        <v>162604</v>
      </c>
      <c r="C27" s="11">
        <v>162287</v>
      </c>
      <c r="D27" s="25">
        <f t="shared" si="0"/>
        <v>-317</v>
      </c>
    </row>
    <row r="28" spans="1:4" x14ac:dyDescent="0.2">
      <c r="A28" s="10">
        <v>22</v>
      </c>
      <c r="B28" s="11">
        <v>174669</v>
      </c>
      <c r="C28" s="11">
        <v>175804</v>
      </c>
      <c r="D28" s="25">
        <f t="shared" si="0"/>
        <v>1135</v>
      </c>
    </row>
    <row r="29" spans="1:4" x14ac:dyDescent="0.2">
      <c r="A29" s="10">
        <v>23</v>
      </c>
      <c r="B29" s="11">
        <v>170787</v>
      </c>
      <c r="C29" s="11">
        <v>174484</v>
      </c>
      <c r="D29" s="25">
        <f t="shared" si="0"/>
        <v>3697</v>
      </c>
    </row>
    <row r="30" spans="1:4" x14ac:dyDescent="0.2">
      <c r="A30" s="10">
        <v>24</v>
      </c>
      <c r="B30" s="11">
        <v>165583</v>
      </c>
      <c r="C30" s="11">
        <v>175686</v>
      </c>
      <c r="D30" s="25">
        <f t="shared" si="0"/>
        <v>10103</v>
      </c>
    </row>
    <row r="31" spans="1:4" x14ac:dyDescent="0.2">
      <c r="A31" s="10">
        <v>25</v>
      </c>
      <c r="B31" s="11">
        <v>168571</v>
      </c>
      <c r="C31" s="11">
        <v>176187</v>
      </c>
      <c r="D31" s="25">
        <f t="shared" si="0"/>
        <v>7616</v>
      </c>
    </row>
    <row r="32" spans="1:4" x14ac:dyDescent="0.2">
      <c r="A32" s="10">
        <v>26</v>
      </c>
      <c r="B32" s="11">
        <v>155227</v>
      </c>
      <c r="C32" s="11">
        <v>153977</v>
      </c>
      <c r="D32" s="25">
        <f t="shared" si="0"/>
        <v>-1250</v>
      </c>
    </row>
    <row r="33" spans="1:8" x14ac:dyDescent="0.2">
      <c r="A33" s="10">
        <v>27</v>
      </c>
      <c r="B33" s="11">
        <v>156985</v>
      </c>
      <c r="C33" s="11">
        <v>155299</v>
      </c>
      <c r="D33" s="25">
        <f t="shared" si="0"/>
        <v>-1686</v>
      </c>
    </row>
    <row r="34" spans="1:8" x14ac:dyDescent="0.2">
      <c r="A34" s="10">
        <v>28</v>
      </c>
      <c r="B34" s="11">
        <v>150819</v>
      </c>
      <c r="C34" s="11">
        <v>146187</v>
      </c>
      <c r="D34" s="25">
        <f t="shared" si="0"/>
        <v>-4632</v>
      </c>
    </row>
    <row r="35" spans="1:8" x14ac:dyDescent="0.2">
      <c r="A35" s="10">
        <v>29</v>
      </c>
      <c r="B35" s="11">
        <v>147069</v>
      </c>
      <c r="C35" s="11">
        <v>146635</v>
      </c>
      <c r="D35" s="25">
        <f t="shared" si="0"/>
        <v>-434</v>
      </c>
    </row>
    <row r="36" spans="1:8" x14ac:dyDescent="0.2">
      <c r="A36" s="10">
        <v>30</v>
      </c>
      <c r="B36" s="11">
        <v>146617</v>
      </c>
      <c r="C36" s="11">
        <v>146606</v>
      </c>
      <c r="D36" s="25">
        <f t="shared" si="0"/>
        <v>-11</v>
      </c>
    </row>
    <row r="37" spans="1:8" x14ac:dyDescent="0.2">
      <c r="A37" s="10">
        <v>31</v>
      </c>
      <c r="B37" s="11">
        <v>147199</v>
      </c>
      <c r="C37" s="11">
        <v>146578</v>
      </c>
      <c r="D37" s="25">
        <f t="shared" si="0"/>
        <v>-621</v>
      </c>
    </row>
    <row r="38" spans="1:8" x14ac:dyDescent="0.2">
      <c r="A38" s="10"/>
      <c r="B38" s="11">
        <f>SUM(B7:B37)</f>
        <v>5215117</v>
      </c>
      <c r="C38" s="11">
        <f>SUM(C7:C37)</f>
        <v>5246498</v>
      </c>
      <c r="D38" s="11">
        <f>SUM(D7:D37)</f>
        <v>31381</v>
      </c>
    </row>
    <row r="39" spans="1:8" x14ac:dyDescent="0.2">
      <c r="A39" s="26"/>
      <c r="C39" s="14"/>
      <c r="D39" s="106">
        <f>+summary!H3</f>
        <v>2.2400000000000002</v>
      </c>
    </row>
    <row r="40" spans="1:8" x14ac:dyDescent="0.2">
      <c r="D40" s="138">
        <f>+D39*D38</f>
        <v>70293.440000000002</v>
      </c>
      <c r="H40">
        <v>20</v>
      </c>
    </row>
    <row r="41" spans="1:8" x14ac:dyDescent="0.2">
      <c r="A41" s="57">
        <v>37225</v>
      </c>
      <c r="C41" s="15"/>
      <c r="D41" s="542">
        <v>-23010</v>
      </c>
      <c r="H41">
        <v>530</v>
      </c>
    </row>
    <row r="42" spans="1:8" x14ac:dyDescent="0.2">
      <c r="A42" s="57">
        <v>37256</v>
      </c>
      <c r="D42" s="322">
        <f>+D41+D40</f>
        <v>47283.44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09">
        <v>-10969</v>
      </c>
    </row>
    <row r="48" spans="1:8" x14ac:dyDescent="0.2">
      <c r="A48" s="49">
        <f>+A42</f>
        <v>37256</v>
      </c>
      <c r="B48" s="32"/>
      <c r="C48" s="32"/>
      <c r="D48" s="355">
        <f>+D38</f>
        <v>31381</v>
      </c>
    </row>
    <row r="49" spans="1:4" x14ac:dyDescent="0.2">
      <c r="A49" s="32"/>
      <c r="B49" s="32"/>
      <c r="C49" s="32"/>
      <c r="D49" s="14">
        <f>+D48+D47</f>
        <v>20412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">
      <c r="A21" s="10">
        <v>18</v>
      </c>
      <c r="B21" s="129">
        <v>-233610</v>
      </c>
      <c r="C21" s="11">
        <v>-233000</v>
      </c>
      <c r="D21" s="25">
        <f t="shared" si="0"/>
        <v>610</v>
      </c>
    </row>
    <row r="22" spans="1:4" x14ac:dyDescent="0.2">
      <c r="A22" s="10">
        <v>19</v>
      </c>
      <c r="B22" s="129">
        <v>-235344</v>
      </c>
      <c r="C22" s="11">
        <v>-238000</v>
      </c>
      <c r="D22" s="25">
        <f t="shared" si="0"/>
        <v>-2656</v>
      </c>
    </row>
    <row r="23" spans="1:4" x14ac:dyDescent="0.2">
      <c r="A23" s="10">
        <v>20</v>
      </c>
      <c r="B23" s="11">
        <v>-231606</v>
      </c>
      <c r="C23" s="11">
        <v>-229608</v>
      </c>
      <c r="D23" s="25">
        <f t="shared" si="0"/>
        <v>1998</v>
      </c>
    </row>
    <row r="24" spans="1:4" x14ac:dyDescent="0.2">
      <c r="A24" s="10">
        <v>21</v>
      </c>
      <c r="B24" s="129">
        <v>-240415</v>
      </c>
      <c r="C24" s="11">
        <v>-239608</v>
      </c>
      <c r="D24" s="25">
        <f t="shared" si="0"/>
        <v>807</v>
      </c>
    </row>
    <row r="25" spans="1:4" x14ac:dyDescent="0.2">
      <c r="A25" s="10">
        <v>22</v>
      </c>
      <c r="B25" s="11">
        <v>-256467</v>
      </c>
      <c r="C25" s="11">
        <v>-265500</v>
      </c>
      <c r="D25" s="25">
        <f t="shared" si="0"/>
        <v>-9033</v>
      </c>
    </row>
    <row r="26" spans="1:4" x14ac:dyDescent="0.2">
      <c r="A26" s="10">
        <v>23</v>
      </c>
      <c r="B26" s="129">
        <v>-289123</v>
      </c>
      <c r="C26" s="11">
        <v>-288300</v>
      </c>
      <c r="D26" s="25">
        <f t="shared" si="0"/>
        <v>823</v>
      </c>
    </row>
    <row r="27" spans="1:4" x14ac:dyDescent="0.2">
      <c r="A27" s="10">
        <v>24</v>
      </c>
      <c r="B27" s="129">
        <v>-269224</v>
      </c>
      <c r="C27" s="11">
        <v>-268300</v>
      </c>
      <c r="D27" s="25">
        <f t="shared" si="0"/>
        <v>924</v>
      </c>
    </row>
    <row r="28" spans="1:4" x14ac:dyDescent="0.2">
      <c r="A28" s="10">
        <v>25</v>
      </c>
      <c r="B28" s="129">
        <v>-238499</v>
      </c>
      <c r="C28" s="11">
        <v>-238000</v>
      </c>
      <c r="D28" s="25">
        <f t="shared" si="0"/>
        <v>499</v>
      </c>
    </row>
    <row r="29" spans="1:4" x14ac:dyDescent="0.2">
      <c r="A29" s="10">
        <v>26</v>
      </c>
      <c r="B29" s="129">
        <v>-228743</v>
      </c>
      <c r="C29" s="11">
        <v>-238000</v>
      </c>
      <c r="D29" s="25">
        <f t="shared" si="0"/>
        <v>-9257</v>
      </c>
    </row>
    <row r="30" spans="1:4" x14ac:dyDescent="0.2">
      <c r="A30" s="10">
        <v>27</v>
      </c>
      <c r="B30" s="129">
        <v>-228631</v>
      </c>
      <c r="C30" s="11">
        <v>-237022</v>
      </c>
      <c r="D30" s="25">
        <f t="shared" si="0"/>
        <v>-8391</v>
      </c>
    </row>
    <row r="31" spans="1:4" x14ac:dyDescent="0.2">
      <c r="A31" s="10">
        <v>28</v>
      </c>
      <c r="B31" s="129">
        <v>-231575</v>
      </c>
      <c r="C31" s="11">
        <v>-230760</v>
      </c>
      <c r="D31" s="25">
        <f t="shared" si="0"/>
        <v>815</v>
      </c>
    </row>
    <row r="32" spans="1:4" x14ac:dyDescent="0.2">
      <c r="A32" s="10">
        <v>29</v>
      </c>
      <c r="B32" s="129">
        <v>-234609</v>
      </c>
      <c r="C32" s="11">
        <v>-235000</v>
      </c>
      <c r="D32" s="25">
        <f t="shared" si="0"/>
        <v>-391</v>
      </c>
    </row>
    <row r="33" spans="1:30" x14ac:dyDescent="0.2">
      <c r="A33" s="10">
        <v>30</v>
      </c>
      <c r="B33" s="129">
        <v>-237105</v>
      </c>
      <c r="C33" s="11">
        <v>-235000</v>
      </c>
      <c r="D33" s="25">
        <f t="shared" si="0"/>
        <v>2105</v>
      </c>
    </row>
    <row r="34" spans="1:30" x14ac:dyDescent="0.2">
      <c r="A34" s="10">
        <v>31</v>
      </c>
      <c r="B34" s="129">
        <v>-235712</v>
      </c>
      <c r="C34" s="11">
        <v>-235000</v>
      </c>
      <c r="D34" s="25">
        <f t="shared" si="0"/>
        <v>712</v>
      </c>
    </row>
    <row r="35" spans="1:30" x14ac:dyDescent="0.2">
      <c r="A35" s="10"/>
      <c r="B35" s="11">
        <f>SUM(B4:B34)</f>
        <v>-7213764</v>
      </c>
      <c r="C35" s="11">
        <f>SUM(C4:C34)</f>
        <v>-7228895</v>
      </c>
      <c r="D35" s="11">
        <f>SUM(D4:D34)</f>
        <v>-15131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37225</v>
      </c>
      <c r="D38" s="531">
        <v>74202</v>
      </c>
    </row>
    <row r="39" spans="1:30" x14ac:dyDescent="0.2">
      <c r="A39" s="12"/>
      <c r="D39" s="51"/>
    </row>
    <row r="40" spans="1:30" x14ac:dyDescent="0.2">
      <c r="A40" s="245">
        <v>37256</v>
      </c>
      <c r="D40" s="51">
        <f>+D38+D35</f>
        <v>59071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85"/>
      <c r="K44"/>
    </row>
    <row r="45" spans="1:30" x14ac:dyDescent="0.2">
      <c r="A45" s="49">
        <f>+A38</f>
        <v>37225</v>
      </c>
      <c r="B45" s="32"/>
      <c r="C45" s="32"/>
      <c r="D45" s="50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37256</v>
      </c>
      <c r="B46" s="32"/>
      <c r="C46" s="32"/>
      <c r="D46" s="382">
        <f>+D35*'by type_area'!J4</f>
        <v>-34044.75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12453.25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9" sqref="C3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f>-730195</f>
        <v>-730195</v>
      </c>
      <c r="C5" s="11">
        <f>-728895-10000</f>
        <v>-738895</v>
      </c>
      <c r="D5" s="11"/>
      <c r="E5" s="11"/>
      <c r="F5" s="25">
        <f t="shared" ref="F5:F34" si="0">+C5-B5+E5-D5</f>
        <v>-8700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">
      <c r="A21" s="10">
        <v>18</v>
      </c>
      <c r="B21" s="11">
        <v>-754249</v>
      </c>
      <c r="C21" s="11">
        <v>-726250</v>
      </c>
      <c r="D21" s="11"/>
      <c r="E21" s="11"/>
      <c r="F21" s="25">
        <f t="shared" si="0"/>
        <v>27999</v>
      </c>
      <c r="H21" s="10"/>
      <c r="I21" s="11"/>
    </row>
    <row r="22" spans="1:11" x14ac:dyDescent="0.2">
      <c r="A22" s="10">
        <v>19</v>
      </c>
      <c r="B22" s="129">
        <v>-738651</v>
      </c>
      <c r="C22" s="11">
        <v>-734286</v>
      </c>
      <c r="D22" s="11"/>
      <c r="E22" s="11"/>
      <c r="F22" s="25">
        <f t="shared" si="0"/>
        <v>4365</v>
      </c>
      <c r="H22" s="10"/>
      <c r="I22" s="11"/>
    </row>
    <row r="23" spans="1:11" x14ac:dyDescent="0.2">
      <c r="A23" s="10">
        <v>20</v>
      </c>
      <c r="B23" s="129">
        <v>-715839</v>
      </c>
      <c r="C23" s="11">
        <v>-716580</v>
      </c>
      <c r="D23" s="11"/>
      <c r="E23" s="11"/>
      <c r="F23" s="25">
        <f t="shared" si="0"/>
        <v>-741</v>
      </c>
      <c r="H23" s="10"/>
      <c r="I23" s="11"/>
    </row>
    <row r="24" spans="1:11" x14ac:dyDescent="0.2">
      <c r="A24" s="10">
        <v>21</v>
      </c>
      <c r="B24" s="11">
        <v>-616464</v>
      </c>
      <c r="C24" s="11">
        <v>-616135</v>
      </c>
      <c r="D24" s="129"/>
      <c r="E24" s="11"/>
      <c r="F24" s="25">
        <f t="shared" si="0"/>
        <v>329</v>
      </c>
      <c r="H24" s="10"/>
      <c r="I24" s="11"/>
      <c r="K24" s="25"/>
    </row>
    <row r="25" spans="1:11" x14ac:dyDescent="0.2">
      <c r="A25" s="10">
        <v>22</v>
      </c>
      <c r="B25" s="11">
        <v>-645496</v>
      </c>
      <c r="C25" s="11">
        <v>-643692</v>
      </c>
      <c r="D25" s="11"/>
      <c r="E25" s="11"/>
      <c r="F25" s="25">
        <f t="shared" si="0"/>
        <v>1804</v>
      </c>
      <c r="H25" s="10"/>
      <c r="I25" s="11"/>
    </row>
    <row r="26" spans="1:11" x14ac:dyDescent="0.2">
      <c r="A26" s="10">
        <v>23</v>
      </c>
      <c r="B26" s="11">
        <v>-643191</v>
      </c>
      <c r="C26" s="11">
        <v>-643692</v>
      </c>
      <c r="D26" s="11"/>
      <c r="E26" s="11"/>
      <c r="F26" s="25">
        <f t="shared" si="0"/>
        <v>-501</v>
      </c>
      <c r="H26" s="10"/>
      <c r="I26" s="11"/>
    </row>
    <row r="27" spans="1:11" x14ac:dyDescent="0.2">
      <c r="A27" s="10">
        <v>24</v>
      </c>
      <c r="B27" s="11">
        <v>-635980</v>
      </c>
      <c r="C27" s="11">
        <v>-662571</v>
      </c>
      <c r="D27" s="11"/>
      <c r="E27" s="11"/>
      <c r="F27" s="25">
        <f t="shared" si="0"/>
        <v>-26591</v>
      </c>
      <c r="H27" s="10"/>
      <c r="I27" s="11"/>
      <c r="K27" s="25"/>
    </row>
    <row r="28" spans="1:11" x14ac:dyDescent="0.2">
      <c r="A28" s="10">
        <v>25</v>
      </c>
      <c r="B28" s="11">
        <v>-636735</v>
      </c>
      <c r="C28" s="11">
        <v>-643571</v>
      </c>
      <c r="D28" s="11"/>
      <c r="E28" s="11"/>
      <c r="F28" s="25">
        <f t="shared" si="0"/>
        <v>-6836</v>
      </c>
      <c r="H28" s="10"/>
      <c r="I28" s="11"/>
      <c r="K28" s="25"/>
    </row>
    <row r="29" spans="1:11" x14ac:dyDescent="0.2">
      <c r="A29" s="10">
        <v>26</v>
      </c>
      <c r="B29" s="11">
        <v>-612579</v>
      </c>
      <c r="C29" s="11">
        <v>-643605</v>
      </c>
      <c r="D29" s="11"/>
      <c r="E29" s="11"/>
      <c r="F29" s="25">
        <f t="shared" si="0"/>
        <v>-31026</v>
      </c>
      <c r="H29" s="10"/>
      <c r="I29" s="11"/>
      <c r="K29" s="25"/>
    </row>
    <row r="30" spans="1:11" x14ac:dyDescent="0.2">
      <c r="A30" s="10">
        <v>27</v>
      </c>
      <c r="B30" s="11">
        <v>-573104</v>
      </c>
      <c r="C30" s="11">
        <v>-571980</v>
      </c>
      <c r="D30" s="11"/>
      <c r="E30" s="11"/>
      <c r="F30" s="25">
        <f t="shared" si="0"/>
        <v>1124</v>
      </c>
      <c r="H30" s="10"/>
      <c r="I30" s="11"/>
      <c r="K30" s="25"/>
    </row>
    <row r="31" spans="1:11" x14ac:dyDescent="0.2">
      <c r="A31" s="10">
        <v>28</v>
      </c>
      <c r="B31" s="11">
        <v>-601299</v>
      </c>
      <c r="C31" s="11">
        <v>-603285</v>
      </c>
      <c r="D31" s="11"/>
      <c r="E31" s="11"/>
      <c r="F31" s="25">
        <f t="shared" si="0"/>
        <v>-1986</v>
      </c>
      <c r="H31" s="10"/>
      <c r="I31" s="11"/>
    </row>
    <row r="32" spans="1:11" x14ac:dyDescent="0.2">
      <c r="A32" s="10">
        <v>29</v>
      </c>
      <c r="B32" s="11">
        <v>-543215</v>
      </c>
      <c r="C32" s="11">
        <v>-535730</v>
      </c>
      <c r="D32" s="11"/>
      <c r="E32" s="11"/>
      <c r="F32" s="25">
        <f t="shared" si="0"/>
        <v>7485</v>
      </c>
      <c r="H32" s="10"/>
      <c r="I32" s="11"/>
    </row>
    <row r="33" spans="1:45" x14ac:dyDescent="0.2">
      <c r="A33" s="10">
        <v>30</v>
      </c>
      <c r="B33" s="11">
        <v>-531821</v>
      </c>
      <c r="C33" s="11">
        <v>-535730</v>
      </c>
      <c r="D33" s="11"/>
      <c r="E33" s="11"/>
      <c r="F33" s="25">
        <f t="shared" si="0"/>
        <v>-3909</v>
      </c>
      <c r="H33" s="10"/>
      <c r="I33" s="11"/>
    </row>
    <row r="34" spans="1:45" x14ac:dyDescent="0.2">
      <c r="A34" s="10">
        <v>31</v>
      </c>
      <c r="B34" s="11">
        <v>-537032</v>
      </c>
      <c r="C34" s="11">
        <v>-535725</v>
      </c>
      <c r="D34" s="11"/>
      <c r="E34" s="11"/>
      <c r="F34" s="25">
        <f t="shared" si="0"/>
        <v>1307</v>
      </c>
      <c r="H34" s="10"/>
      <c r="I34" s="11"/>
    </row>
    <row r="35" spans="1:45" x14ac:dyDescent="0.2">
      <c r="A35" s="10"/>
      <c r="B35" s="11">
        <f>SUM(B4:B34)</f>
        <v>-21379152</v>
      </c>
      <c r="C35" s="11">
        <f>SUM(C4:C34)</f>
        <v>-21444855</v>
      </c>
      <c r="D35" s="11">
        <f>SUM(D4:D34)</f>
        <v>0</v>
      </c>
      <c r="E35" s="11">
        <f>SUM(E4:E34)</f>
        <v>0</v>
      </c>
      <c r="F35" s="11">
        <f>SUM(F4:F34)</f>
        <v>-65703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6"/>
      <c r="E38" s="246"/>
      <c r="F38" s="501">
        <v>170123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37256</v>
      </c>
      <c r="D40" s="246"/>
      <c r="E40" s="246"/>
      <c r="F40" s="51">
        <f>+F38+F35</f>
        <v>104420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153</v>
      </c>
      <c r="B44" s="32"/>
      <c r="C44" s="32"/>
      <c r="D44" s="485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37225</v>
      </c>
      <c r="B45" s="32"/>
      <c r="C45" s="32"/>
      <c r="D45" s="502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37256</v>
      </c>
      <c r="B46" s="32"/>
      <c r="C46" s="32"/>
      <c r="D46" s="486">
        <f>+F35*'by type_area'!J4</f>
        <v>-147831.75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4">
        <f>+D46+D45</f>
        <v>331916.74</v>
      </c>
      <c r="E47" s="246"/>
      <c r="F47" s="487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2" workbookViewId="0">
      <selection activeCell="A35" sqref="A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-13939</v>
      </c>
      <c r="C13" s="11">
        <v>100</v>
      </c>
      <c r="D13" s="11"/>
      <c r="E13" s="129">
        <v>-14366</v>
      </c>
      <c r="F13" s="11"/>
      <c r="G13" s="11"/>
      <c r="H13" s="11">
        <f t="shared" si="0"/>
        <v>-327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-47733</v>
      </c>
      <c r="C20" s="11">
        <v>181</v>
      </c>
      <c r="D20" s="11"/>
      <c r="E20" s="11">
        <v>-50196</v>
      </c>
      <c r="F20" s="11"/>
      <c r="G20" s="11"/>
      <c r="H20" s="11">
        <f t="shared" si="0"/>
        <v>-2282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-106584</v>
      </c>
      <c r="C21" s="11">
        <v>-7912</v>
      </c>
      <c r="D21" s="11"/>
      <c r="E21" s="11">
        <v>-97269</v>
      </c>
      <c r="F21" s="11"/>
      <c r="G21" s="11"/>
      <c r="H21" s="11">
        <f t="shared" si="0"/>
        <v>1403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-70279</v>
      </c>
      <c r="C22" s="11">
        <v>181</v>
      </c>
      <c r="D22" s="11"/>
      <c r="E22" s="11">
        <v>-70000</v>
      </c>
      <c r="F22" s="11"/>
      <c r="G22" s="11"/>
      <c r="H22" s="11">
        <f t="shared" si="0"/>
        <v>460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-105246</v>
      </c>
      <c r="C23" s="11">
        <v>181</v>
      </c>
      <c r="D23" s="11"/>
      <c r="E23" s="11">
        <v>-105042</v>
      </c>
      <c r="F23" s="11"/>
      <c r="G23" s="11"/>
      <c r="H23" s="11">
        <f t="shared" si="0"/>
        <v>385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-68306</v>
      </c>
      <c r="C24" s="11">
        <v>-5740</v>
      </c>
      <c r="D24" s="11"/>
      <c r="E24" s="11">
        <v>-59000</v>
      </c>
      <c r="F24" s="11"/>
      <c r="G24" s="11"/>
      <c r="H24" s="11">
        <f t="shared" si="0"/>
        <v>3566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-45286</v>
      </c>
      <c r="C25" s="11">
        <v>181</v>
      </c>
      <c r="D25" s="11"/>
      <c r="E25" s="11">
        <v>-45000</v>
      </c>
      <c r="F25" s="11"/>
      <c r="G25" s="11"/>
      <c r="H25" s="11">
        <f t="shared" si="0"/>
        <v>467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-44808</v>
      </c>
      <c r="C26" s="11">
        <v>181</v>
      </c>
      <c r="D26" s="11"/>
      <c r="E26" s="11">
        <v>-45000</v>
      </c>
      <c r="F26" s="11"/>
      <c r="G26" s="11"/>
      <c r="H26" s="11">
        <f t="shared" si="0"/>
        <v>-11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-44785</v>
      </c>
      <c r="C27" s="11">
        <v>181</v>
      </c>
      <c r="D27" s="11"/>
      <c r="E27" s="11">
        <v>-45000</v>
      </c>
      <c r="F27" s="11"/>
      <c r="G27" s="11"/>
      <c r="H27" s="11">
        <f t="shared" si="0"/>
        <v>-34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-44945</v>
      </c>
      <c r="C28" s="11">
        <v>181</v>
      </c>
      <c r="D28" s="11"/>
      <c r="E28" s="11">
        <v>-45000</v>
      </c>
      <c r="F28" s="11"/>
      <c r="G28" s="11"/>
      <c r="H28" s="11">
        <f t="shared" si="0"/>
        <v>126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-45020</v>
      </c>
      <c r="C29" s="11">
        <v>181</v>
      </c>
      <c r="D29" s="11"/>
      <c r="E29" s="11">
        <v>-45000</v>
      </c>
      <c r="F29" s="11"/>
      <c r="G29" s="11"/>
      <c r="H29" s="11">
        <f t="shared" si="0"/>
        <v>201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-15745</v>
      </c>
      <c r="C30" s="11">
        <v>-9819</v>
      </c>
      <c r="D30" s="11"/>
      <c r="E30" s="11">
        <v>-5000</v>
      </c>
      <c r="F30" s="11"/>
      <c r="G30" s="11"/>
      <c r="H30" s="11">
        <f t="shared" si="0"/>
        <v>926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-46778</v>
      </c>
      <c r="C31" s="11">
        <v>-28318</v>
      </c>
      <c r="D31" s="129"/>
      <c r="E31" s="11">
        <v>-18482</v>
      </c>
      <c r="F31" s="11"/>
      <c r="G31" s="11"/>
      <c r="H31" s="11">
        <f t="shared" si="0"/>
        <v>-22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-39249</v>
      </c>
      <c r="C32" s="11">
        <v>-23985</v>
      </c>
      <c r="D32" s="11"/>
      <c r="E32" s="11">
        <v>-13831</v>
      </c>
      <c r="F32" s="11"/>
      <c r="G32" s="11"/>
      <c r="H32" s="11">
        <f t="shared" si="0"/>
        <v>1433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-38860</v>
      </c>
      <c r="C33" s="11">
        <v>-23985</v>
      </c>
      <c r="D33" s="11"/>
      <c r="E33" s="11">
        <v>-15000</v>
      </c>
      <c r="F33" s="11"/>
      <c r="G33" s="11"/>
      <c r="H33" s="11">
        <f t="shared" si="0"/>
        <v>-125</v>
      </c>
      <c r="J33" s="104"/>
      <c r="K33" s="105"/>
    </row>
    <row r="34" spans="1:14" x14ac:dyDescent="0.2">
      <c r="A34" s="41">
        <v>31</v>
      </c>
      <c r="B34" s="42">
        <v>-39202</v>
      </c>
      <c r="C34" s="42">
        <v>-23985</v>
      </c>
      <c r="D34" s="42"/>
      <c r="E34" s="42">
        <v>-13819</v>
      </c>
      <c r="F34" s="42"/>
      <c r="G34" s="42"/>
      <c r="H34" s="42">
        <f t="shared" si="0"/>
        <v>1398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-1165918</v>
      </c>
      <c r="C35" s="44">
        <f t="shared" si="3"/>
        <v>-133483</v>
      </c>
      <c r="D35" s="11">
        <f t="shared" si="3"/>
        <v>0</v>
      </c>
      <c r="E35" s="44">
        <f t="shared" si="3"/>
        <v>-1006789</v>
      </c>
      <c r="F35" s="11">
        <f t="shared" si="3"/>
        <v>0</v>
      </c>
      <c r="G35" s="11">
        <f t="shared" si="3"/>
        <v>0</v>
      </c>
      <c r="H35" s="11">
        <f t="shared" si="3"/>
        <v>25646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57703.5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8">
        <v>37225</v>
      </c>
      <c r="F38" s="485"/>
      <c r="G38" s="265"/>
      <c r="H38" s="519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5"/>
      <c r="G39" s="485"/>
      <c r="H39" s="322">
        <f>+H38+H37</f>
        <v>-68258.31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9"/>
      <c r="F40" s="263"/>
      <c r="G40" s="48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9"/>
      <c r="F41" s="263"/>
      <c r="G41" s="48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0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25646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90"/>
      <c r="F49" s="129"/>
      <c r="G49" s="129"/>
      <c r="H49" s="129"/>
      <c r="I49" s="49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-212126</v>
      </c>
      <c r="E22" s="11">
        <v>-217189</v>
      </c>
      <c r="F22" s="11"/>
      <c r="G22" s="11"/>
      <c r="H22" s="24">
        <f t="shared" si="0"/>
        <v>-5063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-211225</v>
      </c>
      <c r="E23" s="11">
        <v>-215567</v>
      </c>
      <c r="F23" s="11"/>
      <c r="G23" s="11"/>
      <c r="H23" s="24">
        <f t="shared" si="0"/>
        <v>-4342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-265789</v>
      </c>
      <c r="E24" s="11">
        <v>-267310</v>
      </c>
      <c r="F24" s="11"/>
      <c r="G24" s="11"/>
      <c r="H24" s="24">
        <f t="shared" si="0"/>
        <v>-1521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-247173</v>
      </c>
      <c r="E25" s="11">
        <v>-246755</v>
      </c>
      <c r="F25" s="11"/>
      <c r="G25" s="11"/>
      <c r="H25" s="24">
        <f t="shared" si="0"/>
        <v>418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-309846</v>
      </c>
      <c r="E26" s="11">
        <v>-300368</v>
      </c>
      <c r="F26" s="11"/>
      <c r="G26" s="11"/>
      <c r="H26" s="24">
        <f t="shared" si="0"/>
        <v>9478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-271662</v>
      </c>
      <c r="E27" s="11">
        <v>-269176</v>
      </c>
      <c r="F27" s="11"/>
      <c r="G27" s="11"/>
      <c r="H27" s="24">
        <f t="shared" si="0"/>
        <v>2486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-278891</v>
      </c>
      <c r="E28" s="11">
        <v>-276439</v>
      </c>
      <c r="F28" s="11"/>
      <c r="G28" s="11"/>
      <c r="H28" s="24">
        <f t="shared" si="0"/>
        <v>2452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-268906</v>
      </c>
      <c r="E29" s="11">
        <v>-273471</v>
      </c>
      <c r="F29" s="11"/>
      <c r="G29" s="11"/>
      <c r="H29" s="24">
        <f t="shared" si="0"/>
        <v>-4565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-273950</v>
      </c>
      <c r="E30" s="11">
        <v>-273479</v>
      </c>
      <c r="F30" s="11"/>
      <c r="G30" s="11"/>
      <c r="H30" s="24">
        <f t="shared" si="0"/>
        <v>471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-254236</v>
      </c>
      <c r="E31" s="11">
        <v>-251135</v>
      </c>
      <c r="F31" s="11"/>
      <c r="G31" s="11"/>
      <c r="H31" s="24">
        <f t="shared" si="0"/>
        <v>3101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-283801</v>
      </c>
      <c r="E32" s="11">
        <v>-282098</v>
      </c>
      <c r="F32" s="11"/>
      <c r="G32" s="11"/>
      <c r="H32" s="24">
        <f t="shared" si="0"/>
        <v>1703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-262837</v>
      </c>
      <c r="E33" s="11">
        <v>-260163</v>
      </c>
      <c r="F33" s="11"/>
      <c r="G33" s="11"/>
      <c r="H33" s="24">
        <f t="shared" si="0"/>
        <v>2674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-252700</v>
      </c>
      <c r="E34" s="11">
        <v>-250254</v>
      </c>
      <c r="F34" s="11"/>
      <c r="G34" s="11"/>
      <c r="H34" s="24">
        <f t="shared" si="0"/>
        <v>2446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>
        <v>-266753</v>
      </c>
      <c r="E35" s="11">
        <v>-266641</v>
      </c>
      <c r="F35" s="11"/>
      <c r="G35" s="11"/>
      <c r="H35" s="24">
        <f t="shared" si="0"/>
        <v>112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-7176871</v>
      </c>
      <c r="E36" s="11">
        <f t="shared" si="15"/>
        <v>-7153246</v>
      </c>
      <c r="F36" s="11">
        <f t="shared" si="15"/>
        <v>0</v>
      </c>
      <c r="G36" s="11">
        <f t="shared" si="15"/>
        <v>0</v>
      </c>
      <c r="H36" s="11">
        <f t="shared" si="15"/>
        <v>23522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23625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03">
        <v>64269</v>
      </c>
      <c r="D38" s="323"/>
      <c r="E38" s="506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37256</v>
      </c>
      <c r="B39" s="2" t="s">
        <v>46</v>
      </c>
      <c r="C39" s="131">
        <f>+C38+C37</f>
        <v>64166</v>
      </c>
      <c r="D39" s="252"/>
      <c r="E39" s="131">
        <f>+E38+E37</f>
        <v>-29789</v>
      </c>
      <c r="F39" s="252"/>
      <c r="G39" s="131"/>
      <c r="H39" s="131">
        <f>+H38+H36</f>
        <v>34377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04">
        <v>-1582961.01</v>
      </c>
      <c r="D44" s="205"/>
      <c r="E44" s="505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37256</v>
      </c>
      <c r="B45" s="32"/>
      <c r="C45" s="47">
        <f>+C37*summary!H4</f>
        <v>-231.75</v>
      </c>
      <c r="D45" s="205"/>
      <c r="E45" s="384">
        <f>+E37*summary!H3</f>
        <v>52920.000000000007</v>
      </c>
      <c r="F45" s="47">
        <f>+E45+C45</f>
        <v>52688.250000000007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-1583192.76</v>
      </c>
      <c r="D46" s="205"/>
      <c r="E46" s="384">
        <v>925707</v>
      </c>
      <c r="F46" s="47">
        <f>+E46+C46</f>
        <v>-657485.76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D54" sqref="D5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37">
        <f>+A45</f>
        <v>37256</v>
      </c>
      <c r="I23" s="11">
        <f>+B39</f>
        <v>4423383</v>
      </c>
      <c r="J23" s="11">
        <f>+C39</f>
        <v>4364890</v>
      </c>
      <c r="K23" s="11">
        <f>+D39</f>
        <v>383682</v>
      </c>
      <c r="L23" s="11">
        <f>+E39</f>
        <v>382621</v>
      </c>
      <c r="M23" s="42">
        <f>+J23-I23+L23-K23</f>
        <v>-59554</v>
      </c>
      <c r="N23" s="102">
        <f>+summary!H3</f>
        <v>2.2400000000000002</v>
      </c>
      <c r="O23" s="539">
        <f>+N23*M23</f>
        <v>-133400.96000000002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141551</v>
      </c>
      <c r="C24" s="11">
        <v>137557</v>
      </c>
      <c r="D24" s="11">
        <v>10423</v>
      </c>
      <c r="E24" s="11">
        <v>8883</v>
      </c>
      <c r="F24" s="11">
        <f t="shared" si="5"/>
        <v>-5534</v>
      </c>
      <c r="G24" s="268"/>
      <c r="H24" s="168"/>
      <c r="I24" s="11"/>
      <c r="J24" s="11"/>
      <c r="K24" s="11"/>
      <c r="L24" s="142"/>
      <c r="M24" s="538">
        <f>SUM(M9:M23)</f>
        <v>30246</v>
      </c>
      <c r="N24" s="102"/>
      <c r="O24" s="102">
        <f>SUM(O9:O23)</f>
        <v>434715.37999999995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144026</v>
      </c>
      <c r="C25" s="11">
        <v>141912</v>
      </c>
      <c r="D25" s="11">
        <v>10174</v>
      </c>
      <c r="E25" s="11">
        <v>10286</v>
      </c>
      <c r="F25" s="11">
        <f t="shared" si="5"/>
        <v>-2002</v>
      </c>
      <c r="G25" s="309"/>
      <c r="H25" s="536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140860</v>
      </c>
      <c r="C26" s="11">
        <v>140587</v>
      </c>
      <c r="D26" s="11">
        <v>13076</v>
      </c>
      <c r="E26" s="11">
        <v>12532</v>
      </c>
      <c r="F26" s="11">
        <f t="shared" si="5"/>
        <v>-817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143121</v>
      </c>
      <c r="C27" s="11">
        <v>141357</v>
      </c>
      <c r="D27" s="11">
        <v>11793</v>
      </c>
      <c r="E27" s="11">
        <v>12532</v>
      </c>
      <c r="F27" s="11">
        <f t="shared" si="5"/>
        <v>-1025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>
        <v>142272</v>
      </c>
      <c r="C28" s="150">
        <v>140821</v>
      </c>
      <c r="D28" s="150">
        <v>12772</v>
      </c>
      <c r="E28" s="150">
        <v>12532</v>
      </c>
      <c r="F28" s="11">
        <f t="shared" si="5"/>
        <v>-1691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>
        <v>144274</v>
      </c>
      <c r="C29" s="150">
        <v>143011</v>
      </c>
      <c r="D29" s="150">
        <v>9249</v>
      </c>
      <c r="E29" s="150">
        <v>8838</v>
      </c>
      <c r="F29" s="11">
        <f t="shared" si="5"/>
        <v>-1674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144390</v>
      </c>
      <c r="C30" s="150">
        <v>143033</v>
      </c>
      <c r="D30" s="150">
        <v>12561</v>
      </c>
      <c r="E30" s="150">
        <v>12532</v>
      </c>
      <c r="F30" s="11">
        <f t="shared" si="5"/>
        <v>-1386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142954</v>
      </c>
      <c r="C31" s="150">
        <v>142653</v>
      </c>
      <c r="D31" s="150">
        <v>13179</v>
      </c>
      <c r="E31" s="150">
        <v>12532</v>
      </c>
      <c r="F31" s="11">
        <f t="shared" si="5"/>
        <v>-948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143367</v>
      </c>
      <c r="C32" s="150">
        <v>142313</v>
      </c>
      <c r="D32" s="150">
        <v>13090</v>
      </c>
      <c r="E32" s="150">
        <v>12532</v>
      </c>
      <c r="F32" s="11">
        <f t="shared" si="5"/>
        <v>-1612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146324</v>
      </c>
      <c r="C33" s="150">
        <v>142865</v>
      </c>
      <c r="D33" s="150">
        <v>13454</v>
      </c>
      <c r="E33" s="150">
        <v>12532</v>
      </c>
      <c r="F33" s="11">
        <f t="shared" si="5"/>
        <v>-4381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143644</v>
      </c>
      <c r="C34" s="150">
        <v>140080</v>
      </c>
      <c r="D34" s="150">
        <v>13172</v>
      </c>
      <c r="E34" s="150">
        <v>12532</v>
      </c>
      <c r="F34" s="11">
        <f t="shared" si="5"/>
        <v>-4204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>
        <v>142255</v>
      </c>
      <c r="C35" s="150">
        <v>139417</v>
      </c>
      <c r="D35" s="150">
        <v>13143</v>
      </c>
      <c r="E35" s="150">
        <v>12532</v>
      </c>
      <c r="F35" s="11">
        <f t="shared" si="5"/>
        <v>-3449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141446</v>
      </c>
      <c r="C36" s="150">
        <v>138977</v>
      </c>
      <c r="D36" s="150">
        <v>13130</v>
      </c>
      <c r="E36" s="150">
        <v>12532</v>
      </c>
      <c r="F36" s="11">
        <f t="shared" si="5"/>
        <v>-3067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>
        <v>141511</v>
      </c>
      <c r="C37" s="150">
        <v>138862</v>
      </c>
      <c r="D37" s="150">
        <v>13014</v>
      </c>
      <c r="E37" s="150">
        <v>12532</v>
      </c>
      <c r="F37" s="11">
        <f t="shared" si="5"/>
        <v>-3131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>
        <v>144434</v>
      </c>
      <c r="C38" s="150">
        <v>140694</v>
      </c>
      <c r="D38" s="150">
        <v>11072</v>
      </c>
      <c r="E38" s="150">
        <v>12532</v>
      </c>
      <c r="F38" s="11">
        <f t="shared" si="5"/>
        <v>-2280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4423383</v>
      </c>
      <c r="C39" s="150">
        <f>SUM(C8:C38)</f>
        <v>4364890</v>
      </c>
      <c r="D39" s="150">
        <f>SUM(D8:D38)</f>
        <v>383682</v>
      </c>
      <c r="E39" s="150">
        <f>SUM(E8:E38)</f>
        <v>382621</v>
      </c>
      <c r="F39" s="11">
        <f t="shared" si="5"/>
        <v>-59554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5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37225</v>
      </c>
      <c r="B44" s="32"/>
      <c r="C44" s="470"/>
      <c r="D44" s="111"/>
      <c r="E44" s="470"/>
      <c r="F44" s="514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37256</v>
      </c>
      <c r="B45" s="32"/>
      <c r="C45" s="106"/>
      <c r="D45" s="106"/>
      <c r="E45" s="106"/>
      <c r="F45" s="24">
        <f>+F44+F39</f>
        <v>30246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324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37225</v>
      </c>
      <c r="B50" s="32"/>
      <c r="C50" s="32"/>
      <c r="D50" s="514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37256</v>
      </c>
      <c r="B51" s="32"/>
      <c r="C51" s="32"/>
      <c r="D51" s="355">
        <f>+F39*summary!H3</f>
        <v>-133400.96000000002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434618.37999999995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2001-12-31T21:16:32Z</cp:lastPrinted>
  <dcterms:created xsi:type="dcterms:W3CDTF">2000-03-28T16:52:23Z</dcterms:created>
  <dcterms:modified xsi:type="dcterms:W3CDTF">2014-09-03T14:22:42Z</dcterms:modified>
</cp:coreProperties>
</file>