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type_area'!$A$56:$M$91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B6" i="8"/>
  <c r="D6" i="8"/>
  <c r="D18" i="8" s="1"/>
  <c r="D30" i="8" s="1"/>
  <c r="D31" i="8" s="1"/>
  <c r="D48" i="80" s="1"/>
  <c r="D7" i="8"/>
  <c r="D8" i="8"/>
  <c r="D9" i="8"/>
  <c r="D10" i="8"/>
  <c r="D11" i="8"/>
  <c r="D12" i="8"/>
  <c r="D13" i="8"/>
  <c r="D14" i="8"/>
  <c r="D15" i="8"/>
  <c r="B16" i="8"/>
  <c r="D16" i="8"/>
  <c r="B17" i="8"/>
  <c r="D17" i="8"/>
  <c r="A29" i="8"/>
  <c r="A30" i="8"/>
  <c r="P6" i="88"/>
  <c r="P7" i="88"/>
  <c r="P8" i="88"/>
  <c r="P37" i="88" s="1"/>
  <c r="D47" i="88" s="1"/>
  <c r="D48" i="88" s="1"/>
  <c r="D45" i="80" s="1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38" i="69" s="1"/>
  <c r="D48" i="69" s="1"/>
  <c r="D49" i="69" s="1"/>
  <c r="D22" i="80" s="1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K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K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A128" i="80"/>
  <c r="D6" i="74"/>
  <c r="D7" i="74"/>
  <c r="D8" i="74"/>
  <c r="J8" i="74"/>
  <c r="J17" i="74" s="1"/>
  <c r="L8" i="74"/>
  <c r="L17" i="74" s="1"/>
  <c r="D9" i="74"/>
  <c r="J9" i="74"/>
  <c r="L9" i="74"/>
  <c r="D10" i="74"/>
  <c r="D37" i="74" s="1"/>
  <c r="D46" i="74" s="1"/>
  <c r="D47" i="74" s="1"/>
  <c r="D12" i="80" s="1"/>
  <c r="J10" i="74"/>
  <c r="L10" i="74"/>
  <c r="D11" i="74"/>
  <c r="H11" i="74"/>
  <c r="J11" i="74"/>
  <c r="L11" i="74" s="1"/>
  <c r="D12" i="74"/>
  <c r="H12" i="74"/>
  <c r="J12" i="74"/>
  <c r="L12" i="74" s="1"/>
  <c r="D13" i="74"/>
  <c r="J13" i="74"/>
  <c r="L13" i="74"/>
  <c r="D14" i="74"/>
  <c r="J14" i="74"/>
  <c r="L14" i="74" s="1"/>
  <c r="D15" i="74"/>
  <c r="D16" i="74"/>
  <c r="D17" i="74"/>
  <c r="D18" i="74"/>
  <c r="D19" i="74"/>
  <c r="I19" i="74"/>
  <c r="J19" i="74" s="1"/>
  <c r="J24" i="74" s="1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D12" i="78"/>
  <c r="D23" i="78" s="1"/>
  <c r="D24" i="78" s="1"/>
  <c r="D16" i="80" s="1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 s="1"/>
  <c r="F5" i="13"/>
  <c r="I5" i="13"/>
  <c r="J5" i="13"/>
  <c r="N5" i="13"/>
  <c r="F6" i="13"/>
  <c r="I6" i="13"/>
  <c r="J6" i="13"/>
  <c r="K6" i="13"/>
  <c r="M6" i="13" s="1"/>
  <c r="N6" i="13"/>
  <c r="F7" i="13"/>
  <c r="I7" i="13"/>
  <c r="J7" i="13"/>
  <c r="K7" i="13" s="1"/>
  <c r="M7" i="13" s="1"/>
  <c r="N7" i="13"/>
  <c r="F8" i="13"/>
  <c r="I8" i="13"/>
  <c r="J8" i="13"/>
  <c r="K8" i="13" s="1"/>
  <c r="M8" i="13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35" i="73" s="1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H35" i="73"/>
  <c r="J35" i="73"/>
  <c r="E36" i="73"/>
  <c r="J36" i="73"/>
  <c r="F39" i="73"/>
  <c r="F46" i="73"/>
  <c r="K46" i="73"/>
  <c r="B68" i="73"/>
  <c r="C68" i="73"/>
  <c r="B69" i="73"/>
  <c r="C69" i="73"/>
  <c r="B70" i="73"/>
  <c r="C70" i="73"/>
  <c r="B71" i="73"/>
  <c r="B72" i="73"/>
  <c r="C72" i="73"/>
  <c r="B75" i="73"/>
  <c r="C75" i="73"/>
  <c r="B76" i="73"/>
  <c r="C76" i="73"/>
  <c r="B79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J11" i="20"/>
  <c r="J15" i="20"/>
  <c r="B18" i="20"/>
  <c r="F39" i="20" s="1"/>
  <c r="F40" i="20" s="1"/>
  <c r="D31" i="80" s="1"/>
  <c r="B31" i="20"/>
  <c r="E38" i="20"/>
  <c r="E39" i="20"/>
  <c r="G39" i="20"/>
  <c r="G40" i="20" s="1"/>
  <c r="B46" i="20"/>
  <c r="H39" i="20" s="1"/>
  <c r="H40" i="20" s="1"/>
  <c r="H5" i="11"/>
  <c r="H6" i="11"/>
  <c r="H7" i="11"/>
  <c r="H36" i="11" s="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AC36" i="11"/>
  <c r="AE36" i="11"/>
  <c r="AP36" i="11" s="1"/>
  <c r="AI36" i="11"/>
  <c r="AL36" i="11"/>
  <c r="AM36" i="11"/>
  <c r="AN36" i="11"/>
  <c r="AO36" i="11"/>
  <c r="C37" i="11"/>
  <c r="E37" i="11"/>
  <c r="AA37" i="11"/>
  <c r="AM37" i="11" s="1"/>
  <c r="AF37" i="11"/>
  <c r="AI37" i="11"/>
  <c r="AL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E39" i="11"/>
  <c r="B75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L47" i="11" s="1"/>
  <c r="AK47" i="11"/>
  <c r="AM47" i="11"/>
  <c r="AN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46" i="75" s="1"/>
  <c r="D47" i="75" s="1"/>
  <c r="D47" i="80" s="1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36" i="5" s="1"/>
  <c r="D49" i="5" s="1"/>
  <c r="D50" i="5" s="1"/>
  <c r="D83" i="80" s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39" i="17" s="1"/>
  <c r="D48" i="17" s="1"/>
  <c r="D49" i="17" s="1"/>
  <c r="D33" i="80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34" i="67" s="1"/>
  <c r="F10" i="67"/>
  <c r="L10" i="67"/>
  <c r="N10" i="67"/>
  <c r="S10" i="67"/>
  <c r="F11" i="67"/>
  <c r="J11" i="67"/>
  <c r="L11" i="67"/>
  <c r="N11" i="67" s="1"/>
  <c r="S11" i="67"/>
  <c r="U11" i="67" s="1"/>
  <c r="F12" i="67"/>
  <c r="J12" i="67"/>
  <c r="L12" i="67"/>
  <c r="N12" i="67" s="1"/>
  <c r="S12" i="67"/>
  <c r="U12" i="67" s="1"/>
  <c r="F13" i="67"/>
  <c r="J13" i="67"/>
  <c r="L13" i="67" s="1"/>
  <c r="N13" i="67" s="1"/>
  <c r="S13" i="67"/>
  <c r="U13" i="67" s="1"/>
  <c r="F14" i="67"/>
  <c r="L14" i="67"/>
  <c r="N14" i="67"/>
  <c r="S14" i="67"/>
  <c r="F15" i="67"/>
  <c r="S15" i="67"/>
  <c r="F16" i="67"/>
  <c r="N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B6" i="65"/>
  <c r="D6" i="65" s="1"/>
  <c r="B7" i="65"/>
  <c r="D7" i="65" s="1"/>
  <c r="B8" i="65"/>
  <c r="D8" i="65" s="1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/>
  <c r="D18" i="77"/>
  <c r="K18" i="77"/>
  <c r="M18" i="77" s="1"/>
  <c r="D19" i="77"/>
  <c r="K19" i="77"/>
  <c r="M19" i="77"/>
  <c r="D20" i="77"/>
  <c r="K20" i="77"/>
  <c r="M20" i="77" s="1"/>
  <c r="D21" i="77"/>
  <c r="K21" i="77"/>
  <c r="M21" i="77" s="1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F6" i="7"/>
  <c r="Z6" i="7"/>
  <c r="AD6" i="7"/>
  <c r="AF6" i="7"/>
  <c r="F7" i="7"/>
  <c r="Z7" i="7"/>
  <c r="AD7" i="7" s="1"/>
  <c r="AF7" i="7"/>
  <c r="F8" i="7"/>
  <c r="Z8" i="7"/>
  <c r="AD8" i="7"/>
  <c r="AF8" i="7" s="1"/>
  <c r="F9" i="7"/>
  <c r="Z9" i="7"/>
  <c r="AD9" i="7" s="1"/>
  <c r="AF9" i="7"/>
  <c r="F10" i="7"/>
  <c r="Z10" i="7"/>
  <c r="AD10" i="7"/>
  <c r="AF10" i="7" s="1"/>
  <c r="F11" i="7"/>
  <c r="Z11" i="7"/>
  <c r="AD11" i="7" s="1"/>
  <c r="AF11" i="7" s="1"/>
  <c r="F12" i="7"/>
  <c r="Z12" i="7"/>
  <c r="AD12" i="7" s="1"/>
  <c r="AF12" i="7" s="1"/>
  <c r="F13" i="7"/>
  <c r="Z13" i="7"/>
  <c r="AD13" i="7" s="1"/>
  <c r="AF13" i="7" s="1"/>
  <c r="F14" i="7"/>
  <c r="Z14" i="7"/>
  <c r="AD14" i="7"/>
  <c r="AF14" i="7"/>
  <c r="F15" i="7"/>
  <c r="Z15" i="7"/>
  <c r="AD15" i="7" s="1"/>
  <c r="AF15" i="7"/>
  <c r="F16" i="7"/>
  <c r="Z16" i="7"/>
  <c r="AD16" i="7"/>
  <c r="AF16" i="7" s="1"/>
  <c r="F17" i="7"/>
  <c r="Z17" i="7"/>
  <c r="AD17" i="7" s="1"/>
  <c r="AF17" i="7"/>
  <c r="F18" i="7"/>
  <c r="AI18" i="7"/>
  <c r="F19" i="7"/>
  <c r="Z19" i="7"/>
  <c r="AD19" i="7"/>
  <c r="AF19" i="7" s="1"/>
  <c r="AH19" i="7" s="1"/>
  <c r="AG19" i="7"/>
  <c r="AG20" i="7" s="1"/>
  <c r="AG21" i="7" s="1"/>
  <c r="F20" i="7"/>
  <c r="Z20" i="7"/>
  <c r="AD20" i="7" s="1"/>
  <c r="AF20" i="7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 s="1"/>
  <c r="H10" i="9"/>
  <c r="N10" i="9"/>
  <c r="P10" i="9" s="1"/>
  <c r="H11" i="9"/>
  <c r="N11" i="9"/>
  <c r="P11" i="9" s="1"/>
  <c r="H12" i="9"/>
  <c r="L12" i="9"/>
  <c r="N12" i="9"/>
  <c r="P12" i="9"/>
  <c r="H13" i="9"/>
  <c r="N13" i="9"/>
  <c r="P13" i="9"/>
  <c r="H14" i="9"/>
  <c r="L14" i="9"/>
  <c r="N14" i="9" s="1"/>
  <c r="P14" i="9" s="1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D5" i="64"/>
  <c r="D6" i="64"/>
  <c r="D7" i="64"/>
  <c r="D8" i="64"/>
  <c r="D9" i="64"/>
  <c r="D10" i="64"/>
  <c r="B11" i="64"/>
  <c r="D11" i="64"/>
  <c r="D17" i="64" s="1"/>
  <c r="D29" i="64" s="1"/>
  <c r="D30" i="64" s="1"/>
  <c r="D35" i="80" s="1"/>
  <c r="D12" i="64"/>
  <c r="D13" i="64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J23" i="15"/>
  <c r="M23" i="15" s="1"/>
  <c r="M24" i="15" s="1"/>
  <c r="L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D39" i="15"/>
  <c r="K23" i="15" s="1"/>
  <c r="E39" i="15"/>
  <c r="AD39" i="15"/>
  <c r="AE39" i="15"/>
  <c r="AH39" i="15"/>
  <c r="AL39" i="15"/>
  <c r="AM39" i="15"/>
  <c r="AP39" i="15"/>
  <c r="AT39" i="15"/>
  <c r="A50" i="15"/>
  <c r="A51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33" i="15" s="1"/>
  <c r="C133" i="15" s="1"/>
  <c r="F127" i="15"/>
  <c r="F128" i="15"/>
  <c r="F129" i="15"/>
  <c r="F130" i="15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F169" i="15"/>
  <c r="F170" i="15"/>
  <c r="F171" i="15"/>
  <c r="F172" i="15"/>
  <c r="F173" i="15"/>
  <c r="C175" i="15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35" i="6" s="1"/>
  <c r="F40" i="6" s="1"/>
  <c r="B67" i="80" s="1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I3" i="63"/>
  <c r="H4" i="63"/>
  <c r="D38" i="77" s="1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O27" i="63"/>
  <c r="D28" i="63"/>
  <c r="O28" i="63"/>
  <c r="D29" i="63"/>
  <c r="D30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D48" i="63"/>
  <c r="J48" i="63"/>
  <c r="D49" i="63"/>
  <c r="D50" i="63"/>
  <c r="D51" i="63"/>
  <c r="D52" i="63"/>
  <c r="B121" i="63"/>
  <c r="B144" i="63"/>
  <c r="D6" i="90"/>
  <c r="D37" i="90" s="1"/>
  <c r="D47" i="90" s="1"/>
  <c r="D48" i="90" s="1"/>
  <c r="D14" i="80" s="1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P6" i="2"/>
  <c r="R6" i="2" s="1"/>
  <c r="J7" i="2"/>
  <c r="P7" i="2"/>
  <c r="R7" i="2" s="1"/>
  <c r="J8" i="2"/>
  <c r="P8" i="2"/>
  <c r="R8" i="2"/>
  <c r="J9" i="2"/>
  <c r="P9" i="2"/>
  <c r="R9" i="2"/>
  <c r="J10" i="2"/>
  <c r="P10" i="2"/>
  <c r="R10" i="2" s="1"/>
  <c r="J11" i="2"/>
  <c r="P11" i="2"/>
  <c r="R11" i="2" s="1"/>
  <c r="J12" i="2"/>
  <c r="P12" i="2"/>
  <c r="R12" i="2"/>
  <c r="J13" i="2"/>
  <c r="P13" i="2"/>
  <c r="R13" i="2"/>
  <c r="J14" i="2"/>
  <c r="P14" i="2"/>
  <c r="R14" i="2"/>
  <c r="J15" i="2"/>
  <c r="P15" i="2"/>
  <c r="R15" i="2" s="1"/>
  <c r="J16" i="2"/>
  <c r="P16" i="2"/>
  <c r="R16" i="2" s="1"/>
  <c r="J17" i="2"/>
  <c r="N17" i="2"/>
  <c r="O17" i="2"/>
  <c r="P17" i="2" s="1"/>
  <c r="R17" i="2" s="1"/>
  <c r="J18" i="2"/>
  <c r="P18" i="2"/>
  <c r="Q18" i="2"/>
  <c r="J19" i="2"/>
  <c r="J20" i="2"/>
  <c r="J21" i="2"/>
  <c r="J22" i="2"/>
  <c r="J35" i="2" s="1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 s="1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A48" i="83"/>
  <c r="A49" i="83"/>
  <c r="J40" i="2" l="1"/>
  <c r="C37" i="63" s="1"/>
  <c r="AF39" i="15"/>
  <c r="AF45" i="15" s="1"/>
  <c r="C180" i="15"/>
  <c r="C176" i="15"/>
  <c r="F176" i="15" s="1"/>
  <c r="D37" i="89"/>
  <c r="D47" i="89" s="1"/>
  <c r="D48" i="89" s="1"/>
  <c r="D39" i="80" s="1"/>
  <c r="J37" i="83"/>
  <c r="D49" i="83" s="1"/>
  <c r="D50" i="83" s="1"/>
  <c r="D41" i="80" s="1"/>
  <c r="K114" i="15"/>
  <c r="AN39" i="15"/>
  <c r="C67" i="80"/>
  <c r="F92" i="15"/>
  <c r="B101" i="15"/>
  <c r="D39" i="19"/>
  <c r="D49" i="19" s="1"/>
  <c r="D50" i="19" s="1"/>
  <c r="D20" i="80" s="1"/>
  <c r="AI19" i="7"/>
  <c r="AH20" i="7"/>
  <c r="D18" i="65"/>
  <c r="D33" i="65" s="1"/>
  <c r="D34" i="65" s="1"/>
  <c r="D26" i="80" s="1"/>
  <c r="N37" i="91"/>
  <c r="D49" i="91" s="1"/>
  <c r="D50" i="91" s="1"/>
  <c r="D42" i="80" s="1"/>
  <c r="R18" i="2"/>
  <c r="R21" i="2" s="1"/>
  <c r="D37" i="76"/>
  <c r="D47" i="76" s="1"/>
  <c r="D48" i="76" s="1"/>
  <c r="D38" i="80" s="1"/>
  <c r="F38" i="67"/>
  <c r="J35" i="70"/>
  <c r="D47" i="70" s="1"/>
  <c r="D48" i="70" s="1"/>
  <c r="D36" i="80" s="1"/>
  <c r="I40" i="20"/>
  <c r="I57" i="20" s="1"/>
  <c r="M51" i="73" s="1"/>
  <c r="M53" i="73" s="1"/>
  <c r="B77" i="73"/>
  <c r="C15" i="63"/>
  <c r="B15" i="63" s="1"/>
  <c r="F101" i="15"/>
  <c r="C101" i="15" s="1"/>
  <c r="AR39" i="15"/>
  <c r="AR45" i="15" s="1"/>
  <c r="H35" i="9"/>
  <c r="E47" i="9" s="1"/>
  <c r="E48" i="9" s="1"/>
  <c r="D34" i="80" s="1"/>
  <c r="D32" i="80"/>
  <c r="B73" i="73"/>
  <c r="B81" i="73" s="1"/>
  <c r="AH56" i="15"/>
  <c r="AH57" i="15"/>
  <c r="AQ39" i="15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B47" i="20"/>
  <c r="C47" i="20" s="1"/>
  <c r="C48" i="20" s="1"/>
  <c r="D19" i="8"/>
  <c r="D20" i="8" s="1"/>
  <c r="D24" i="8" s="1"/>
  <c r="D38" i="89"/>
  <c r="C37" i="73"/>
  <c r="D38" i="86"/>
  <c r="D37" i="16"/>
  <c r="D38" i="16" s="1"/>
  <c r="D40" i="16" s="1"/>
  <c r="B49" i="63" s="1"/>
  <c r="AV39" i="15"/>
  <c r="D35" i="28"/>
  <c r="D19" i="65"/>
  <c r="F40" i="18"/>
  <c r="F41" i="18" s="1"/>
  <c r="F43" i="18" s="1"/>
  <c r="N38" i="91"/>
  <c r="N39" i="91" s="1"/>
  <c r="N43" i="91" s="1"/>
  <c r="B30" i="63" s="1"/>
  <c r="D40" i="19"/>
  <c r="M23" i="77"/>
  <c r="D37" i="86"/>
  <c r="D47" i="86" s="1"/>
  <c r="D48" i="86" s="1"/>
  <c r="D43" i="80" s="1"/>
  <c r="F37" i="87"/>
  <c r="D47" i="87" s="1"/>
  <c r="D48" i="87" s="1"/>
  <c r="D44" i="80" s="1"/>
  <c r="N10" i="13"/>
  <c r="F39" i="18"/>
  <c r="D48" i="18" s="1"/>
  <c r="D49" i="18" s="1"/>
  <c r="D28" i="80" s="1"/>
  <c r="D37" i="12"/>
  <c r="D38" i="74"/>
  <c r="H36" i="9"/>
  <c r="H37" i="9" s="1"/>
  <c r="H39" i="9" s="1"/>
  <c r="B32" i="20"/>
  <c r="C32" i="20" s="1"/>
  <c r="C33" i="20" s="1"/>
  <c r="C78" i="73" s="1"/>
  <c r="D18" i="64"/>
  <c r="D19" i="64" s="1"/>
  <c r="D23" i="64" s="1"/>
  <c r="F40" i="71"/>
  <c r="P38" i="88"/>
  <c r="P39" i="88" s="1"/>
  <c r="P41" i="88" s="1"/>
  <c r="J4" i="80"/>
  <c r="J58" i="80" s="1"/>
  <c r="D13" i="78"/>
  <c r="D14" i="78" s="1"/>
  <c r="D18" i="78" s="1"/>
  <c r="F38" i="22"/>
  <c r="AJ28" i="15"/>
  <c r="AJ39" i="15" s="1"/>
  <c r="AJ45" i="15" s="1"/>
  <c r="AI39" i="15"/>
  <c r="F36" i="7"/>
  <c r="K36" i="73"/>
  <c r="K49" i="73" s="1"/>
  <c r="B74" i="73"/>
  <c r="J38" i="83"/>
  <c r="J39" i="83" s="1"/>
  <c r="J43" i="83" s="1"/>
  <c r="P21" i="2"/>
  <c r="P23" i="2" s="1"/>
  <c r="D38" i="90"/>
  <c r="D39" i="90" s="1"/>
  <c r="D41" i="90" s="1"/>
  <c r="B52" i="63" s="1"/>
  <c r="D39" i="69"/>
  <c r="D40" i="69" s="1"/>
  <c r="D42" i="69" s="1"/>
  <c r="N23" i="15"/>
  <c r="O23" i="15" s="1"/>
  <c r="O24" i="15" s="1"/>
  <c r="J3" i="80"/>
  <c r="D38" i="76"/>
  <c r="D37" i="81"/>
  <c r="D36" i="16"/>
  <c r="D46" i="16" s="1"/>
  <c r="D47" i="16" s="1"/>
  <c r="D37" i="80" s="1"/>
  <c r="L16" i="67"/>
  <c r="F37" i="22"/>
  <c r="D47" i="22" s="1"/>
  <c r="D48" i="22" s="1"/>
  <c r="D29" i="80" s="1"/>
  <c r="AO47" i="11"/>
  <c r="AF36" i="11"/>
  <c r="B19" i="20"/>
  <c r="C19" i="20" s="1"/>
  <c r="C20" i="20" s="1"/>
  <c r="D38" i="85"/>
  <c r="H41" i="73"/>
  <c r="C71" i="73"/>
  <c r="F36" i="73"/>
  <c r="J5" i="80"/>
  <c r="J59" i="80" s="1"/>
  <c r="S16" i="67"/>
  <c r="J40" i="17"/>
  <c r="J41" i="17" s="1"/>
  <c r="J43" i="17" s="1"/>
  <c r="F39" i="71"/>
  <c r="D49" i="71" s="1"/>
  <c r="D50" i="71" s="1"/>
  <c r="D46" i="80" s="1"/>
  <c r="S12" i="2"/>
  <c r="F39" i="15"/>
  <c r="D37" i="77"/>
  <c r="D49" i="77" s="1"/>
  <c r="D50" i="77" s="1"/>
  <c r="D15" i="80" s="1"/>
  <c r="E45" i="11"/>
  <c r="H39" i="11"/>
  <c r="C25" i="63" s="1"/>
  <c r="D37" i="85"/>
  <c r="D47" i="85" s="1"/>
  <c r="D48" i="85" s="1"/>
  <c r="D40" i="80" s="1"/>
  <c r="K5" i="13"/>
  <c r="D38" i="79"/>
  <c r="D39" i="72"/>
  <c r="C39" i="11"/>
  <c r="C45" i="11"/>
  <c r="C46" i="11" s="1"/>
  <c r="B78" i="73"/>
  <c r="D30" i="80"/>
  <c r="F39" i="5"/>
  <c r="F40" i="5" s="1"/>
  <c r="F43" i="5" s="1"/>
  <c r="C34" i="63" s="1"/>
  <c r="J36" i="70"/>
  <c r="J37" i="70" s="1"/>
  <c r="J41" i="70" s="1"/>
  <c r="AM16" i="11"/>
  <c r="M9" i="74"/>
  <c r="M10" i="74" s="1"/>
  <c r="M11" i="74" s="1"/>
  <c r="M12" i="74" s="1"/>
  <c r="M13" i="74" s="1"/>
  <c r="M14" i="74" s="1"/>
  <c r="D37" i="79"/>
  <c r="D47" i="79" s="1"/>
  <c r="D48" i="79" s="1"/>
  <c r="D13" i="80" s="1"/>
  <c r="P16" i="9"/>
  <c r="AU39" i="15"/>
  <c r="D35" i="68"/>
  <c r="D38" i="75"/>
  <c r="D39" i="75" s="1"/>
  <c r="D41" i="75" s="1"/>
  <c r="AL48" i="11"/>
  <c r="F38" i="87"/>
  <c r="F39" i="87" s="1"/>
  <c r="F41" i="87" s="1"/>
  <c r="F37" i="13"/>
  <c r="F38" i="13" s="1"/>
  <c r="F41" i="13" s="1"/>
  <c r="U10" i="67"/>
  <c r="U16" i="67" s="1"/>
  <c r="AC37" i="11"/>
  <c r="B47" i="80" l="1"/>
  <c r="C47" i="80" s="1"/>
  <c r="E47" i="80" s="1"/>
  <c r="B23" i="63"/>
  <c r="C23" i="63" s="1"/>
  <c r="B83" i="80"/>
  <c r="C83" i="80" s="1"/>
  <c r="E83" i="80" s="1"/>
  <c r="B34" i="63"/>
  <c r="D40" i="68"/>
  <c r="D46" i="68"/>
  <c r="D47" i="68" s="1"/>
  <c r="D66" i="80" s="1"/>
  <c r="B22" i="80"/>
  <c r="C22" i="80" s="1"/>
  <c r="E22" i="80" s="1"/>
  <c r="B28" i="63"/>
  <c r="C28" i="63" s="1"/>
  <c r="B34" i="80"/>
  <c r="C34" i="80" s="1"/>
  <c r="E34" i="80" s="1"/>
  <c r="B47" i="63"/>
  <c r="C47" i="63" s="1"/>
  <c r="D41" i="19"/>
  <c r="D43" i="19" s="1"/>
  <c r="C38" i="73"/>
  <c r="C40" i="73" s="1"/>
  <c r="E37" i="73"/>
  <c r="E38" i="73" s="1"/>
  <c r="C79" i="73"/>
  <c r="B8" i="63"/>
  <c r="C49" i="63"/>
  <c r="C37" i="80" s="1"/>
  <c r="E37" i="80" s="1"/>
  <c r="B37" i="80"/>
  <c r="AR48" i="15"/>
  <c r="AR51" i="15"/>
  <c r="D39" i="86"/>
  <c r="D41" i="86" s="1"/>
  <c r="F45" i="11"/>
  <c r="B14" i="80"/>
  <c r="C52" i="63"/>
  <c r="C14" i="80" s="1"/>
  <c r="E14" i="80" s="1"/>
  <c r="F39" i="22"/>
  <c r="F41" i="22" s="1"/>
  <c r="D39" i="74"/>
  <c r="D41" i="74" s="1"/>
  <c r="K19" i="74"/>
  <c r="L19" i="74" s="1"/>
  <c r="L24" i="74" s="1"/>
  <c r="L26" i="74" s="1"/>
  <c r="B42" i="80"/>
  <c r="C30" i="63"/>
  <c r="C42" i="80" s="1"/>
  <c r="E42" i="80" s="1"/>
  <c r="D39" i="89"/>
  <c r="D41" i="89" s="1"/>
  <c r="B44" i="63" s="1"/>
  <c r="M5" i="13"/>
  <c r="K13" i="13"/>
  <c r="E48" i="7"/>
  <c r="E49" i="7" s="1"/>
  <c r="D76" i="80" s="1"/>
  <c r="F41" i="7"/>
  <c r="D68" i="80"/>
  <c r="F46" i="11"/>
  <c r="D75" i="80" s="1"/>
  <c r="B16" i="80"/>
  <c r="C16" i="80" s="1"/>
  <c r="E16" i="80" s="1"/>
  <c r="B42" i="63"/>
  <c r="C42" i="63" s="1"/>
  <c r="B48" i="80"/>
  <c r="C48" i="80" s="1"/>
  <c r="E48" i="80" s="1"/>
  <c r="B33" i="63"/>
  <c r="C33" i="63" s="1"/>
  <c r="D39" i="77"/>
  <c r="D41" i="77" s="1"/>
  <c r="D17" i="80"/>
  <c r="B33" i="80"/>
  <c r="C33" i="80" s="1"/>
  <c r="E33" i="80" s="1"/>
  <c r="B13" i="63"/>
  <c r="C13" i="63" s="1"/>
  <c r="B10" i="63"/>
  <c r="C10" i="63" s="1"/>
  <c r="B35" i="80"/>
  <c r="C35" i="80" s="1"/>
  <c r="E35" i="80" s="1"/>
  <c r="D46" i="12"/>
  <c r="D47" i="12" s="1"/>
  <c r="D74" i="80" s="1"/>
  <c r="D40" i="12"/>
  <c r="D51" i="15"/>
  <c r="D52" i="15" s="1"/>
  <c r="D73" i="80" s="1"/>
  <c r="F45" i="15"/>
  <c r="C27" i="63" s="1"/>
  <c r="B41" i="80"/>
  <c r="C41" i="80" s="1"/>
  <c r="E41" i="80" s="1"/>
  <c r="B50" i="63"/>
  <c r="C50" i="63" s="1"/>
  <c r="C57" i="20"/>
  <c r="F51" i="73" s="1"/>
  <c r="C77" i="73"/>
  <c r="B9" i="63"/>
  <c r="AH21" i="7"/>
  <c r="AI21" i="7" s="1"/>
  <c r="AI20" i="7"/>
  <c r="B102" i="15"/>
  <c r="AN45" i="15"/>
  <c r="B36" i="80"/>
  <c r="C36" i="80" s="1"/>
  <c r="E36" i="80" s="1"/>
  <c r="B36" i="63"/>
  <c r="C36" i="63" s="1"/>
  <c r="J57" i="80"/>
  <c r="C75" i="80"/>
  <c r="B28" i="80"/>
  <c r="C28" i="80" s="1"/>
  <c r="E28" i="80" s="1"/>
  <c r="B19" i="63"/>
  <c r="C19" i="63" s="1"/>
  <c r="D20" i="65"/>
  <c r="D24" i="65" s="1"/>
  <c r="B11" i="63"/>
  <c r="C11" i="63" s="1"/>
  <c r="B27" i="80"/>
  <c r="C27" i="80" s="1"/>
  <c r="E27" i="80" s="1"/>
  <c r="D42" i="72"/>
  <c r="D48" i="72"/>
  <c r="D49" i="72" s="1"/>
  <c r="D82" i="80" s="1"/>
  <c r="D46" i="81"/>
  <c r="D47" i="81" s="1"/>
  <c r="D81" i="80" s="1"/>
  <c r="D41" i="81"/>
  <c r="B22" i="63"/>
  <c r="C22" i="63" s="1"/>
  <c r="B45" i="80"/>
  <c r="C45" i="80" s="1"/>
  <c r="E45" i="80" s="1"/>
  <c r="D40" i="28"/>
  <c r="D46" i="28"/>
  <c r="D47" i="28" s="1"/>
  <c r="D69" i="80" s="1"/>
  <c r="D44" i="67"/>
  <c r="D45" i="67" s="1"/>
  <c r="D80" i="80" s="1"/>
  <c r="D84" i="80" s="1"/>
  <c r="D47" i="2"/>
  <c r="D48" i="2" s="1"/>
  <c r="D49" i="80"/>
  <c r="B68" i="80"/>
  <c r="C68" i="80" s="1"/>
  <c r="E68" i="80" s="1"/>
  <c r="B25" i="63"/>
  <c r="B45" i="63"/>
  <c r="C45" i="63" s="1"/>
  <c r="B44" i="80"/>
  <c r="C44" i="80" s="1"/>
  <c r="E44" i="80" s="1"/>
  <c r="D39" i="79"/>
  <c r="D41" i="79" s="1"/>
  <c r="D39" i="85"/>
  <c r="D41" i="85" s="1"/>
  <c r="D39" i="76"/>
  <c r="D41" i="76" s="1"/>
  <c r="F41" i="71"/>
  <c r="F43" i="71" s="1"/>
  <c r="AH6" i="7"/>
  <c r="AI5" i="7"/>
  <c r="B80" i="80"/>
  <c r="C16" i="63"/>
  <c r="B16" i="63" s="1"/>
  <c r="D46" i="6"/>
  <c r="D47" i="6" s="1"/>
  <c r="D67" i="80" s="1"/>
  <c r="E67" i="80" s="1"/>
  <c r="C21" i="80"/>
  <c r="B37" i="63"/>
  <c r="B21" i="80" s="1"/>
  <c r="B69" i="80" l="1"/>
  <c r="C69" i="80" s="1"/>
  <c r="E69" i="80" s="1"/>
  <c r="C21" i="63"/>
  <c r="B21" i="63" s="1"/>
  <c r="C73" i="73"/>
  <c r="B41" i="63"/>
  <c r="C80" i="80"/>
  <c r="B26" i="80"/>
  <c r="B24" i="63"/>
  <c r="C24" i="63" s="1"/>
  <c r="B103" i="15"/>
  <c r="B105" i="15" s="1"/>
  <c r="F105" i="15" s="1"/>
  <c r="F102" i="15"/>
  <c r="F103" i="15" s="1"/>
  <c r="C103" i="15" s="1"/>
  <c r="B73" i="80"/>
  <c r="B27" i="63"/>
  <c r="B20" i="80"/>
  <c r="B35" i="63"/>
  <c r="C35" i="63" s="1"/>
  <c r="B43" i="80"/>
  <c r="C43" i="80" s="1"/>
  <c r="E43" i="80" s="1"/>
  <c r="B20" i="63"/>
  <c r="C20" i="63" s="1"/>
  <c r="D77" i="80"/>
  <c r="B76" i="80"/>
  <c r="C76" i="80" s="1"/>
  <c r="E76" i="80" s="1"/>
  <c r="C48" i="63"/>
  <c r="B48" i="63" s="1"/>
  <c r="B12" i="80"/>
  <c r="B18" i="63"/>
  <c r="C18" i="63" s="1"/>
  <c r="C12" i="63"/>
  <c r="B12" i="63" s="1"/>
  <c r="B38" i="63" s="1"/>
  <c r="B66" i="80"/>
  <c r="AH7" i="7"/>
  <c r="AI6" i="7"/>
  <c r="B74" i="80"/>
  <c r="C74" i="80" s="1"/>
  <c r="E74" i="80" s="1"/>
  <c r="C46" i="63"/>
  <c r="B46" i="63" s="1"/>
  <c r="B46" i="80"/>
  <c r="C46" i="80" s="1"/>
  <c r="E46" i="80" s="1"/>
  <c r="B31" i="63"/>
  <c r="C31" i="63" s="1"/>
  <c r="B30" i="80"/>
  <c r="C9" i="63"/>
  <c r="C30" i="80" s="1"/>
  <c r="E30" i="80" s="1"/>
  <c r="B13" i="80"/>
  <c r="C13" i="80" s="1"/>
  <c r="E13" i="80" s="1"/>
  <c r="B26" i="63"/>
  <c r="C26" i="63" s="1"/>
  <c r="E40" i="73"/>
  <c r="F38" i="73"/>
  <c r="B81" i="80"/>
  <c r="C81" i="80" s="1"/>
  <c r="E81" i="80" s="1"/>
  <c r="C51" i="63"/>
  <c r="B51" i="63" s="1"/>
  <c r="B15" i="80"/>
  <c r="C15" i="80" s="1"/>
  <c r="E15" i="80" s="1"/>
  <c r="B43" i="63"/>
  <c r="C43" i="63" s="1"/>
  <c r="B29" i="80"/>
  <c r="C29" i="80" s="1"/>
  <c r="E29" i="80" s="1"/>
  <c r="B14" i="63"/>
  <c r="C14" i="63" s="1"/>
  <c r="E75" i="80"/>
  <c r="B38" i="80"/>
  <c r="C38" i="80" s="1"/>
  <c r="E38" i="80" s="1"/>
  <c r="B32" i="63"/>
  <c r="C32" i="63" s="1"/>
  <c r="N11" i="13"/>
  <c r="M13" i="13"/>
  <c r="B31" i="80"/>
  <c r="C31" i="80" s="1"/>
  <c r="E31" i="80" s="1"/>
  <c r="M15" i="63"/>
  <c r="C8" i="63"/>
  <c r="D21" i="80"/>
  <c r="D23" i="80" s="1"/>
  <c r="D51" i="80" s="1"/>
  <c r="E21" i="80"/>
  <c r="B40" i="80"/>
  <c r="C40" i="80" s="1"/>
  <c r="E40" i="80" s="1"/>
  <c r="B17" i="63"/>
  <c r="C17" i="63" s="1"/>
  <c r="B82" i="80"/>
  <c r="C82" i="80" s="1"/>
  <c r="E82" i="80" s="1"/>
  <c r="C29" i="63"/>
  <c r="B29" i="63" s="1"/>
  <c r="B39" i="80"/>
  <c r="C44" i="63"/>
  <c r="C39" i="80" s="1"/>
  <c r="E39" i="80" s="1"/>
  <c r="F37" i="73"/>
  <c r="D70" i="80"/>
  <c r="D86" i="80" s="1"/>
  <c r="C26" i="80" l="1"/>
  <c r="B84" i="80"/>
  <c r="B23" i="80"/>
  <c r="C20" i="80"/>
  <c r="C84" i="80"/>
  <c r="E80" i="80"/>
  <c r="E84" i="80" s="1"/>
  <c r="C66" i="80"/>
  <c r="B70" i="80"/>
  <c r="C12" i="80"/>
  <c r="B17" i="80"/>
  <c r="B51" i="80"/>
  <c r="C73" i="80"/>
  <c r="B77" i="80"/>
  <c r="B86" i="80" s="1"/>
  <c r="C74" i="73"/>
  <c r="C81" i="73" s="1"/>
  <c r="C82" i="73" s="1"/>
  <c r="F40" i="73"/>
  <c r="F49" i="73" s="1"/>
  <c r="F53" i="73" s="1"/>
  <c r="B32" i="80"/>
  <c r="C32" i="80" s="1"/>
  <c r="E32" i="80" s="1"/>
  <c r="C41" i="63"/>
  <c r="C53" i="63" s="1"/>
  <c r="B53" i="63"/>
  <c r="B55" i="63" s="1"/>
  <c r="C38" i="63"/>
  <c r="AI7" i="7"/>
  <c r="AH8" i="7"/>
  <c r="AI8" i="7" l="1"/>
  <c r="AH9" i="7"/>
  <c r="C70" i="80"/>
  <c r="C86" i="80" s="1"/>
  <c r="B89" i="80" s="1"/>
  <c r="E66" i="80"/>
  <c r="E20" i="80"/>
  <c r="E23" i="80" s="1"/>
  <c r="C23" i="80"/>
  <c r="C55" i="63"/>
  <c r="E12" i="80"/>
  <c r="C17" i="80"/>
  <c r="C51" i="80" s="1"/>
  <c r="B90" i="80" s="1"/>
  <c r="C77" i="80"/>
  <c r="E73" i="80"/>
  <c r="E77" i="80" s="1"/>
  <c r="B49" i="80"/>
  <c r="E26" i="80"/>
  <c r="E49" i="80" s="1"/>
  <c r="C49" i="80"/>
  <c r="E70" i="80" l="1"/>
  <c r="E86" i="80" s="1"/>
  <c r="E17" i="80"/>
  <c r="E51" i="80"/>
  <c r="AH10" i="7"/>
  <c r="AI9" i="7"/>
  <c r="AH11" i="7" l="1"/>
  <c r="AI10" i="7"/>
  <c r="AI11" i="7" l="1"/>
  <c r="AH12" i="7"/>
  <c r="AH13" i="7" l="1"/>
  <c r="AI12" i="7"/>
  <c r="AH14" i="7" l="1"/>
  <c r="AI13" i="7"/>
  <c r="AH15" i="7" l="1"/>
  <c r="AI14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<sst xmlns="http://schemas.openxmlformats.org/spreadsheetml/2006/main" count="926" uniqueCount="323">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</sst>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2.41</v>
          </cell>
          <cell r="K39">
            <v>2.36</v>
          </cell>
          <cell r="M39">
            <v>2.39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4" workbookViewId="0">
      <selection activeCell="H42" sqref="H42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I2" s="390" t="s">
        <v>78</v>
      </c>
      <c r="J2" s="393"/>
      <c r="K2" s="32"/>
    </row>
    <row r="3" spans="1:32" ht="12.95" customHeight="1" x14ac:dyDescent="0.2">
      <c r="D3" s="7"/>
      <c r="I3" s="391" t="s">
        <v>29</v>
      </c>
      <c r="J3" s="394">
        <f>+summary!H3</f>
        <v>2.36</v>
      </c>
      <c r="K3" s="410">
        <f ca="1">NOW()</f>
        <v>41885.682478587965</v>
      </c>
    </row>
    <row r="4" spans="1:32" ht="12.95" customHeight="1" x14ac:dyDescent="0.2">
      <c r="A4" s="34" t="s">
        <v>145</v>
      </c>
      <c r="C4" s="34" t="s">
        <v>5</v>
      </c>
      <c r="D4" s="7"/>
      <c r="I4" s="392" t="s">
        <v>30</v>
      </c>
      <c r="J4" s="394">
        <f>+summary!H4</f>
        <v>2.39</v>
      </c>
      <c r="K4" s="32"/>
    </row>
    <row r="5" spans="1:32" ht="12.95" customHeight="1" x14ac:dyDescent="0.2">
      <c r="D5" s="7"/>
      <c r="I5" s="391" t="s">
        <v>117</v>
      </c>
      <c r="J5" s="394">
        <f>+summary!H5</f>
        <v>2.41</v>
      </c>
      <c r="K5" s="32"/>
    </row>
    <row r="6" spans="1:32" ht="6.95" customHeight="1" x14ac:dyDescent="0.2"/>
    <row r="7" spans="1:32" ht="12.95" customHeight="1" x14ac:dyDescent="0.2">
      <c r="A7" s="408" t="s">
        <v>163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155</v>
      </c>
    </row>
    <row r="12" spans="1:32" ht="13.5" customHeight="1" outlineLevel="1" x14ac:dyDescent="0.2">
      <c r="A12" s="539" t="s">
        <v>127</v>
      </c>
      <c r="B12" s="351">
        <f>+Calpine!D41</f>
        <v>178743.41</v>
      </c>
      <c r="C12" s="376">
        <f>+B12/$J$4</f>
        <v>74788.037656903762</v>
      </c>
      <c r="D12" s="14">
        <f>+Calpine!D47</f>
        <v>173122</v>
      </c>
      <c r="E12" s="70">
        <f>+C12-D12</f>
        <v>-98333.962343096238</v>
      </c>
      <c r="F12" s="371">
        <f>+Calpine!A41</f>
        <v>37259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68698.61</v>
      </c>
      <c r="C13" s="375">
        <f>+B13/$J$4</f>
        <v>28744.188284518827</v>
      </c>
      <c r="D13" s="14">
        <f>+'Citizens-Griffith'!D48</f>
        <v>36551</v>
      </c>
      <c r="E13" s="70">
        <f>+C13-D13</f>
        <v>-7806.8117154811735</v>
      </c>
      <c r="F13" s="371">
        <f>+'Citizens-Griffith'!A41</f>
        <v>37259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302</v>
      </c>
      <c r="B14" s="351">
        <f>+summary!$B$52</f>
        <v>-19711.260000000002</v>
      </c>
      <c r="C14" s="375">
        <f>+summary!$C$52</f>
        <v>-8247.3891213389124</v>
      </c>
      <c r="D14" s="14">
        <f>+SWGasTrans!$D$48</f>
        <v>4295</v>
      </c>
      <c r="E14" s="70">
        <f>+C14-D14</f>
        <v>-12542.389121338912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-355805</v>
      </c>
      <c r="C15" s="375">
        <f>+B15/$J$4</f>
        <v>-148872.38493723847</v>
      </c>
      <c r="D15" s="14">
        <f>+'NS Steel'!D50</f>
        <v>-44621</v>
      </c>
      <c r="E15" s="70">
        <f>+C15-D15</f>
        <v>-104251.38493723847</v>
      </c>
      <c r="F15" s="372">
        <f>+'NS Steel'!A41</f>
        <v>37256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39" t="s">
        <v>135</v>
      </c>
      <c r="B16" s="354">
        <f>+Citizens!D18</f>
        <v>-542387.86</v>
      </c>
      <c r="C16" s="377">
        <f>+B16/$J$4</f>
        <v>-226940.52719665269</v>
      </c>
      <c r="D16" s="355">
        <f>+Citizens!D24</f>
        <v>-38814</v>
      </c>
      <c r="E16" s="72">
        <f>+C16-D16</f>
        <v>-188126.52719665269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5">
        <f>SUBTOTAL(9,B12:B16)</f>
        <v>-670462.1</v>
      </c>
      <c r="C17" s="401">
        <f>SUBTOTAL(9,C12:C16)</f>
        <v>-280528.07531380747</v>
      </c>
      <c r="D17" s="402">
        <f>SUBTOTAL(9,D12:D16)</f>
        <v>130533</v>
      </c>
      <c r="E17" s="403">
        <f>SUBTOTAL(9,E12:E16)</f>
        <v>-411061.07531380747</v>
      </c>
      <c r="F17" s="371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5" t="s">
        <v>57</v>
      </c>
      <c r="G19" s="7"/>
    </row>
    <row r="20" spans="1:20" ht="13.5" customHeight="1" outlineLevel="2" x14ac:dyDescent="0.2">
      <c r="A20" s="248" t="s">
        <v>71</v>
      </c>
      <c r="B20" s="352">
        <f>+transcol!$D$43</f>
        <v>12821</v>
      </c>
      <c r="C20" s="375">
        <f>+B20/$J$4</f>
        <v>5364.435146443514</v>
      </c>
      <c r="D20" s="14">
        <f>+transcol!D50</f>
        <v>-49782</v>
      </c>
      <c r="E20" s="70">
        <f>+C20-D20</f>
        <v>55146.435146443517</v>
      </c>
      <c r="F20" s="372">
        <f>+transcol!A43</f>
        <v>37256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39" t="s">
        <v>320</v>
      </c>
      <c r="B21" s="352">
        <f>+summary!$B$37</f>
        <v>16.52</v>
      </c>
      <c r="C21" s="375">
        <f>+summary!$C$37</f>
        <v>7</v>
      </c>
      <c r="D21" s="14">
        <f>+C21</f>
        <v>7</v>
      </c>
      <c r="E21" s="70">
        <f>+C21-D21</f>
        <v>0</v>
      </c>
      <c r="F21" s="372">
        <f>+williams!A40</f>
        <v>37259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">
      <c r="A22" s="539" t="s">
        <v>95</v>
      </c>
      <c r="B22" s="354">
        <f>+burlington!D42</f>
        <v>53789.52</v>
      </c>
      <c r="C22" s="379">
        <f>+B22/$J$3</f>
        <v>22792.169491525423</v>
      </c>
      <c r="D22" s="355">
        <f>+burlington!D49</f>
        <v>23169</v>
      </c>
      <c r="E22" s="72">
        <f>+C22-D22</f>
        <v>-376.83050847457707</v>
      </c>
      <c r="F22" s="371">
        <f>+burlington!A42</f>
        <v>37259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5">
        <f>SUBTOTAL(9,B20:B22)</f>
        <v>66627.039999999994</v>
      </c>
      <c r="C23" s="396">
        <f>SUBTOTAL(9,C20:C22)</f>
        <v>28163.604637968936</v>
      </c>
      <c r="D23" s="402">
        <f>SUBTOTAL(9,D20:D22)</f>
        <v>-26606</v>
      </c>
      <c r="E23" s="403">
        <f>SUBTOTAL(9,E20:E22)</f>
        <v>54769.604637968936</v>
      </c>
      <c r="F23" s="371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5" customHeight="1" outlineLevel="2" x14ac:dyDescent="0.2">
      <c r="A26" s="539" t="s">
        <v>87</v>
      </c>
      <c r="B26" s="351">
        <f>+NNG!$D$24</f>
        <v>80083.19</v>
      </c>
      <c r="C26" s="375">
        <f t="shared" ref="C26:C46" si="0">+B26/$J$4</f>
        <v>33507.610878661086</v>
      </c>
      <c r="D26" s="14">
        <f>+NNG!D34</f>
        <v>35031</v>
      </c>
      <c r="E26" s="70">
        <f t="shared" ref="E26:E48" si="1">+C26-D26</f>
        <v>-1523.3891213389143</v>
      </c>
      <c r="F26" s="371">
        <f>+NNG!A24</f>
        <v>36894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351">
        <f>+Conoco!$F$41</f>
        <v>454248.26</v>
      </c>
      <c r="C27" s="375">
        <f t="shared" si="0"/>
        <v>190062.03347280333</v>
      </c>
      <c r="D27" s="14">
        <f>+Conoco!D48</f>
        <v>38724</v>
      </c>
      <c r="E27" s="70">
        <f t="shared" si="1"/>
        <v>151338.03347280333</v>
      </c>
      <c r="F27" s="371">
        <f>+Conoco!A41</f>
        <v>37259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176073.11</v>
      </c>
      <c r="C28" s="375">
        <f t="shared" si="0"/>
        <v>73670.757322175719</v>
      </c>
      <c r="D28" s="14">
        <f>+'Amoco Abo'!D49</f>
        <v>-356545</v>
      </c>
      <c r="E28" s="70">
        <f t="shared" si="1"/>
        <v>430215.75732217572</v>
      </c>
      <c r="F28" s="372">
        <f>+'Amoco Abo'!A43</f>
        <v>37259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351">
        <f>+KN_Westar!F41</f>
        <v>385015.89</v>
      </c>
      <c r="C29" s="375">
        <f t="shared" si="0"/>
        <v>161094.51464435147</v>
      </c>
      <c r="D29" s="14">
        <f>+KN_Westar!D48</f>
        <v>-9522</v>
      </c>
      <c r="E29" s="70">
        <f t="shared" si="1"/>
        <v>170616.51464435147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39" t="s">
        <v>258</v>
      </c>
      <c r="B30" s="351">
        <f>+summary!$B$9</f>
        <v>1214345.6599999999</v>
      </c>
      <c r="C30" s="375">
        <f>+summary!$C$9</f>
        <v>503877.86721991695</v>
      </c>
      <c r="D30" s="14">
        <f>+Duke!$G$40+Duke!$H$40+Duke!$I$53+Duke!$I$54</f>
        <v>359988</v>
      </c>
      <c r="E30" s="70">
        <f t="shared" si="1"/>
        <v>143889.86721991695</v>
      </c>
      <c r="F30" s="372">
        <f>+Duke!A42</f>
        <v>37256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39" t="s">
        <v>251</v>
      </c>
      <c r="B31" s="351">
        <f>+summary!$B$8</f>
        <v>1537446.14</v>
      </c>
      <c r="C31" s="376">
        <f>+B31/$J$5</f>
        <v>637944.45643153519</v>
      </c>
      <c r="D31" s="14">
        <f>+Duke!$F$40</f>
        <v>381295</v>
      </c>
      <c r="E31" s="70">
        <f t="shared" si="1"/>
        <v>256649.45643153519</v>
      </c>
      <c r="F31" s="372">
        <f>+Duke!A7</f>
        <v>37256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39" t="s">
        <v>250</v>
      </c>
      <c r="B32" s="491">
        <f>+summary!$B$41</f>
        <v>-2743513.8400000003</v>
      </c>
      <c r="C32" s="376">
        <f>+B32/$J$5</f>
        <v>-1138387.4854771786</v>
      </c>
      <c r="D32" s="14">
        <f>+DEFS!$I$36+DEFS!$J$36+DEFS!$K$45+DEFS!$K$46+DEFS!$K$47+DEFS!$K$48</f>
        <v>-410728</v>
      </c>
      <c r="E32" s="70">
        <f t="shared" si="1"/>
        <v>-727659.48547717859</v>
      </c>
      <c r="F32" s="372">
        <f>+DEFS!A40</f>
        <v>36894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351">
        <f>+mewborne!$J$43</f>
        <v>400901.54</v>
      </c>
      <c r="C33" s="375">
        <f t="shared" si="0"/>
        <v>167741.230125523</v>
      </c>
      <c r="D33" s="14">
        <f>+mewborne!D49</f>
        <v>164314</v>
      </c>
      <c r="E33" s="70">
        <f t="shared" si="1"/>
        <v>3427.2301255229977</v>
      </c>
      <c r="F33" s="372">
        <f>+mewborne!A43</f>
        <v>37259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351">
        <f>+PGETX!$H$39</f>
        <v>-68258</v>
      </c>
      <c r="C34" s="375">
        <f t="shared" si="0"/>
        <v>-28559.832635983261</v>
      </c>
      <c r="D34" s="14">
        <f>+PGETX!E48</f>
        <v>-5084</v>
      </c>
      <c r="E34" s="70">
        <f t="shared" si="1"/>
        <v>-23475.832635983261</v>
      </c>
      <c r="F34" s="372">
        <f>+PGETX!E39</f>
        <v>37256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733812.83</v>
      </c>
      <c r="C35" s="375">
        <f t="shared" si="0"/>
        <v>307034.65690376563</v>
      </c>
      <c r="D35" s="14">
        <f>+PNM!D30</f>
        <v>292087</v>
      </c>
      <c r="E35" s="70">
        <f t="shared" si="1"/>
        <v>14947.65690376563</v>
      </c>
      <c r="F35" s="372">
        <f>+PNM!A23</f>
        <v>37259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351">
        <f>+EOG!J41</f>
        <v>4885</v>
      </c>
      <c r="C36" s="375">
        <f t="shared" si="0"/>
        <v>2043.9330543933054</v>
      </c>
      <c r="D36" s="14">
        <f>+EOG!D48</f>
        <v>-125383</v>
      </c>
      <c r="E36" s="70">
        <f t="shared" si="1"/>
        <v>127426.9330543933</v>
      </c>
      <c r="F36" s="371">
        <f>+EOG!A41</f>
        <v>37256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+summary!$B$49</f>
        <v>-32679.61</v>
      </c>
      <c r="C37" s="375">
        <f>+summary!$C$49</f>
        <v>-13560.004149377593</v>
      </c>
      <c r="D37" s="14">
        <f>+Oasis!D47</f>
        <v>-17965</v>
      </c>
      <c r="E37" s="70">
        <f>+C37-D37</f>
        <v>4404.9958506224066</v>
      </c>
      <c r="F37" s="371">
        <f>+Oasis!A40</f>
        <v>37259</v>
      </c>
      <c r="G37" s="203"/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351">
        <f>+SidR!D41</f>
        <v>32728.29</v>
      </c>
      <c r="C38" s="375">
        <f>+B38/$J$5</f>
        <v>13580.203319502074</v>
      </c>
      <c r="D38" s="14">
        <f>+SidR!D48</f>
        <v>16067</v>
      </c>
      <c r="E38" s="70">
        <f t="shared" si="1"/>
        <v>-2486.796680497926</v>
      </c>
      <c r="F38" s="372">
        <f>+SidR!A41</f>
        <v>37259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39" t="s">
        <v>262</v>
      </c>
      <c r="B39" s="351">
        <f>+summary!$B$44</f>
        <v>-195699.5</v>
      </c>
      <c r="C39" s="375">
        <f>+summary!$C$44</f>
        <v>-81203.112033195022</v>
      </c>
      <c r="D39" s="14">
        <f>+MiVida_Rich!D48</f>
        <v>-47898</v>
      </c>
      <c r="E39" s="70">
        <f>+C39-D39</f>
        <v>-33305.112033195022</v>
      </c>
      <c r="F39" s="372">
        <f>+MiVida_Rich!A41</f>
        <v>37225</v>
      </c>
      <c r="G39" s="203"/>
      <c r="H39" s="32" t="s">
        <v>102</v>
      </c>
      <c r="I39" s="32"/>
      <c r="J39" s="32"/>
      <c r="K39" s="32"/>
    </row>
    <row r="40" spans="1:11" ht="14.1" customHeight="1" x14ac:dyDescent="0.2">
      <c r="A40" s="248" t="s">
        <v>208</v>
      </c>
      <c r="B40" s="351">
        <f>+Dominion!D41</f>
        <v>179800.64</v>
      </c>
      <c r="C40" s="375">
        <f>+B40/$J$5</f>
        <v>74606.074688796682</v>
      </c>
      <c r="D40" s="14">
        <f>+Dominion!D48</f>
        <v>78897</v>
      </c>
      <c r="E40" s="70">
        <f t="shared" si="1"/>
        <v>-4290.9253112033184</v>
      </c>
      <c r="F40" s="372">
        <f>+Dominion!A41</f>
        <v>37259</v>
      </c>
      <c r="G40" s="203"/>
      <c r="H40" s="32" t="s">
        <v>99</v>
      </c>
      <c r="I40" s="32"/>
      <c r="J40" s="32"/>
      <c r="K40" s="32"/>
    </row>
    <row r="41" spans="1:11" ht="14.1" customHeight="1" x14ac:dyDescent="0.2">
      <c r="A41" s="248" t="s">
        <v>205</v>
      </c>
      <c r="B41" s="351">
        <f>+WTGmktg!J43</f>
        <v>-31978.880000000001</v>
      </c>
      <c r="C41" s="375">
        <f t="shared" si="0"/>
        <v>-13380.284518828452</v>
      </c>
      <c r="D41" s="14">
        <f>+WTGmktg!D50</f>
        <v>-1945</v>
      </c>
      <c r="E41" s="70">
        <f t="shared" si="1"/>
        <v>-11435.284518828452</v>
      </c>
      <c r="F41" s="372">
        <f>+WTGmktg!A43</f>
        <v>37259</v>
      </c>
      <c r="G41" s="203"/>
      <c r="H41" s="32" t="s">
        <v>115</v>
      </c>
      <c r="I41" s="32"/>
      <c r="J41" s="32"/>
      <c r="K41" s="32"/>
    </row>
    <row r="42" spans="1:11" ht="14.1" customHeight="1" x14ac:dyDescent="0.2">
      <c r="A42" s="248" t="s">
        <v>307</v>
      </c>
      <c r="B42" s="351">
        <f>+summary!$B$30</f>
        <v>34317.57</v>
      </c>
      <c r="C42" s="375">
        <f>+summary!$C$30</f>
        <v>14358.815899581588</v>
      </c>
      <c r="D42" s="14">
        <f>+'WTG inc'!D50</f>
        <v>12802</v>
      </c>
      <c r="E42" s="70">
        <f>+C42-D42</f>
        <v>1556.8158995815884</v>
      </c>
      <c r="F42" s="372">
        <f>+'WTG inc'!A43</f>
        <v>37259</v>
      </c>
      <c r="G42" s="203"/>
      <c r="H42" s="32" t="s">
        <v>115</v>
      </c>
      <c r="I42" s="32"/>
      <c r="J42" s="32"/>
      <c r="K42" s="32"/>
    </row>
    <row r="43" spans="1:11" ht="13.5" customHeight="1" x14ac:dyDescent="0.2">
      <c r="A43" s="248" t="s">
        <v>209</v>
      </c>
      <c r="B43" s="351">
        <f>+Devon!D41</f>
        <v>163700</v>
      </c>
      <c r="C43" s="375">
        <f>+B43/$J$5</f>
        <v>67925.311203319492</v>
      </c>
      <c r="D43" s="14">
        <f>+Devon!D48</f>
        <v>34970</v>
      </c>
      <c r="E43" s="70">
        <f t="shared" si="1"/>
        <v>32955.311203319492</v>
      </c>
      <c r="F43" s="372">
        <f>+Devon!A41</f>
        <v>37259</v>
      </c>
      <c r="G43" s="203"/>
      <c r="H43" s="32" t="s">
        <v>99</v>
      </c>
      <c r="I43" s="32"/>
      <c r="J43" s="32"/>
      <c r="K43" s="32"/>
    </row>
    <row r="44" spans="1:11" ht="13.5" customHeight="1" x14ac:dyDescent="0.2">
      <c r="A44" s="248" t="s">
        <v>218</v>
      </c>
      <c r="B44" s="351">
        <f>+crosstex!F41</f>
        <v>-128374.66</v>
      </c>
      <c r="C44" s="375">
        <f>+B44/$J$4</f>
        <v>-53713.246861924687</v>
      </c>
      <c r="D44" s="14">
        <f>+crosstex!D48</f>
        <v>-38813</v>
      </c>
      <c r="E44" s="70">
        <f t="shared" si="1"/>
        <v>-14900.246861924687</v>
      </c>
      <c r="F44" s="372">
        <f>+crosstex!A41</f>
        <v>37259</v>
      </c>
      <c r="G44" s="203"/>
      <c r="H44" s="32" t="s">
        <v>100</v>
      </c>
      <c r="I44" s="32"/>
      <c r="J44" s="32"/>
      <c r="K44" s="32"/>
    </row>
    <row r="45" spans="1:11" ht="13.5" customHeight="1" x14ac:dyDescent="0.2">
      <c r="A45" s="248" t="s">
        <v>219</v>
      </c>
      <c r="B45" s="351">
        <f>+Amarillo!P41</f>
        <v>114931.95</v>
      </c>
      <c r="C45" s="375">
        <f>+B45/$J$4</f>
        <v>48088.682008368196</v>
      </c>
      <c r="D45" s="14">
        <f>+Amarillo!D48</f>
        <v>48361</v>
      </c>
      <c r="E45" s="70">
        <f t="shared" si="1"/>
        <v>-272.31799163180403</v>
      </c>
      <c r="F45" s="372">
        <f>+Amarillo!A41</f>
        <v>37259</v>
      </c>
      <c r="G45" s="203"/>
      <c r="H45" s="32" t="s">
        <v>113</v>
      </c>
      <c r="I45" s="32"/>
      <c r="J45" s="32"/>
      <c r="K45" s="32"/>
    </row>
    <row r="46" spans="1:11" ht="13.5" customHeight="1" x14ac:dyDescent="0.2">
      <c r="A46" s="248" t="s">
        <v>109</v>
      </c>
      <c r="B46" s="351">
        <f>+Continental!F43</f>
        <v>34262</v>
      </c>
      <c r="C46" s="376">
        <f t="shared" si="0"/>
        <v>14335.564853556485</v>
      </c>
      <c r="D46" s="14">
        <f>+Continental!D50</f>
        <v>748</v>
      </c>
      <c r="E46" s="70">
        <f t="shared" si="1"/>
        <v>13587.564853556485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51">
        <f>+EPFS!D41</f>
        <v>84406.32</v>
      </c>
      <c r="C47" s="376">
        <f>+B47/$J$5</f>
        <v>35023.369294605807</v>
      </c>
      <c r="D47" s="14">
        <f>+EPFS!D47</f>
        <v>54334</v>
      </c>
      <c r="E47" s="70">
        <f t="shared" si="1"/>
        <v>-19310.630705394193</v>
      </c>
      <c r="F47" s="371">
        <f>+EPFS!A41</f>
        <v>37259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539" t="s">
        <v>79</v>
      </c>
      <c r="B48" s="354">
        <f>+Agave!$D$24</f>
        <v>24638.799999999996</v>
      </c>
      <c r="C48" s="377">
        <f>+B48/$J$4</f>
        <v>10309.121338912131</v>
      </c>
      <c r="D48" s="355">
        <f>+Agave!D31</f>
        <v>25860</v>
      </c>
      <c r="E48" s="72">
        <f t="shared" si="1"/>
        <v>-15550.878661087869</v>
      </c>
      <c r="F48" s="371">
        <f>+Agave!A24</f>
        <v>37259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95">
        <f>SUBTOTAL(9,B26:B48)</f>
        <v>2455092.6999999997</v>
      </c>
      <c r="C49" s="401">
        <f>SUBTOTAL(9,C26:C48)</f>
        <v>1026400.2369832802</v>
      </c>
      <c r="D49" s="402">
        <f>SUBTOTAL(9,D26:D48)</f>
        <v>529595</v>
      </c>
      <c r="E49" s="403">
        <f>SUBTOTAL(9,E26:E48)</f>
        <v>496805.23698328034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95">
        <f>SUBTOTAL(9,B12:B48)</f>
        <v>1851257.64</v>
      </c>
      <c r="C51" s="401">
        <f>SUBTOTAL(9,C12:C48)</f>
        <v>774035.7663074421</v>
      </c>
      <c r="D51" s="402">
        <f>SUBTOTAL(9,D12:D48)</f>
        <v>633522</v>
      </c>
      <c r="E51" s="403">
        <f>SUBTOTAL(9,E12:E48)</f>
        <v>140513.76630744201</v>
      </c>
      <c r="F51" s="371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">
      <c r="D57" s="7"/>
      <c r="I57" s="391" t="s">
        <v>29</v>
      </c>
      <c r="J57" s="394">
        <f>+J3</f>
        <v>2.36</v>
      </c>
      <c r="K57" s="410">
        <f ca="1">NOW()</f>
        <v>41885.682478587965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I58" s="392" t="s">
        <v>30</v>
      </c>
      <c r="J58" s="394">
        <f>+J4</f>
        <v>2.39</v>
      </c>
      <c r="K58" s="32"/>
    </row>
    <row r="59" spans="1:19" ht="13.5" customHeight="1" outlineLevel="1" x14ac:dyDescent="0.2">
      <c r="D59" s="7"/>
      <c r="I59" s="391" t="s">
        <v>117</v>
      </c>
      <c r="J59" s="394">
        <f>+J5</f>
        <v>2.41</v>
      </c>
      <c r="K59" s="32"/>
    </row>
    <row r="60" spans="1:19" ht="13.5" customHeight="1" outlineLevel="2" x14ac:dyDescent="0.2"/>
    <row r="61" spans="1:19" ht="13.5" customHeight="1" outlineLevel="2" x14ac:dyDescent="0.2">
      <c r="A61" s="408" t="s">
        <v>164</v>
      </c>
      <c r="B61" s="409"/>
      <c r="E61" s="12" t="s">
        <v>198</v>
      </c>
    </row>
    <row r="62" spans="1:19" ht="13.5" customHeight="1" outlineLevel="2" x14ac:dyDescent="0.2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73" t="s">
        <v>155</v>
      </c>
      <c r="B65" s="286"/>
      <c r="C65" s="247"/>
    </row>
    <row r="66" spans="1:11" ht="13.5" customHeight="1" outlineLevel="2" x14ac:dyDescent="0.2">
      <c r="A66" s="248" t="s">
        <v>94</v>
      </c>
      <c r="B66" s="375">
        <f>+Mojave!D40</f>
        <v>186877</v>
      </c>
      <c r="C66" s="351">
        <f>+B66*$J$4</f>
        <v>446636.03</v>
      </c>
      <c r="D66" s="47">
        <f>+Mojave!D47</f>
        <v>199942.06</v>
      </c>
      <c r="E66" s="47">
        <f>+C66-D66</f>
        <v>246693.97000000003</v>
      </c>
      <c r="F66" s="372">
        <f>+Mojave!A40</f>
        <v>37259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76">
        <f>+SoCal!F40</f>
        <v>119635</v>
      </c>
      <c r="C67" s="351">
        <f>+B67*$J$4</f>
        <v>285927.65000000002</v>
      </c>
      <c r="D67" s="47">
        <f>+SoCal!D47</f>
        <v>368280.85</v>
      </c>
      <c r="E67" s="47">
        <f>+C67-D67</f>
        <v>-82353.199999999953</v>
      </c>
      <c r="F67" s="372">
        <f>+SoCal!A40</f>
        <v>37259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179</v>
      </c>
      <c r="B68" s="375">
        <f>+'El Paso'!C39</f>
        <v>64166</v>
      </c>
      <c r="C68" s="351">
        <f>+B68*$J$4</f>
        <v>153356.74000000002</v>
      </c>
      <c r="D68" s="47">
        <f>+'El Paso'!C46</f>
        <v>-1583193</v>
      </c>
      <c r="E68" s="47">
        <f>+C68-D68</f>
        <v>1736549.74</v>
      </c>
      <c r="F68" s="372">
        <f>+'El Paso'!A39</f>
        <v>37259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77">
        <f>+'PG&amp;E'!D40</f>
        <v>59117</v>
      </c>
      <c r="C69" s="354">
        <f>+B69*$J$4</f>
        <v>141289.63</v>
      </c>
      <c r="D69" s="354">
        <f>+'PG&amp;E'!D47</f>
        <v>12562.94</v>
      </c>
      <c r="E69" s="354">
        <f>+C69-D69</f>
        <v>128726.69</v>
      </c>
      <c r="F69" s="372">
        <f>+'PG&amp;E'!A40</f>
        <v>36894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401">
        <f>SUBTOTAL(9,B66:B69)</f>
        <v>429795</v>
      </c>
      <c r="C70" s="395">
        <f>SUBTOTAL(9,C66:C69)</f>
        <v>1027210.05</v>
      </c>
      <c r="D70" s="395">
        <f>SUBTOTAL(9,D66:D69)</f>
        <v>-1002407.1500000001</v>
      </c>
      <c r="E70" s="395">
        <f>SUBTOTAL(9,E66:E69)</f>
        <v>2029617.2</v>
      </c>
      <c r="F70" s="372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73" t="s">
        <v>57</v>
      </c>
      <c r="B72" s="286"/>
      <c r="C72" s="247"/>
      <c r="G72" s="203"/>
    </row>
    <row r="73" spans="1:11" x14ac:dyDescent="0.2">
      <c r="A73" s="248" t="s">
        <v>23</v>
      </c>
      <c r="B73" s="375">
        <f>+summary!$C$27</f>
        <v>23081</v>
      </c>
      <c r="C73" s="352">
        <f>+B73*J3</f>
        <v>54471.159999999996</v>
      </c>
      <c r="D73" s="200">
        <f>+'Red C'!D52</f>
        <v>417708.6</v>
      </c>
      <c r="E73" s="47">
        <f>+C73-D73</f>
        <v>-363237.44</v>
      </c>
      <c r="F73" s="371">
        <f>+'Red C'!A45</f>
        <v>37259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319</v>
      </c>
      <c r="B74" s="375">
        <f>+Amoco!D40</f>
        <v>-35347</v>
      </c>
      <c r="C74" s="351">
        <f>+B74*$J$3</f>
        <v>-83418.92</v>
      </c>
      <c r="D74" s="47">
        <f>+Amoco!D47</f>
        <v>260458.68</v>
      </c>
      <c r="E74" s="47">
        <f>+C74-D74</f>
        <v>-343877.6</v>
      </c>
      <c r="F74" s="372">
        <f>+Amoco!A40</f>
        <v>37259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180</v>
      </c>
      <c r="B75" s="375">
        <f>+'El Paso'!E39</f>
        <v>-31266</v>
      </c>
      <c r="C75" s="351">
        <f>+B75*$J$3</f>
        <v>-73787.759999999995</v>
      </c>
      <c r="D75" s="47">
        <f>+'El Paso'!F46</f>
        <v>-657486</v>
      </c>
      <c r="E75" s="47">
        <f>+C75-D75</f>
        <v>583698.24</v>
      </c>
      <c r="F75" s="372">
        <f>+'El Paso'!A39</f>
        <v>37259</v>
      </c>
      <c r="G75" s="428"/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77">
        <f>+NW!$F$41</f>
        <v>-24191</v>
      </c>
      <c r="C76" s="354">
        <f>+B76*$J$3</f>
        <v>-57090.759999999995</v>
      </c>
      <c r="D76" s="354">
        <f>+NW!E49</f>
        <v>-511860.72</v>
      </c>
      <c r="E76" s="354">
        <f>+C76-D76</f>
        <v>454769.95999999996</v>
      </c>
      <c r="F76" s="371">
        <f>+NW!B41</f>
        <v>37259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401">
        <f>SUBTOTAL(9,B73:B76)</f>
        <v>-67723</v>
      </c>
      <c r="C77" s="395">
        <f>SUBTOTAL(9,C73:C76)</f>
        <v>-159826.27999999997</v>
      </c>
      <c r="D77" s="395">
        <f>SUBTOTAL(9,D73:D76)</f>
        <v>-491179.43999999994</v>
      </c>
      <c r="E77" s="395">
        <f>SUBTOTAL(9,E73:E76)</f>
        <v>331353.15999999992</v>
      </c>
      <c r="F77" s="371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73" t="s">
        <v>159</v>
      </c>
      <c r="B79" s="286"/>
      <c r="C79" s="247"/>
      <c r="G79" s="203"/>
    </row>
    <row r="80" spans="1:11" x14ac:dyDescent="0.2">
      <c r="A80" s="248" t="s">
        <v>88</v>
      </c>
      <c r="B80" s="375">
        <f>+NGPL!F38</f>
        <v>118030</v>
      </c>
      <c r="C80" s="351">
        <f>+B80*$J$5</f>
        <v>284452.3</v>
      </c>
      <c r="D80" s="47">
        <f>+NGPL!D45</f>
        <v>300964.8</v>
      </c>
      <c r="E80" s="47">
        <f>+C80-D80</f>
        <v>-16512.5</v>
      </c>
      <c r="F80" s="372">
        <f>+NGPL!A38</f>
        <v>37259</v>
      </c>
      <c r="G80" s="203"/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75">
        <f>+PEPL!D41</f>
        <v>-10078</v>
      </c>
      <c r="C81" s="352">
        <f>+B81*$J$4</f>
        <v>-24086.420000000002</v>
      </c>
      <c r="D81" s="47">
        <f>+PEPL!D47</f>
        <v>158873.25</v>
      </c>
      <c r="E81" s="47">
        <f>+C81-D81</f>
        <v>-182959.67</v>
      </c>
      <c r="F81" s="372">
        <f>+PEPL!A41</f>
        <v>37259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16328</v>
      </c>
      <c r="C82" s="352">
        <f>+B82*$J$4</f>
        <v>39023.920000000006</v>
      </c>
      <c r="D82" s="200">
        <f>+CIG!D49</f>
        <v>383278</v>
      </c>
      <c r="E82" s="70">
        <f>+C82-D82</f>
        <v>-344254.08</v>
      </c>
      <c r="F82" s="372">
        <f>+CIG!A42</f>
        <v>37256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">
      <c r="A83" s="248" t="s">
        <v>31</v>
      </c>
      <c r="B83" s="379">
        <f>+summary!C34</f>
        <v>9686</v>
      </c>
      <c r="C83" s="354">
        <f>+B83*$J$59</f>
        <v>23343.260000000002</v>
      </c>
      <c r="D83" s="354">
        <f>+Lonestar!D50</f>
        <v>19943.240000000002</v>
      </c>
      <c r="E83" s="354">
        <f>+C83-D83</f>
        <v>3400.0200000000004</v>
      </c>
      <c r="F83" s="371">
        <f>+Lonestar!A43</f>
        <v>37256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96">
        <f>SUBTOTAL(9,B80:B83)</f>
        <v>133966</v>
      </c>
      <c r="C84" s="395">
        <f>SUBTOTAL(9,C80:C83)</f>
        <v>322733.06</v>
      </c>
      <c r="D84" s="395">
        <f>SUBTOTAL(9,D80:D83)</f>
        <v>863059.29</v>
      </c>
      <c r="E84" s="395">
        <f>SUBTOTAL(9,E80:E83)</f>
        <v>-540326.23</v>
      </c>
      <c r="F84" s="371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96">
        <f>SUBTOTAL(9,B66:B83)</f>
        <v>496038</v>
      </c>
      <c r="C86" s="395">
        <f>SUBTOTAL(9,C66:C83)</f>
        <v>1190116.8299999998</v>
      </c>
      <c r="D86" s="395">
        <f>SUBTOTAL(9,D66:D83)</f>
        <v>-630527.30000000005</v>
      </c>
      <c r="E86" s="395">
        <f>SUBTOTAL(9,E66:E83)</f>
        <v>1820644.1300000004</v>
      </c>
      <c r="F86" s="371"/>
      <c r="H86" s="32"/>
      <c r="I86" s="32"/>
      <c r="J86" s="32"/>
      <c r="K86" s="32"/>
    </row>
    <row r="87" spans="1:12" x14ac:dyDescent="0.2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404">
        <f>+C86+B51</f>
        <v>3041374.4699999997</v>
      </c>
      <c r="C89" s="206"/>
      <c r="D89" s="351"/>
      <c r="E89" s="351"/>
      <c r="F89" s="358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1270073.766307442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4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0" workbookViewId="0">
      <selection activeCell="C29" sqref="C2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/>
      <c r="C9" s="419"/>
      <c r="D9" s="310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/>
      <c r="C10" s="419"/>
      <c r="D10" s="310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/>
      <c r="C11" s="419"/>
      <c r="D11" s="310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/>
      <c r="C12" s="419"/>
      <c r="D12" s="310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/>
      <c r="C24" s="445"/>
      <c r="D24" s="495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/>
      <c r="C25" s="445"/>
      <c r="D25" s="495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/>
      <c r="C26" s="445"/>
      <c r="D26" s="495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/>
      <c r="C27" s="445"/>
      <c r="D27" s="495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/>
      <c r="C28" s="445"/>
      <c r="D28" s="495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/>
      <c r="C29" s="445"/>
      <c r="D29" s="495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/>
      <c r="C30" s="445"/>
      <c r="D30" s="495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434782</v>
      </c>
      <c r="C37" s="419">
        <f>SUM(C6:C36)</f>
        <v>429645</v>
      </c>
      <c r="D37" s="419">
        <f>SUM(D6:D36)</f>
        <v>-5137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3"/>
      <c r="D39" s="508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37259</v>
      </c>
      <c r="B40" s="285"/>
      <c r="C40" s="444"/>
      <c r="D40" s="310">
        <f>+D39+D37</f>
        <v>-35347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509">
        <v>272582</v>
      </c>
      <c r="H45">
        <v>12</v>
      </c>
    </row>
    <row r="46" spans="1:16" x14ac:dyDescent="0.2">
      <c r="A46" s="49">
        <f>+A40</f>
        <v>37259</v>
      </c>
      <c r="B46" s="32"/>
      <c r="C46" s="32"/>
      <c r="D46" s="382">
        <f>+D37*'by type_area'!J3</f>
        <v>-12123.32</v>
      </c>
      <c r="H46">
        <v>500</v>
      </c>
    </row>
    <row r="47" spans="1:16" x14ac:dyDescent="0.2">
      <c r="A47" s="32"/>
      <c r="B47" s="32"/>
      <c r="C47" s="32"/>
      <c r="D47" s="200">
        <f>+D46+D45</f>
        <v>260458.68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30" sqref="C3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-201184</v>
      </c>
      <c r="C36" s="24">
        <f>SUM(C5:C35)</f>
        <v>-200705</v>
      </c>
      <c r="D36" s="24">
        <f t="shared" si="0"/>
        <v>479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2.41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1154.3900000000001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16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37259</v>
      </c>
      <c r="B40"/>
      <c r="C40" s="48"/>
      <c r="D40" s="138">
        <f>+D39+D38</f>
        <v>-32679.61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06">
        <v>-18444</v>
      </c>
    </row>
    <row r="46" spans="1:65" x14ac:dyDescent="0.2">
      <c r="A46" s="49">
        <f>+A40</f>
        <v>37259</v>
      </c>
      <c r="B46" s="32"/>
      <c r="C46" s="32"/>
      <c r="D46" s="355">
        <f>+D36</f>
        <v>479</v>
      </c>
    </row>
    <row r="47" spans="1:65" x14ac:dyDescent="0.2">
      <c r="A47" s="32"/>
      <c r="B47" s="32"/>
      <c r="C47" s="32"/>
      <c r="D47" s="14">
        <f>+D46+D45</f>
        <v>-17965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3" workbookViewId="0">
      <selection activeCell="A23" sqref="A23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95944</v>
      </c>
      <c r="C5" s="90">
        <v>100316</v>
      </c>
      <c r="D5" s="90">
        <f>+C5-B5</f>
        <v>4372</v>
      </c>
      <c r="E5" s="275"/>
      <c r="F5" s="273"/>
    </row>
    <row r="6" spans="1:13" x14ac:dyDescent="0.2">
      <c r="A6" s="87">
        <v>78311</v>
      </c>
      <c r="B6" s="90">
        <f>13445+11437</f>
        <v>24882</v>
      </c>
      <c r="C6" s="90">
        <v>16100</v>
      </c>
      <c r="D6" s="90">
        <f t="shared" ref="D6:D17" si="0">+C6-B6</f>
        <v>-8782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88432</v>
      </c>
      <c r="C7" s="90">
        <v>104396</v>
      </c>
      <c r="D7" s="90">
        <f t="shared" si="0"/>
        <v>15964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117447</v>
      </c>
      <c r="C8" s="90">
        <v>86521</v>
      </c>
      <c r="D8" s="90">
        <f t="shared" si="0"/>
        <v>-30926</v>
      </c>
      <c r="E8" s="464"/>
      <c r="F8" s="273"/>
    </row>
    <row r="9" spans="1:13" x14ac:dyDescent="0.2">
      <c r="A9" s="87">
        <v>500293</v>
      </c>
      <c r="B9" s="90">
        <v>56691</v>
      </c>
      <c r="C9" s="90">
        <v>54263</v>
      </c>
      <c r="D9" s="90">
        <f t="shared" si="0"/>
        <v>-2428</v>
      </c>
      <c r="E9" s="275"/>
      <c r="F9" s="273"/>
    </row>
    <row r="10" spans="1:13" x14ac:dyDescent="0.2">
      <c r="A10" s="87">
        <v>500302</v>
      </c>
      <c r="B10" s="90"/>
      <c r="C10" s="90">
        <v>828</v>
      </c>
      <c r="D10" s="90">
        <f t="shared" si="0"/>
        <v>828</v>
      </c>
      <c r="E10" s="275"/>
      <c r="F10" s="273"/>
    </row>
    <row r="11" spans="1:13" x14ac:dyDescent="0.2">
      <c r="A11" s="87">
        <v>500303</v>
      </c>
      <c r="B11" s="90"/>
      <c r="C11" s="90">
        <v>18551</v>
      </c>
      <c r="D11" s="90">
        <f t="shared" si="0"/>
        <v>18551</v>
      </c>
      <c r="E11" s="275"/>
      <c r="F11" s="273"/>
    </row>
    <row r="12" spans="1:13" x14ac:dyDescent="0.2">
      <c r="A12" s="91">
        <v>500305</v>
      </c>
      <c r="B12" s="90">
        <v>150469</v>
      </c>
      <c r="C12" s="90">
        <v>153380</v>
      </c>
      <c r="D12" s="90">
        <f t="shared" si="0"/>
        <v>2911</v>
      </c>
      <c r="E12" s="276"/>
      <c r="F12" s="273"/>
    </row>
    <row r="13" spans="1:13" x14ac:dyDescent="0.2">
      <c r="A13" s="87">
        <v>500307</v>
      </c>
      <c r="B13" s="90">
        <v>10603</v>
      </c>
      <c r="C13" s="90">
        <v>6384</v>
      </c>
      <c r="D13" s="90">
        <f t="shared" si="0"/>
        <v>-4219</v>
      </c>
      <c r="E13" s="275"/>
      <c r="F13" s="273"/>
    </row>
    <row r="14" spans="1:13" x14ac:dyDescent="0.2">
      <c r="A14" s="87">
        <v>500313</v>
      </c>
      <c r="B14" s="90"/>
      <c r="C14" s="90">
        <v>303</v>
      </c>
      <c r="D14" s="90">
        <f t="shared" si="0"/>
        <v>303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12858+5800</f>
        <v>18658</v>
      </c>
      <c r="C16" s="90"/>
      <c r="D16" s="90">
        <f t="shared" si="0"/>
        <v>-18658</v>
      </c>
      <c r="E16" s="275"/>
      <c r="F16" s="273"/>
    </row>
    <row r="17" spans="1:6" x14ac:dyDescent="0.2">
      <c r="A17" s="87">
        <v>500657</v>
      </c>
      <c r="B17" s="88">
        <f>11547+5747</f>
        <v>17294</v>
      </c>
      <c r="C17" s="88">
        <v>20988</v>
      </c>
      <c r="D17" s="94">
        <f t="shared" si="0"/>
        <v>3694</v>
      </c>
      <c r="E17" s="275"/>
      <c r="F17" s="273"/>
    </row>
    <row r="18" spans="1:6" x14ac:dyDescent="0.2">
      <c r="A18" s="87"/>
      <c r="B18" s="88"/>
      <c r="C18" s="88"/>
      <c r="D18" s="88">
        <f>SUM(D5:D17)</f>
        <v>-18390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+summary!H5</f>
        <v>2.41</v>
      </c>
      <c r="E19" s="277"/>
      <c r="F19" s="273"/>
    </row>
    <row r="20" spans="1:6" x14ac:dyDescent="0.2">
      <c r="A20" s="87"/>
      <c r="B20" s="88"/>
      <c r="C20" s="88"/>
      <c r="D20" s="96">
        <f>+D19*D18</f>
        <v>-44319.9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13">
        <v>68958.7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37259</v>
      </c>
      <c r="B24" s="88"/>
      <c r="C24" s="88"/>
      <c r="D24" s="321">
        <f>+D22+D20</f>
        <v>24638.799999999996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06">
        <v>44250</v>
      </c>
    </row>
    <row r="30" spans="1:6" x14ac:dyDescent="0.2">
      <c r="A30" s="49">
        <f>+A24</f>
        <v>37259</v>
      </c>
      <c r="B30" s="32"/>
      <c r="C30" s="32"/>
      <c r="D30" s="355">
        <f>+D18</f>
        <v>-18390</v>
      </c>
    </row>
    <row r="31" spans="1:6" x14ac:dyDescent="0.2">
      <c r="A31" s="32"/>
      <c r="B31" s="32"/>
      <c r="C31" s="32"/>
      <c r="D31" s="14">
        <f>+D30+D29</f>
        <v>25860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6" sqref="C3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112265</v>
      </c>
      <c r="C35" s="11">
        <f>SUM(C4:C34)</f>
        <v>107574</v>
      </c>
      <c r="D35" s="11">
        <f>SUM(D4:D34)</f>
        <v>93896</v>
      </c>
      <c r="E35" s="11">
        <f>SUM(E4:E34)</f>
        <v>96000</v>
      </c>
      <c r="F35" s="11">
        <f>+E35-D35+C35-B35</f>
        <v>-2587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2">
        <f>+summary!H4</f>
        <v>2.39</v>
      </c>
    </row>
    <row r="38" spans="1:7" x14ac:dyDescent="0.2">
      <c r="C38" s="48"/>
      <c r="D38" s="47"/>
      <c r="E38" s="48"/>
      <c r="F38" s="46">
        <f>+F37*F35</f>
        <v>-6182.93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10">
        <v>460431.19</v>
      </c>
      <c r="G40" s="25"/>
    </row>
    <row r="41" spans="1:7" x14ac:dyDescent="0.2">
      <c r="A41" s="57">
        <v>37259</v>
      </c>
      <c r="C41" s="106"/>
      <c r="D41" s="106"/>
      <c r="E41" s="106"/>
      <c r="F41" s="106">
        <f>+F38+F40</f>
        <v>454248.26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11">
        <v>41311</v>
      </c>
      <c r="E46" s="11"/>
      <c r="F46" s="11"/>
      <c r="G46" s="25"/>
    </row>
    <row r="47" spans="1:7" x14ac:dyDescent="0.2">
      <c r="A47" s="49">
        <f>+A41</f>
        <v>37259</v>
      </c>
      <c r="D47" s="355">
        <f>+F35</f>
        <v>-2587</v>
      </c>
      <c r="E47" s="11"/>
      <c r="F47" s="11"/>
      <c r="G47" s="25"/>
    </row>
    <row r="48" spans="1:7" x14ac:dyDescent="0.2">
      <c r="D48" s="14">
        <f>+D47+D46</f>
        <v>38724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31" sqref="C3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558372</v>
      </c>
      <c r="C36" s="11">
        <f>SUM(C5:C35)</f>
        <v>558254</v>
      </c>
      <c r="D36" s="11">
        <f>SUM(D5:D35)</f>
        <v>0</v>
      </c>
      <c r="E36" s="11">
        <f>SUM(E5:E35)</f>
        <v>-1684</v>
      </c>
      <c r="F36" s="11">
        <f>SUM(F5:F35)</f>
        <v>-1802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36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37259</v>
      </c>
      <c r="F41" s="336">
        <f>+F39+F36</f>
        <v>-24191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9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37259</v>
      </c>
      <c r="C48" s="32"/>
      <c r="D48" s="32"/>
      <c r="E48" s="382">
        <f>+F36*'by type_area'!J3</f>
        <v>-4252.7199999999993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-511860.72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B31" sqref="B3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/>
      <c r="C8" s="11"/>
      <c r="D8" s="11">
        <f>+C8-B8</f>
        <v>0</v>
      </c>
      <c r="E8" s="10"/>
      <c r="F8" s="11"/>
      <c r="G8" s="11"/>
      <c r="H8" s="11"/>
    </row>
    <row r="9" spans="1:8" x14ac:dyDescent="0.2">
      <c r="A9" s="10">
        <v>2</v>
      </c>
      <c r="B9" s="11"/>
      <c r="C9" s="11"/>
      <c r="D9" s="11">
        <f t="shared" ref="D9:D38" si="0">+C9-B9</f>
        <v>0</v>
      </c>
      <c r="E9" s="10"/>
      <c r="F9" s="11"/>
      <c r="G9" s="11"/>
      <c r="H9" s="11"/>
    </row>
    <row r="10" spans="1:8" x14ac:dyDescent="0.2">
      <c r="A10" s="10">
        <v>3</v>
      </c>
      <c r="B10" s="11"/>
      <c r="C10" s="11"/>
      <c r="D10" s="11">
        <f t="shared" si="0"/>
        <v>0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0"/>
      <c r="F39" s="11"/>
      <c r="G39" s="11"/>
      <c r="H39" s="11"/>
    </row>
    <row r="40" spans="1:8" x14ac:dyDescent="0.2">
      <c r="A40" s="26"/>
      <c r="D40" s="75">
        <f>+summary!H4</f>
        <v>2.39</v>
      </c>
      <c r="E40" s="26"/>
      <c r="H40" s="75"/>
    </row>
    <row r="41" spans="1:8" x14ac:dyDescent="0.2">
      <c r="D41" s="195">
        <f>+D40*D39</f>
        <v>0</v>
      </c>
      <c r="F41" s="247"/>
      <c r="H41" s="195"/>
    </row>
    <row r="42" spans="1:8" x14ac:dyDescent="0.2">
      <c r="A42" s="57">
        <v>37256</v>
      </c>
      <c r="D42" s="526">
        <v>12821</v>
      </c>
      <c r="E42" s="57"/>
      <c r="H42" s="195"/>
    </row>
    <row r="43" spans="1:8" x14ac:dyDescent="0.2">
      <c r="A43" s="57">
        <v>37256</v>
      </c>
      <c r="D43" s="196">
        <f>+D42+D41</f>
        <v>12821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06">
        <v>-49782</v>
      </c>
    </row>
    <row r="49" spans="1:4" x14ac:dyDescent="0.2">
      <c r="A49" s="49">
        <f>+A43</f>
        <v>37256</v>
      </c>
      <c r="B49" s="32"/>
      <c r="C49" s="32"/>
      <c r="D49" s="355">
        <f>+D39</f>
        <v>0</v>
      </c>
    </row>
    <row r="50" spans="1:4" x14ac:dyDescent="0.2">
      <c r="A50" s="32"/>
      <c r="B50" s="32"/>
      <c r="C50" s="32"/>
      <c r="D50" s="14">
        <f>+D49+D48</f>
        <v>-49782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5" workbookViewId="0">
      <selection activeCell="B45" sqref="B44: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18">
        <v>1537446.14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253</v>
      </c>
      <c r="J6" s="15"/>
    </row>
    <row r="7" spans="1:14" x14ac:dyDescent="0.2">
      <c r="A7" s="57">
        <v>37256</v>
      </c>
      <c r="I7" s="3" t="s">
        <v>260</v>
      </c>
      <c r="J7" s="15"/>
    </row>
    <row r="8" spans="1:14" x14ac:dyDescent="0.2">
      <c r="A8" s="248">
        <v>50895</v>
      </c>
      <c r="B8" s="343"/>
      <c r="J8" s="15"/>
    </row>
    <row r="9" spans="1:14" x14ac:dyDescent="0.2">
      <c r="A9" s="248">
        <v>60874</v>
      </c>
      <c r="B9" s="343"/>
      <c r="J9" s="15"/>
    </row>
    <row r="10" spans="1:14" x14ac:dyDescent="0.2">
      <c r="A10" s="248">
        <v>78169</v>
      </c>
      <c r="B10" s="343"/>
      <c r="I10" s="87" t="s">
        <v>254</v>
      </c>
      <c r="J10" s="494" t="s">
        <v>27</v>
      </c>
      <c r="K10" s="87" t="s">
        <v>255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4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/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/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/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/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/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0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2.41</v>
      </c>
      <c r="C19" s="199">
        <f>+B19*B18</f>
        <v>0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1537446.14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37256</v>
      </c>
      <c r="C26" s="518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37256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2.39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06">
        <v>381295</v>
      </c>
      <c r="G38" s="497">
        <v>117857</v>
      </c>
      <c r="H38" s="506">
        <v>186798</v>
      </c>
      <c r="I38" s="14"/>
    </row>
    <row r="39" spans="1:9" x14ac:dyDescent="0.2">
      <c r="E39" s="49">
        <f>+A7</f>
        <v>37256</v>
      </c>
      <c r="F39" s="355">
        <f>+B18</f>
        <v>0</v>
      </c>
      <c r="G39" s="355">
        <f>+B31</f>
        <v>0</v>
      </c>
      <c r="H39" s="355">
        <f>+B46</f>
        <v>0</v>
      </c>
      <c r="I39" s="14"/>
    </row>
    <row r="40" spans="1:9" x14ac:dyDescent="0.2">
      <c r="A40" s="49">
        <v>37256</v>
      </c>
      <c r="C40" s="518">
        <v>841974.51</v>
      </c>
      <c r="F40" s="14">
        <f>+F39+F38</f>
        <v>381295</v>
      </c>
      <c r="G40" s="14">
        <f>+G39+G38</f>
        <v>117857</v>
      </c>
      <c r="H40" s="14">
        <f>+H39+H38</f>
        <v>186798</v>
      </c>
      <c r="I40" s="14">
        <f>+H40+G40+F40</f>
        <v>685950</v>
      </c>
    </row>
    <row r="41" spans="1:9" x14ac:dyDescent="0.2">
      <c r="G41" s="32"/>
      <c r="H41" s="15"/>
      <c r="I41" s="32"/>
    </row>
    <row r="42" spans="1:9" x14ac:dyDescent="0.2">
      <c r="A42" s="245">
        <v>37256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8"/>
      <c r="I44" s="14"/>
    </row>
    <row r="45" spans="1:9" x14ac:dyDescent="0.2">
      <c r="A45" s="32">
        <v>500392</v>
      </c>
      <c r="B45" s="250"/>
      <c r="G45" s="32"/>
      <c r="H45" s="388"/>
      <c r="I45" s="14"/>
    </row>
    <row r="46" spans="1:9" x14ac:dyDescent="0.2">
      <c r="B46" s="14">
        <f>SUM(B43:B45)</f>
        <v>0</v>
      </c>
      <c r="G46" s="32"/>
      <c r="H46" s="388"/>
      <c r="I46" s="14"/>
    </row>
    <row r="47" spans="1:9" x14ac:dyDescent="0.2">
      <c r="B47" s="199">
        <f>+summary!H5</f>
        <v>2.41</v>
      </c>
      <c r="C47" s="199">
        <f>+B47*B46</f>
        <v>0</v>
      </c>
      <c r="H47" s="388"/>
      <c r="I47" s="14"/>
    </row>
    <row r="48" spans="1:9" x14ac:dyDescent="0.2">
      <c r="C48" s="324">
        <f>+C47+C40</f>
        <v>841974.51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3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137</v>
      </c>
      <c r="C54" s="524">
        <v>23612.35</v>
      </c>
      <c r="D54" s="32" t="s">
        <v>120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2751791.8</v>
      </c>
      <c r="I57" s="14">
        <f>SUM(I40:I54)</f>
        <v>741283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9" workbookViewId="0">
      <selection activeCell="E30" sqref="E30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6">
        <v>-183024</v>
      </c>
      <c r="J34" s="506">
        <v>-128596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72456</v>
      </c>
      <c r="E35" s="11">
        <f>SUM(E4:E34)</f>
        <v>72000</v>
      </c>
      <c r="F35" s="11">
        <f>SUM(F4:F34)</f>
        <v>-456</v>
      </c>
      <c r="G35" s="11"/>
      <c r="H35" s="49">
        <f>+A40</f>
        <v>36894</v>
      </c>
      <c r="I35" s="355">
        <f>+C36</f>
        <v>0</v>
      </c>
      <c r="J35" s="355">
        <f>+E36</f>
        <v>-456</v>
      </c>
      <c r="K35" s="206"/>
      <c r="L35" s="14"/>
    </row>
    <row r="36" spans="1:13" x14ac:dyDescent="0.2">
      <c r="C36" s="25">
        <f>+C35-B35</f>
        <v>0</v>
      </c>
      <c r="E36" s="25">
        <f>+E35-D35</f>
        <v>-456</v>
      </c>
      <c r="F36" s="25">
        <f>+E36+C36</f>
        <v>-456</v>
      </c>
      <c r="H36" s="32"/>
      <c r="I36" s="14">
        <f>+I35+I34</f>
        <v>-183024</v>
      </c>
      <c r="J36" s="14">
        <f>+J35+J34</f>
        <v>-129052</v>
      </c>
      <c r="K36" s="14">
        <f>+J36+I36</f>
        <v>-312076</v>
      </c>
      <c r="L36" s="14"/>
    </row>
    <row r="37" spans="1:13" x14ac:dyDescent="0.2">
      <c r="C37" s="316">
        <f>+summary!H5</f>
        <v>2.41</v>
      </c>
      <c r="E37" s="104">
        <f>+C37</f>
        <v>2.41</v>
      </c>
      <c r="F37" s="138">
        <f>+F36*E37</f>
        <v>-1098.96</v>
      </c>
    </row>
    <row r="38" spans="1:13" x14ac:dyDescent="0.2">
      <c r="C38" s="138">
        <f>+C37*C36</f>
        <v>0</v>
      </c>
      <c r="E38" s="136">
        <f>+E37*E36</f>
        <v>-1098.96</v>
      </c>
      <c r="F38" s="138">
        <f>+E38+C38</f>
        <v>-1098.96</v>
      </c>
    </row>
    <row r="39" spans="1:13" x14ac:dyDescent="0.2">
      <c r="A39" s="57">
        <v>37256</v>
      </c>
      <c r="B39" s="2" t="s">
        <v>45</v>
      </c>
      <c r="C39" s="519">
        <v>-1033425</v>
      </c>
      <c r="D39" s="323"/>
      <c r="E39" s="505">
        <v>-571848</v>
      </c>
      <c r="F39" s="322">
        <f>+E39+C39</f>
        <v>-1605273</v>
      </c>
    </row>
    <row r="40" spans="1:13" x14ac:dyDescent="0.2">
      <c r="A40" s="57">
        <v>36894</v>
      </c>
      <c r="B40" s="2" t="s">
        <v>45</v>
      </c>
      <c r="C40" s="317">
        <f>+C39+C38</f>
        <v>-1033425</v>
      </c>
      <c r="D40" s="252"/>
      <c r="E40" s="317">
        <f>+E39+E38</f>
        <v>-572946.96</v>
      </c>
      <c r="F40" s="317">
        <f>+E40+C40</f>
        <v>-1606371.96</v>
      </c>
      <c r="H40" s="131"/>
    </row>
    <row r="41" spans="1:13" x14ac:dyDescent="0.2">
      <c r="C41" s="332"/>
      <c r="D41" s="246"/>
      <c r="E41" s="246"/>
      <c r="H41" s="31">
        <f>+C39+E39+F45+F46+F47+F48</f>
        <v>-2742414.8800000004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18">
        <v>-51695.87</v>
      </c>
      <c r="G45" s="249" t="s">
        <v>122</v>
      </c>
      <c r="J45" s="12">
        <v>20379</v>
      </c>
      <c r="K45" s="497">
        <v>2979</v>
      </c>
      <c r="M45" s="14"/>
    </row>
    <row r="46" spans="1:13" x14ac:dyDescent="0.2">
      <c r="C46" s="246"/>
      <c r="D46" s="246"/>
      <c r="E46" s="12">
        <v>26357</v>
      </c>
      <c r="F46" s="517">
        <f>44144.84-58339.66</f>
        <v>-14194.820000000007</v>
      </c>
      <c r="G46" s="249" t="s">
        <v>123</v>
      </c>
      <c r="J46" s="12">
        <v>26357</v>
      </c>
      <c r="K46" s="497">
        <f>26521-24566</f>
        <v>1955</v>
      </c>
    </row>
    <row r="47" spans="1:13" x14ac:dyDescent="0.2">
      <c r="C47" s="246"/>
      <c r="D47" s="246"/>
      <c r="E47" s="12">
        <v>21544</v>
      </c>
      <c r="F47" s="518">
        <v>61340.160000000003</v>
      </c>
      <c r="G47" s="249" t="s">
        <v>124</v>
      </c>
      <c r="J47" s="12">
        <v>21544</v>
      </c>
      <c r="K47" s="497">
        <v>36108</v>
      </c>
    </row>
    <row r="48" spans="1:13" x14ac:dyDescent="0.2">
      <c r="C48" s="246"/>
      <c r="D48" s="246"/>
      <c r="E48" s="12">
        <v>24532</v>
      </c>
      <c r="F48" s="520">
        <v>-1132591.3500000001</v>
      </c>
      <c r="G48" s="249" t="s">
        <v>121</v>
      </c>
      <c r="J48" s="12">
        <v>24532</v>
      </c>
      <c r="K48" s="506">
        <v>-139694</v>
      </c>
    </row>
    <row r="49" spans="3:13" x14ac:dyDescent="0.2">
      <c r="C49" s="246"/>
      <c r="D49" s="246"/>
      <c r="F49" s="333">
        <f>SUM(F40:F48)</f>
        <v>-2743513.8400000003</v>
      </c>
      <c r="G49" s="246"/>
      <c r="K49" s="14">
        <f>SUM(K36:K48)</f>
        <v>-410728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2751791.8</v>
      </c>
      <c r="M51" s="14">
        <f>+Duke!I57</f>
        <v>741283</v>
      </c>
    </row>
    <row r="53" spans="3:13" x14ac:dyDescent="0.2">
      <c r="F53" s="104">
        <f>+F51+F49</f>
        <v>8277.9599999994971</v>
      </c>
      <c r="M53" s="16">
        <f>+M51+K49</f>
        <v>330555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-1033425</v>
      </c>
    </row>
    <row r="74" spans="1:3" x14ac:dyDescent="0.2">
      <c r="A74">
        <v>22051</v>
      </c>
      <c r="B74" s="31">
        <f>+J36</f>
        <v>-129052</v>
      </c>
      <c r="C74" s="247">
        <f>+E40</f>
        <v>-572946.96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186798</v>
      </c>
      <c r="C77" s="259">
        <f>+Duke!C48</f>
        <v>841974.51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381295</v>
      </c>
      <c r="C79" s="259">
        <f>+Duke!C20</f>
        <v>1537446.14</v>
      </c>
    </row>
    <row r="81" spans="2:3" x14ac:dyDescent="0.2">
      <c r="B81" s="31">
        <f>SUM(B68:B80)</f>
        <v>330555</v>
      </c>
      <c r="C81" s="259">
        <f>SUM(C68:C80)</f>
        <v>8277.9599999997299</v>
      </c>
    </row>
    <row r="82" spans="2:3" x14ac:dyDescent="0.2">
      <c r="C82">
        <f>+C81/B81</f>
        <v>2.5042610155646503E-2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4" sqref="C3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5364</v>
      </c>
      <c r="C10" s="11">
        <v>5741</v>
      </c>
      <c r="D10" s="11">
        <v>761</v>
      </c>
      <c r="E10" s="11">
        <v>1125</v>
      </c>
      <c r="F10" s="129">
        <v>985</v>
      </c>
      <c r="G10" s="11">
        <v>872</v>
      </c>
      <c r="H10" s="11">
        <v>1760</v>
      </c>
      <c r="I10" s="11">
        <v>1123</v>
      </c>
      <c r="J10" s="25">
        <f t="shared" si="0"/>
        <v>-9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16348</v>
      </c>
      <c r="C39" s="11">
        <f t="shared" si="1"/>
        <v>17223</v>
      </c>
      <c r="D39" s="11">
        <f t="shared" si="1"/>
        <v>2617</v>
      </c>
      <c r="E39" s="11">
        <f t="shared" si="1"/>
        <v>3375</v>
      </c>
      <c r="F39" s="129">
        <f t="shared" si="1"/>
        <v>3078</v>
      </c>
      <c r="G39" s="11">
        <f t="shared" si="1"/>
        <v>2616</v>
      </c>
      <c r="H39" s="11">
        <f t="shared" si="1"/>
        <v>4754</v>
      </c>
      <c r="I39" s="11">
        <f t="shared" si="1"/>
        <v>3369</v>
      </c>
      <c r="J39" s="25">
        <f t="shared" si="1"/>
        <v>-214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2.39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-511.46000000000004</v>
      </c>
      <c r="L41"/>
      <c r="R41" s="138"/>
      <c r="X41" s="138"/>
    </row>
    <row r="42" spans="1:24" x14ac:dyDescent="0.2">
      <c r="A42" s="57">
        <v>37256</v>
      </c>
      <c r="C42" s="15"/>
      <c r="J42" s="516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37259</v>
      </c>
      <c r="C43" s="48"/>
      <c r="J43" s="138">
        <f>+J42+J41</f>
        <v>400901.54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06">
        <v>164528</v>
      </c>
      <c r="L47"/>
    </row>
    <row r="48" spans="1:24" x14ac:dyDescent="0.2">
      <c r="A48" s="49">
        <f>+A43</f>
        <v>37259</v>
      </c>
      <c r="B48" s="32"/>
      <c r="C48" s="32"/>
      <c r="D48" s="355">
        <f>+J39</f>
        <v>-214</v>
      </c>
      <c r="L48"/>
    </row>
    <row r="49" spans="1:12" x14ac:dyDescent="0.2">
      <c r="A49" s="32"/>
      <c r="B49" s="32"/>
      <c r="C49" s="32"/>
      <c r="D49" s="14">
        <f>+D48+D47</f>
        <v>164314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1</v>
      </c>
      <c r="C10" s="419">
        <v>1333</v>
      </c>
      <c r="D10" s="419"/>
      <c r="E10" s="419"/>
      <c r="F10" s="310">
        <f t="shared" si="0"/>
        <v>1332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/>
      <c r="C11" s="419"/>
      <c r="D11" s="419"/>
      <c r="E11" s="419"/>
      <c r="F11" s="310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14732</v>
      </c>
      <c r="C39" s="419">
        <f>SUM(C8:C38)</f>
        <v>5329</v>
      </c>
      <c r="D39" s="419">
        <f>SUM(D8:D38)</f>
        <v>-6130</v>
      </c>
      <c r="E39" s="419">
        <f>SUM(E8:E38)</f>
        <v>0</v>
      </c>
      <c r="F39" s="419">
        <f>SUM(F8:F38)</f>
        <v>-3273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2.39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-7822.47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3"/>
      <c r="D42" s="443"/>
      <c r="E42" s="443"/>
      <c r="F42" s="507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37259</v>
      </c>
      <c r="B43" s="285"/>
      <c r="C43" s="444"/>
      <c r="D43" s="444"/>
      <c r="E43" s="444"/>
      <c r="F43" s="425">
        <f>+F42+F41</f>
        <v>176073.11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06">
        <v>-353272</v>
      </c>
      <c r="E47" s="11"/>
    </row>
    <row r="48" spans="1:26" x14ac:dyDescent="0.2">
      <c r="A48" s="49">
        <f>+A43</f>
        <v>37259</v>
      </c>
      <c r="B48" s="32"/>
      <c r="C48" s="32"/>
      <c r="D48" s="355">
        <f>+F39</f>
        <v>-3273</v>
      </c>
      <c r="E48" s="11"/>
    </row>
    <row r="49" spans="1:5" x14ac:dyDescent="0.2">
      <c r="A49" s="32"/>
      <c r="B49" s="32"/>
      <c r="C49" s="32"/>
      <c r="D49" s="14">
        <f>+D48+D47</f>
        <v>-356545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B16" sqref="B16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">
      <c r="G3" s="289" t="s">
        <v>29</v>
      </c>
      <c r="H3" s="349">
        <f>+'[3]1001'!$K$39</f>
        <v>2.36</v>
      </c>
      <c r="I3" s="381">
        <f ca="1">NOW()</f>
        <v>41885.682478587965</v>
      </c>
    </row>
    <row r="4" spans="1:32" ht="15" customHeight="1" x14ac:dyDescent="0.2">
      <c r="A4" s="34" t="s">
        <v>145</v>
      </c>
      <c r="C4" s="34" t="s">
        <v>5</v>
      </c>
      <c r="G4" s="290" t="s">
        <v>30</v>
      </c>
      <c r="H4" s="291">
        <f>+'[3]1001'!$M$39</f>
        <v>2.39</v>
      </c>
    </row>
    <row r="5" spans="1:32" ht="15" customHeight="1" x14ac:dyDescent="0.2">
      <c r="B5" s="348"/>
      <c r="G5" s="289" t="s">
        <v>117</v>
      </c>
      <c r="H5" s="349">
        <f>+'[3]1001'!$E$39</f>
        <v>2.41</v>
      </c>
    </row>
    <row r="6" spans="1:32" ht="12" customHeight="1" x14ac:dyDescent="0.2">
      <c r="C6" s="448"/>
    </row>
    <row r="7" spans="1:32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">
      <c r="A8" s="539" t="s">
        <v>251</v>
      </c>
      <c r="B8" s="490">
        <f>+Duke!$C$20</f>
        <v>1537446.14</v>
      </c>
      <c r="C8" s="206">
        <f>+B8/$H$5</f>
        <v>637944.45643153519</v>
      </c>
      <c r="D8" s="371">
        <f>+Duke!A7</f>
        <v>37256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539" t="s">
        <v>258</v>
      </c>
      <c r="B9" s="490">
        <f>+Duke!$C$54+Duke!$C$53+Duke!$C$48+Duke!$C$33</f>
        <v>1214345.6599999999</v>
      </c>
      <c r="C9" s="206">
        <f>+B9/$H$5</f>
        <v>503877.86721991695</v>
      </c>
      <c r="D9" s="371">
        <f>+DEFS!A40</f>
        <v>36894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48" t="s">
        <v>82</v>
      </c>
      <c r="B10" s="490">
        <f>+PNM!$D$23</f>
        <v>733812.83</v>
      </c>
      <c r="C10" s="275">
        <f>+B10/$H$4</f>
        <v>307034.65690376563</v>
      </c>
      <c r="D10" s="372">
        <f>+PNM!A23</f>
        <v>37259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48" t="s">
        <v>80</v>
      </c>
      <c r="B11" s="490">
        <f>+Conoco!$F$41</f>
        <v>454248.26</v>
      </c>
      <c r="C11" s="275">
        <f>+B11/$H$4</f>
        <v>190062.03347280333</v>
      </c>
      <c r="D11" s="371">
        <f>+Conoco!A41</f>
        <v>37259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48" t="s">
        <v>94</v>
      </c>
      <c r="B12" s="490">
        <f>+C12*$H$4</f>
        <v>446636.03</v>
      </c>
      <c r="C12" s="275">
        <f>+Mojave!D40</f>
        <v>186877</v>
      </c>
      <c r="D12" s="372">
        <f>+Mojave!A40</f>
        <v>37259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48" t="s">
        <v>2</v>
      </c>
      <c r="B13" s="490">
        <f>+mewborne!$J$43</f>
        <v>400901.54</v>
      </c>
      <c r="C13" s="275">
        <f>+B13/$H$4</f>
        <v>167741.230125523</v>
      </c>
      <c r="D13" s="372">
        <f>+mewborne!A43</f>
        <v>37259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48" t="s">
        <v>107</v>
      </c>
      <c r="B14" s="490">
        <f>+KN_Westar!F41</f>
        <v>385015.89</v>
      </c>
      <c r="C14" s="275">
        <f>+B14/$H$4</f>
        <v>161094.51464435147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39" t="s">
        <v>32</v>
      </c>
      <c r="B15" s="490">
        <f>+C15*$H$4</f>
        <v>285927.65000000002</v>
      </c>
      <c r="C15" s="206">
        <f>+SoCal!F40</f>
        <v>119635</v>
      </c>
      <c r="D15" s="371">
        <f>+SoCal!A40</f>
        <v>37259</v>
      </c>
      <c r="E15" s="204" t="s">
        <v>84</v>
      </c>
      <c r="F15" s="204" t="s">
        <v>102</v>
      </c>
      <c r="G15" s="32"/>
      <c r="H15" s="32"/>
      <c r="I15" s="32"/>
      <c r="J15" s="32"/>
      <c r="K15" s="32"/>
      <c r="L15" s="32"/>
      <c r="M15" s="387">
        <f>+B8+B9+B41</f>
        <v>8277.9599999994971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48" t="s">
        <v>88</v>
      </c>
      <c r="B16" s="490">
        <f>+C16*$H$5</f>
        <v>284452.3</v>
      </c>
      <c r="C16" s="275">
        <f>+NGPL!F38</f>
        <v>118030</v>
      </c>
      <c r="D16" s="372">
        <f>+NGPL!A38</f>
        <v>37259</v>
      </c>
      <c r="E16" s="204" t="s">
        <v>84</v>
      </c>
      <c r="F16" s="32" t="s">
        <v>115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48" t="s">
        <v>208</v>
      </c>
      <c r="B17" s="490">
        <f>+Dominion!D41</f>
        <v>179800.64</v>
      </c>
      <c r="C17" s="275">
        <f>+B17/$H$5</f>
        <v>74606.074688796682</v>
      </c>
      <c r="D17" s="372">
        <f>+Dominion!A41</f>
        <v>37259</v>
      </c>
      <c r="E17" s="32" t="s">
        <v>85</v>
      </c>
      <c r="F17" s="32" t="s">
        <v>99</v>
      </c>
      <c r="G17" s="32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39" t="s">
        <v>127</v>
      </c>
      <c r="B18" s="490">
        <f>+Calpine!D41</f>
        <v>178743.41</v>
      </c>
      <c r="C18" s="206">
        <f>+B18/$H$4</f>
        <v>74788.037656903762</v>
      </c>
      <c r="D18" s="371">
        <f>+Calpine!A41</f>
        <v>37259</v>
      </c>
      <c r="E18" s="204" t="s">
        <v>85</v>
      </c>
      <c r="F18" s="204" t="s">
        <v>99</v>
      </c>
      <c r="G18" s="204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48" t="s">
        <v>3</v>
      </c>
      <c r="B19" s="490">
        <f>+'Amoco Abo'!$F$43</f>
        <v>176073.11</v>
      </c>
      <c r="C19" s="275">
        <f>+B19/$H$4</f>
        <v>73670.757322175719</v>
      </c>
      <c r="D19" s="372">
        <f>+'Amoco Abo'!A43</f>
        <v>37259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48" t="s">
        <v>211</v>
      </c>
      <c r="B20" s="490">
        <f>+Devon!D41</f>
        <v>163700</v>
      </c>
      <c r="C20" s="275">
        <f>+B20/$H$5</f>
        <v>67925.311203319492</v>
      </c>
      <c r="D20" s="372">
        <f>+Devon!A41</f>
        <v>37259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48" t="s">
        <v>114</v>
      </c>
      <c r="B21" s="490">
        <f>+C21*$H$4</f>
        <v>141289.63</v>
      </c>
      <c r="C21" s="206">
        <f>+'PG&amp;E'!D40</f>
        <v>59117</v>
      </c>
      <c r="D21" s="372">
        <f>+'PG&amp;E'!A40</f>
        <v>36894</v>
      </c>
      <c r="E21" s="32" t="s">
        <v>84</v>
      </c>
      <c r="F21" s="32" t="s">
        <v>102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48" t="s">
        <v>219</v>
      </c>
      <c r="B22" s="490">
        <f>+Amarillo!P41</f>
        <v>114931.95</v>
      </c>
      <c r="C22" s="275">
        <f>+B22/$H$4</f>
        <v>48088.682008368196</v>
      </c>
      <c r="D22" s="372">
        <f>+Amarillo!A41</f>
        <v>37259</v>
      </c>
      <c r="E22" s="32" t="s">
        <v>85</v>
      </c>
      <c r="F22" s="32" t="s">
        <v>113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48" t="s">
        <v>129</v>
      </c>
      <c r="B23" s="490">
        <f>+EPFS!D41</f>
        <v>84406.32</v>
      </c>
      <c r="C23" s="206">
        <f>+B23/$H$5</f>
        <v>35023.369294605807</v>
      </c>
      <c r="D23" s="371">
        <f>+EPFS!A41</f>
        <v>37259</v>
      </c>
      <c r="E23" s="32" t="s">
        <v>85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539" t="s">
        <v>87</v>
      </c>
      <c r="B24" s="490">
        <f>+NNG!$D$24</f>
        <v>80083.19</v>
      </c>
      <c r="C24" s="275">
        <f>+B24/$H$4</f>
        <v>33507.610878661086</v>
      </c>
      <c r="D24" s="371">
        <f>+NNG!A24</f>
        <v>36894</v>
      </c>
      <c r="E24" s="204" t="s">
        <v>85</v>
      </c>
      <c r="F24" s="204" t="s">
        <v>100</v>
      </c>
      <c r="G24" s="32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539" t="s">
        <v>33</v>
      </c>
      <c r="B25" s="490">
        <f>+'El Paso'!C39*summary!H4+'El Paso'!E39*summary!H3</f>
        <v>79568.980000000025</v>
      </c>
      <c r="C25" s="275">
        <f>+'El Paso'!H39</f>
        <v>32900</v>
      </c>
      <c r="D25" s="371">
        <f>+'El Paso'!A39</f>
        <v>37259</v>
      </c>
      <c r="E25" s="204" t="s">
        <v>84</v>
      </c>
      <c r="F25" s="204" t="s">
        <v>100</v>
      </c>
      <c r="G25" s="204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39" t="s">
        <v>139</v>
      </c>
      <c r="B26" s="490">
        <f>+'Citizens-Griffith'!D41</f>
        <v>68698.61</v>
      </c>
      <c r="C26" s="275">
        <f>+B26/$H$4</f>
        <v>28744.188284518827</v>
      </c>
      <c r="D26" s="371">
        <f>+'Citizens-Griffith'!A41</f>
        <v>37259</v>
      </c>
      <c r="E26" s="204" t="s">
        <v>85</v>
      </c>
      <c r="F26" s="204" t="s">
        <v>99</v>
      </c>
      <c r="G26" s="204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248" t="s">
        <v>23</v>
      </c>
      <c r="B27" s="490">
        <f>+C27*$H$3</f>
        <v>54471.159999999996</v>
      </c>
      <c r="C27" s="353">
        <f>+'Red C'!$F$45</f>
        <v>23081</v>
      </c>
      <c r="D27" s="371">
        <f>+'Red C'!A45</f>
        <v>37259</v>
      </c>
      <c r="E27" s="204" t="s">
        <v>84</v>
      </c>
      <c r="F27" s="32" t="s">
        <v>115</v>
      </c>
      <c r="G27" s="32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539" t="s">
        <v>95</v>
      </c>
      <c r="B28" s="490">
        <f>+burlington!D42</f>
        <v>53789.52</v>
      </c>
      <c r="C28" s="275">
        <f>+B28/$H$3</f>
        <v>22792.169491525423</v>
      </c>
      <c r="D28" s="371">
        <f>+burlington!A42</f>
        <v>37259</v>
      </c>
      <c r="E28" s="204" t="s">
        <v>85</v>
      </c>
      <c r="F28" s="32" t="s">
        <v>113</v>
      </c>
      <c r="G28" s="32"/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248" t="s">
        <v>110</v>
      </c>
      <c r="B29" s="490">
        <f>+C29*$H$4</f>
        <v>39023.920000000006</v>
      </c>
      <c r="C29" s="275">
        <f>+CIG!D42</f>
        <v>16328</v>
      </c>
      <c r="D29" s="372">
        <f>+CIG!A42</f>
        <v>37256</v>
      </c>
      <c r="E29" s="204" t="s">
        <v>84</v>
      </c>
      <c r="F29" s="32" t="s">
        <v>113</v>
      </c>
      <c r="G29" s="32"/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248" t="s">
        <v>307</v>
      </c>
      <c r="B30" s="490">
        <f>+'WTG inc'!N43</f>
        <v>34317.57</v>
      </c>
      <c r="C30" s="275">
        <f>+B30/$H$4</f>
        <v>14358.815899581588</v>
      </c>
      <c r="D30" s="372">
        <f>+'WTG inc'!A43</f>
        <v>37259</v>
      </c>
      <c r="E30" s="32" t="s">
        <v>85</v>
      </c>
      <c r="F30" s="32" t="s">
        <v>115</v>
      </c>
      <c r="G30" s="204"/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">
      <c r="A31" s="539" t="s">
        <v>109</v>
      </c>
      <c r="B31" s="490">
        <f>+Continental!F43</f>
        <v>34262</v>
      </c>
      <c r="C31" s="206">
        <f>+B31/$H$4</f>
        <v>14335.564853556485</v>
      </c>
      <c r="D31" s="371">
        <f>+Continental!A43</f>
        <v>37256</v>
      </c>
      <c r="E31" s="204" t="s">
        <v>85</v>
      </c>
      <c r="F31" s="204" t="s">
        <v>115</v>
      </c>
      <c r="G31" s="204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248" t="s">
        <v>131</v>
      </c>
      <c r="B32" s="490">
        <f>+SidR!D41</f>
        <v>32728.29</v>
      </c>
      <c r="C32" s="275">
        <f>+B32/$H$5</f>
        <v>13580.203319502074</v>
      </c>
      <c r="D32" s="372">
        <f>+SidR!A41</f>
        <v>37259</v>
      </c>
      <c r="E32" s="32" t="s">
        <v>85</v>
      </c>
      <c r="F32" s="32" t="s">
        <v>102</v>
      </c>
      <c r="G32" s="32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3.5" customHeight="1" x14ac:dyDescent="0.2">
      <c r="A33" s="540" t="s">
        <v>79</v>
      </c>
      <c r="B33" s="489">
        <f>+Agave!$D$24</f>
        <v>24638.799999999996</v>
      </c>
      <c r="C33" s="472">
        <f>+B33/$H$4</f>
        <v>10309.121338912131</v>
      </c>
      <c r="D33" s="471">
        <f>+Agave!A24</f>
        <v>37259</v>
      </c>
      <c r="E33" s="451" t="s">
        <v>85</v>
      </c>
      <c r="F33" s="451" t="s">
        <v>102</v>
      </c>
      <c r="G33" s="451"/>
      <c r="H33" s="204"/>
      <c r="I33" s="204"/>
      <c r="J33" s="204"/>
      <c r="K33" s="204"/>
      <c r="L33" s="204"/>
      <c r="M33" s="480"/>
      <c r="N33" s="273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s="293" customFormat="1" ht="12.95" customHeight="1" x14ac:dyDescent="0.2">
      <c r="A34" s="248" t="s">
        <v>31</v>
      </c>
      <c r="B34" s="490">
        <f>+C34*H5</f>
        <v>23343.260000000002</v>
      </c>
      <c r="C34" s="275">
        <f>+Lonestar!F43</f>
        <v>9686</v>
      </c>
      <c r="D34" s="371">
        <f>+Lonestar!A43</f>
        <v>37256</v>
      </c>
      <c r="E34" s="32" t="s">
        <v>84</v>
      </c>
      <c r="F34" s="32" t="s">
        <v>102</v>
      </c>
      <c r="G34" s="32" t="s">
        <v>314</v>
      </c>
      <c r="H34" s="204"/>
      <c r="I34" s="204"/>
      <c r="J34" s="204"/>
      <c r="K34" s="204"/>
      <c r="L34" s="204"/>
      <c r="M34" s="480"/>
      <c r="N34" s="273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</row>
    <row r="35" spans="1:32" ht="13.5" customHeight="1" x14ac:dyDescent="0.2">
      <c r="A35" s="539" t="s">
        <v>71</v>
      </c>
      <c r="B35" s="492">
        <f>+transcol!$D$43</f>
        <v>12821</v>
      </c>
      <c r="C35" s="353">
        <f>+B35/$H$4</f>
        <v>5364.435146443514</v>
      </c>
      <c r="D35" s="371">
        <f>+transcol!A43</f>
        <v>37256</v>
      </c>
      <c r="E35" s="204" t="s">
        <v>85</v>
      </c>
      <c r="F35" s="204" t="s">
        <v>115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3.5" customHeight="1" x14ac:dyDescent="0.2">
      <c r="A36" s="32" t="s">
        <v>103</v>
      </c>
      <c r="B36" s="490">
        <f>+EOG!$J$41</f>
        <v>4885</v>
      </c>
      <c r="C36" s="275">
        <f>+B36/$H$4</f>
        <v>2043.9330543933054</v>
      </c>
      <c r="D36" s="371">
        <f>+EOG!A41</f>
        <v>37256</v>
      </c>
      <c r="E36" s="32" t="s">
        <v>85</v>
      </c>
      <c r="F36" s="32" t="s">
        <v>102</v>
      </c>
      <c r="G36" s="32"/>
      <c r="H36" s="32"/>
      <c r="I36" s="32"/>
      <c r="J36" s="32"/>
      <c r="K36" s="32"/>
      <c r="L36" s="32"/>
      <c r="M36" s="387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s="293" customFormat="1" ht="13.5" customHeight="1" x14ac:dyDescent="0.2">
      <c r="A37" s="539" t="s">
        <v>28</v>
      </c>
      <c r="B37" s="529">
        <f>+C37*$H$3</f>
        <v>16.52</v>
      </c>
      <c r="C37" s="71">
        <f>+williams!J40</f>
        <v>7</v>
      </c>
      <c r="D37" s="371">
        <f>+williams!A40</f>
        <v>37259</v>
      </c>
      <c r="E37" s="204" t="s">
        <v>85</v>
      </c>
      <c r="F37" s="204" t="s">
        <v>321</v>
      </c>
      <c r="G37" s="2"/>
      <c r="H37" s="204"/>
      <c r="I37" s="204"/>
      <c r="J37" s="204"/>
      <c r="K37" s="204"/>
      <c r="L37" s="32" t="s">
        <v>246</v>
      </c>
      <c r="M37" s="387">
        <v>24361</v>
      </c>
      <c r="N37" s="70">
        <v>811179.69</v>
      </c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</row>
    <row r="38" spans="1:32" ht="18" customHeight="1" x14ac:dyDescent="0.2">
      <c r="A38" s="32" t="s">
        <v>96</v>
      </c>
      <c r="B38" s="47">
        <f>SUM(B8:B37)</f>
        <v>7324379.1800000006</v>
      </c>
      <c r="C38" s="69">
        <f>SUM(C8:C37)</f>
        <v>3052554.0332391602</v>
      </c>
      <c r="D38" s="203"/>
      <c r="E38" s="32"/>
      <c r="F38" s="32"/>
      <c r="G38" s="32"/>
      <c r="H38" s="32"/>
      <c r="I38" s="32"/>
      <c r="J38" s="32"/>
      <c r="K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2"/>
      <c r="B39" s="47"/>
      <c r="C39" s="69"/>
      <c r="D39" s="203"/>
      <c r="E39" s="32"/>
      <c r="F39" s="356"/>
      <c r="G39" s="32"/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338" t="s">
        <v>89</v>
      </c>
      <c r="B40" s="339" t="s">
        <v>16</v>
      </c>
      <c r="C40" s="340" t="s">
        <v>0</v>
      </c>
      <c r="D40" s="347" t="s">
        <v>146</v>
      </c>
      <c r="E40" s="338" t="s">
        <v>90</v>
      </c>
      <c r="F40" s="341" t="s">
        <v>101</v>
      </c>
      <c r="G40" s="338" t="s">
        <v>98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539" t="s">
        <v>250</v>
      </c>
      <c r="B41" s="492">
        <f>+DEFS!$C$40+DEFS!$E$40+DEFS!$F$44+DEFS!$F$45+DEFS!$F$46+DEFS!$F$47+DEFS!$F$48</f>
        <v>-2743513.8400000003</v>
      </c>
      <c r="C41" s="353">
        <f>+B41/$H$5</f>
        <v>-1138387.4854771786</v>
      </c>
      <c r="D41" s="371">
        <f>+DEFS!A40</f>
        <v>36894</v>
      </c>
      <c r="E41" s="204" t="s">
        <v>85</v>
      </c>
      <c r="F41" s="32" t="s">
        <v>100</v>
      </c>
      <c r="G41" s="32" t="s">
        <v>317</v>
      </c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539" t="s">
        <v>135</v>
      </c>
      <c r="B42" s="490">
        <f>+Citizens!D18</f>
        <v>-542387.86</v>
      </c>
      <c r="C42" s="206">
        <f>+B42/$H$4</f>
        <v>-226940.52719665269</v>
      </c>
      <c r="D42" s="371">
        <f>+Citizens!A18</f>
        <v>37259</v>
      </c>
      <c r="E42" s="204" t="s">
        <v>85</v>
      </c>
      <c r="F42" s="204" t="s">
        <v>99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248" t="s">
        <v>133</v>
      </c>
      <c r="B43" s="490">
        <f>+'NS Steel'!D41</f>
        <v>-355805</v>
      </c>
      <c r="C43" s="206">
        <f>+B43/$H$4</f>
        <v>-148872.38493723847</v>
      </c>
      <c r="D43" s="372">
        <f>+'NS Steel'!A41</f>
        <v>37256</v>
      </c>
      <c r="E43" s="32" t="s">
        <v>85</v>
      </c>
      <c r="F43" s="32" t="s">
        <v>100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539" t="s">
        <v>262</v>
      </c>
      <c r="B44" s="490">
        <f>+MiVida_Rich!D41</f>
        <v>-195699.5</v>
      </c>
      <c r="C44" s="206">
        <f>+B44/$H$5</f>
        <v>-81203.112033195022</v>
      </c>
      <c r="D44" s="371">
        <f>+MiVida_Rich!A41</f>
        <v>37225</v>
      </c>
      <c r="E44" s="204" t="s">
        <v>85</v>
      </c>
      <c r="F44" s="204" t="s">
        <v>102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2.95" customHeight="1" x14ac:dyDescent="0.2">
      <c r="A45" s="248" t="s">
        <v>217</v>
      </c>
      <c r="B45" s="490">
        <f>+crosstex!F41</f>
        <v>-128374.66</v>
      </c>
      <c r="C45" s="206">
        <f>+B45/$H$4</f>
        <v>-53713.246861924687</v>
      </c>
      <c r="D45" s="372">
        <f>+crosstex!A41</f>
        <v>37259</v>
      </c>
      <c r="E45" s="32" t="s">
        <v>85</v>
      </c>
      <c r="F45" s="32" t="s">
        <v>100</v>
      </c>
      <c r="G45" s="357"/>
      <c r="H45" s="32"/>
      <c r="I45" s="32"/>
      <c r="J45" s="32"/>
      <c r="K45" s="32"/>
      <c r="L45" s="32"/>
      <c r="M45" s="387"/>
      <c r="N45" s="70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s="293" customFormat="1" ht="13.5" customHeight="1" x14ac:dyDescent="0.2">
      <c r="A46" s="248" t="s">
        <v>319</v>
      </c>
      <c r="B46" s="490">
        <f>+C46*$H$3</f>
        <v>-83418.92</v>
      </c>
      <c r="C46" s="275">
        <f>+Amoco!D40</f>
        <v>-35347</v>
      </c>
      <c r="D46" s="372">
        <f>+Amoco!A40</f>
        <v>37259</v>
      </c>
      <c r="E46" s="32" t="s">
        <v>84</v>
      </c>
      <c r="F46" s="32" t="s">
        <v>115</v>
      </c>
      <c r="G46" s="32"/>
      <c r="H46" s="204"/>
      <c r="I46" s="204"/>
      <c r="J46" s="204"/>
      <c r="K46" s="204"/>
      <c r="L46" s="204"/>
      <c r="M46" s="480"/>
      <c r="N46" s="273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</row>
    <row r="47" spans="1:32" s="246" customFormat="1" ht="13.5" customHeight="1" x14ac:dyDescent="0.2">
      <c r="A47" s="248" t="s">
        <v>147</v>
      </c>
      <c r="B47" s="490">
        <f>+PGETX!$H$39</f>
        <v>-68258</v>
      </c>
      <c r="C47" s="275">
        <f>+B47/$H$4</f>
        <v>-28559.832635983261</v>
      </c>
      <c r="D47" s="372">
        <f>+PGETX!E39</f>
        <v>37256</v>
      </c>
      <c r="E47" s="32" t="s">
        <v>85</v>
      </c>
      <c r="F47" s="32" t="s">
        <v>102</v>
      </c>
      <c r="G47" s="32"/>
      <c r="H47" s="249"/>
      <c r="I47" s="249"/>
      <c r="J47" s="249"/>
      <c r="K47" s="249"/>
      <c r="L47" s="32"/>
      <c r="M47" s="480"/>
      <c r="N47" s="273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</row>
    <row r="48" spans="1:32" s="293" customFormat="1" ht="13.5" customHeight="1" x14ac:dyDescent="0.2">
      <c r="A48" s="248" t="s">
        <v>1</v>
      </c>
      <c r="B48" s="490">
        <f>+C48*$H$3</f>
        <v>-57090.759999999995</v>
      </c>
      <c r="C48" s="206">
        <f>+NW!$F$41</f>
        <v>-24191</v>
      </c>
      <c r="D48" s="371">
        <f>+NW!B41</f>
        <v>37259</v>
      </c>
      <c r="E48" s="32" t="s">
        <v>84</v>
      </c>
      <c r="F48" s="32" t="s">
        <v>115</v>
      </c>
      <c r="G48" s="357"/>
      <c r="H48" s="204"/>
      <c r="I48" s="204"/>
      <c r="J48" s="204">
        <f>135710*1.98</f>
        <v>268705.8</v>
      </c>
      <c r="K48" s="204"/>
      <c r="L48" s="204"/>
      <c r="M48" s="480"/>
      <c r="N48" s="273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</row>
    <row r="49" spans="1:32" ht="13.5" customHeight="1" x14ac:dyDescent="0.2">
      <c r="A49" s="248" t="s">
        <v>6</v>
      </c>
      <c r="B49" s="490">
        <f>+Oasis!$D$40</f>
        <v>-32679.61</v>
      </c>
      <c r="C49" s="206">
        <f>+B49/$H$5</f>
        <v>-13560.004149377593</v>
      </c>
      <c r="D49" s="372">
        <f>+Oasis!A40</f>
        <v>37259</v>
      </c>
      <c r="E49" s="32" t="s">
        <v>85</v>
      </c>
      <c r="F49" s="32" t="s">
        <v>102</v>
      </c>
      <c r="G49" s="32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5" customHeight="1" x14ac:dyDescent="0.2">
      <c r="A50" s="539" t="s">
        <v>205</v>
      </c>
      <c r="B50" s="492">
        <f>+WTGmktg!J43</f>
        <v>-31978.880000000001</v>
      </c>
      <c r="C50" s="206">
        <f>+B50/$H$4</f>
        <v>-13380.284518828452</v>
      </c>
      <c r="D50" s="371">
        <f>+WTGmktg!A43</f>
        <v>37259</v>
      </c>
      <c r="E50" s="32" t="s">
        <v>85</v>
      </c>
      <c r="F50" s="204" t="s">
        <v>115</v>
      </c>
      <c r="G50" s="204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293" customFormat="1" ht="13.5" customHeight="1" x14ac:dyDescent="0.2">
      <c r="A51" s="539" t="s">
        <v>142</v>
      </c>
      <c r="B51" s="492">
        <f>+C51*$H$4</f>
        <v>-24086.420000000002</v>
      </c>
      <c r="C51" s="353">
        <f>+PEPL!D41</f>
        <v>-10078</v>
      </c>
      <c r="D51" s="371">
        <f>+PEPL!A41</f>
        <v>37259</v>
      </c>
      <c r="E51" s="204" t="s">
        <v>84</v>
      </c>
      <c r="F51" s="204" t="s">
        <v>100</v>
      </c>
      <c r="G51" s="32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">
      <c r="A52" s="248" t="s">
        <v>302</v>
      </c>
      <c r="B52" s="529">
        <f>+SWGasTrans!$D$41</f>
        <v>-19711.260000000002</v>
      </c>
      <c r="C52" s="71">
        <f>+B52/$H$4</f>
        <v>-8247.3891213389124</v>
      </c>
      <c r="D52" s="371">
        <f>+SWGasTrans!A41</f>
        <v>36894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">
      <c r="A53" s="32" t="s">
        <v>97</v>
      </c>
      <c r="B53" s="351">
        <f>SUM(B41:B52)</f>
        <v>-4283004.71</v>
      </c>
      <c r="C53" s="206">
        <f>SUM(C41:C52)</f>
        <v>-1782480.2669317177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91</v>
      </c>
      <c r="B55" s="359">
        <f>+B53+B38</f>
        <v>3041374.4700000007</v>
      </c>
      <c r="C55" s="360">
        <f>+C53+C38</f>
        <v>1270073.7663074424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273</v>
      </c>
      <c r="B109" s="525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274</v>
      </c>
      <c r="B110" s="525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284</v>
      </c>
      <c r="B114" s="75">
        <v>9780.35</v>
      </c>
      <c r="C114" s="521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287</v>
      </c>
      <c r="B115" s="75">
        <v>47610.18</v>
      </c>
      <c r="C115" s="521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291</v>
      </c>
      <c r="B116" s="15">
        <v>-1548.84</v>
      </c>
      <c r="C116" s="521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295</v>
      </c>
      <c r="B117" s="15">
        <v>-10776.55</v>
      </c>
      <c r="C117" s="521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296</v>
      </c>
      <c r="B118" s="15">
        <v>9125.5499999999993</v>
      </c>
      <c r="C118" s="522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298</v>
      </c>
      <c r="B119" s="527" t="s">
        <v>299</v>
      </c>
      <c r="C119" s="522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303</v>
      </c>
      <c r="B120" s="15">
        <v>1357.88</v>
      </c>
      <c r="C120" s="522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294</v>
      </c>
      <c r="B121" s="15">
        <f>44144.84-58339.66</f>
        <v>-14194.820000000007</v>
      </c>
      <c r="C121" s="522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294</v>
      </c>
      <c r="B122" s="15">
        <v>-51695.87</v>
      </c>
      <c r="C122" s="522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294</v>
      </c>
      <c r="B123" s="15">
        <v>61340.160000000003</v>
      </c>
      <c r="C123" s="522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294</v>
      </c>
      <c r="B124" s="259"/>
      <c r="C124" s="522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304</v>
      </c>
      <c r="B125" s="259">
        <v>828.64</v>
      </c>
      <c r="C125" s="522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305</v>
      </c>
      <c r="B126" s="259">
        <v>8282.6</v>
      </c>
      <c r="C126" s="522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297</v>
      </c>
      <c r="B127" s="259">
        <v>17432.3</v>
      </c>
      <c r="C127" s="522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290</v>
      </c>
      <c r="B128" s="259">
        <v>-7228.77</v>
      </c>
      <c r="C128" s="521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289</v>
      </c>
      <c r="B129" s="15">
        <v>249009.74</v>
      </c>
      <c r="C129" s="521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283</v>
      </c>
      <c r="B130" s="15">
        <v>1974.11</v>
      </c>
      <c r="C130" s="521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268</v>
      </c>
      <c r="B131" s="75">
        <v>-35893</v>
      </c>
      <c r="C131" s="521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278</v>
      </c>
      <c r="B132" s="75">
        <v>27281.87</v>
      </c>
      <c r="C132" s="521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281</v>
      </c>
      <c r="B133" s="75">
        <v>-2614.58</v>
      </c>
      <c r="C133" s="521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282</v>
      </c>
      <c r="B134" s="75">
        <v>-177733.88</v>
      </c>
      <c r="C134" s="521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285</v>
      </c>
      <c r="B135" s="15">
        <v>3338.45</v>
      </c>
      <c r="C135" s="521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286</v>
      </c>
      <c r="B136" s="15">
        <v>15325.21</v>
      </c>
      <c r="C136" s="521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288</v>
      </c>
      <c r="B137" s="15">
        <v>-33878.81</v>
      </c>
      <c r="C137" s="521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292</v>
      </c>
      <c r="B138" s="15">
        <v>-726.96</v>
      </c>
      <c r="C138" s="521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293</v>
      </c>
      <c r="B139" s="47">
        <v>-4405.4799999999996</v>
      </c>
      <c r="C139" s="521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21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21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21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1" sqref="B1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f>-134360-8380</f>
        <v>-142740</v>
      </c>
      <c r="C6" s="80"/>
      <c r="D6" s="80">
        <f t="shared" ref="D6:D14" si="0">+C6-B6</f>
        <v>142740</v>
      </c>
    </row>
    <row r="7" spans="1:4" x14ac:dyDescent="0.2">
      <c r="A7" s="32">
        <v>3531</v>
      </c>
      <c r="B7" s="312">
        <f>-56978-27236</f>
        <v>-84214</v>
      </c>
      <c r="C7" s="80">
        <v>-35396</v>
      </c>
      <c r="D7" s="80">
        <f t="shared" si="0"/>
        <v>48818</v>
      </c>
    </row>
    <row r="8" spans="1:4" x14ac:dyDescent="0.2">
      <c r="A8" s="32">
        <v>60667</v>
      </c>
      <c r="B8" s="312">
        <f>-36658-64102</f>
        <v>-100760</v>
      </c>
      <c r="C8" s="80">
        <v>-282408</v>
      </c>
      <c r="D8" s="80">
        <f t="shared" si="0"/>
        <v>-181648</v>
      </c>
    </row>
    <row r="9" spans="1:4" x14ac:dyDescent="0.2">
      <c r="A9" s="32">
        <v>60749</v>
      </c>
      <c r="B9" s="312">
        <v>23121</v>
      </c>
      <c r="C9" s="80">
        <v>22232</v>
      </c>
      <c r="D9" s="80">
        <f t="shared" si="0"/>
        <v>-889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9021</v>
      </c>
    </row>
    <row r="19" spans="1:5" x14ac:dyDescent="0.2">
      <c r="A19" s="32" t="s">
        <v>81</v>
      </c>
      <c r="B19" s="69"/>
      <c r="C19" s="69"/>
      <c r="D19" s="73">
        <f>+summary!H4</f>
        <v>2.39</v>
      </c>
    </row>
    <row r="20" spans="1:5" x14ac:dyDescent="0.2">
      <c r="B20" s="69"/>
      <c r="C20" s="69"/>
      <c r="D20" s="75">
        <f>+D19*D18</f>
        <v>21560.190000000002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6">
        <v>58523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36894</v>
      </c>
      <c r="B24" s="69"/>
      <c r="C24" s="69"/>
      <c r="D24" s="335">
        <f>+D22+D20</f>
        <v>80083.19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7">
        <v>26010</v>
      </c>
    </row>
    <row r="33" spans="1:4" x14ac:dyDescent="0.2">
      <c r="A33" s="49">
        <f>+A24</f>
        <v>36894</v>
      </c>
      <c r="D33" s="355">
        <f>+D18</f>
        <v>9021</v>
      </c>
    </row>
    <row r="34" spans="1:4" x14ac:dyDescent="0.2">
      <c r="D34" s="14">
        <f>+D33+D32</f>
        <v>35031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-16924</v>
      </c>
      <c r="C5" s="90">
        <v>-5328</v>
      </c>
      <c r="D5" s="90">
        <f t="shared" ref="D5:D13" si="0">+C5-B5</f>
        <v>11596</v>
      </c>
      <c r="E5" s="69"/>
      <c r="F5" s="201"/>
    </row>
    <row r="6" spans="1:13" x14ac:dyDescent="0.2">
      <c r="A6" s="87">
        <v>9238</v>
      </c>
      <c r="B6" s="90">
        <v>-1929</v>
      </c>
      <c r="C6" s="90">
        <v>-3000</v>
      </c>
      <c r="D6" s="90">
        <f t="shared" si="0"/>
        <v>-1071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-335098</v>
      </c>
      <c r="C7" s="90">
        <v>-370246</v>
      </c>
      <c r="D7" s="90">
        <f t="shared" si="0"/>
        <v>-35148</v>
      </c>
      <c r="E7" s="275"/>
      <c r="F7" s="201"/>
    </row>
    <row r="8" spans="1:13" x14ac:dyDescent="0.2">
      <c r="A8" s="87">
        <v>58710</v>
      </c>
      <c r="B8" s="90">
        <v>-66770</v>
      </c>
      <c r="C8" s="90">
        <v>-49260</v>
      </c>
      <c r="D8" s="90">
        <f t="shared" si="0"/>
        <v>17510</v>
      </c>
      <c r="E8" s="275"/>
      <c r="F8" s="201"/>
    </row>
    <row r="9" spans="1:13" x14ac:dyDescent="0.2">
      <c r="A9" s="87">
        <v>60921</v>
      </c>
      <c r="B9" s="90">
        <v>-151823</v>
      </c>
      <c r="C9" s="90">
        <v>-136234</v>
      </c>
      <c r="D9" s="90">
        <f t="shared" si="0"/>
        <v>15589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f>-4517-2296</f>
        <v>-6813</v>
      </c>
      <c r="C11" s="90">
        <v>-9000</v>
      </c>
      <c r="D11" s="90">
        <f t="shared" si="0"/>
        <v>-2187</v>
      </c>
      <c r="E11" s="276"/>
      <c r="F11" s="475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">
      <c r="A13" s="87">
        <v>500097</v>
      </c>
      <c r="B13" s="90">
        <v>-14119</v>
      </c>
      <c r="C13" s="90">
        <v>-12000</v>
      </c>
      <c r="D13" s="90">
        <f t="shared" si="0"/>
        <v>2119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8409</v>
      </c>
      <c r="E17" s="275"/>
      <c r="F17" s="475"/>
    </row>
    <row r="18" spans="1:7" x14ac:dyDescent="0.2">
      <c r="A18" s="87" t="s">
        <v>81</v>
      </c>
      <c r="B18" s="88"/>
      <c r="C18" s="88"/>
      <c r="D18" s="95">
        <f>+summary!H4</f>
        <v>2.39</v>
      </c>
      <c r="E18" s="277"/>
      <c r="F18" s="475"/>
    </row>
    <row r="19" spans="1:7" x14ac:dyDescent="0.2">
      <c r="A19" s="87"/>
      <c r="B19" s="88"/>
      <c r="C19" s="88"/>
      <c r="D19" s="96">
        <f>+D18*D17</f>
        <v>20097.510000000002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13">
        <v>713715.32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37259</v>
      </c>
      <c r="B23" s="88"/>
      <c r="C23" s="88"/>
      <c r="D23" s="321">
        <f>+D21+D19</f>
        <v>733812.83</v>
      </c>
      <c r="E23" s="207"/>
      <c r="F23" s="476"/>
    </row>
    <row r="24" spans="1:7" ht="13.5" thickTop="1" x14ac:dyDescent="0.2">
      <c r="E24" s="278"/>
    </row>
    <row r="25" spans="1:7" x14ac:dyDescent="0.2">
      <c r="E25" s="538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06">
        <v>283678</v>
      </c>
    </row>
    <row r="29" spans="1:7" x14ac:dyDescent="0.2">
      <c r="A29" s="49">
        <f>+A23</f>
        <v>37259</v>
      </c>
      <c r="B29" s="32"/>
      <c r="C29" s="32"/>
      <c r="D29" s="355">
        <f>+D17</f>
        <v>8409</v>
      </c>
    </row>
    <row r="30" spans="1:7" x14ac:dyDescent="0.2">
      <c r="A30" s="32"/>
      <c r="B30" s="32"/>
      <c r="C30" s="32"/>
      <c r="D30" s="14">
        <f>+D29+D28</f>
        <v>292087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29" sqref="C2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/>
      <c r="C6" s="90"/>
      <c r="D6" s="90"/>
      <c r="E6" s="90"/>
      <c r="F6" s="90">
        <f t="shared" ref="F6:F33" si="0">+E6-D6+C6-B6</f>
        <v>0</v>
      </c>
      <c r="I6" t="s">
        <v>236</v>
      </c>
      <c r="P6" t="s">
        <v>237</v>
      </c>
    </row>
    <row r="7" spans="1:24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123094</v>
      </c>
      <c r="C34" s="287">
        <f>SUM(C3:C33)</f>
        <v>125014</v>
      </c>
      <c r="D34" s="14">
        <f>SUM(D3:D33)</f>
        <v>0</v>
      </c>
      <c r="E34" s="14">
        <f>SUM(E3:E33)</f>
        <v>0</v>
      </c>
      <c r="F34" s="14">
        <f>SUM(F3:F33)</f>
        <v>1920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8">
        <v>116110</v>
      </c>
      <c r="M37" s="259"/>
      <c r="N37" s="259"/>
      <c r="O37" s="259"/>
      <c r="T37" s="259"/>
      <c r="U37" s="259"/>
    </row>
    <row r="38" spans="1:21" x14ac:dyDescent="0.2">
      <c r="A38" s="256">
        <v>37259</v>
      </c>
      <c r="B38" s="14"/>
      <c r="C38" s="14"/>
      <c r="D38" s="14"/>
      <c r="E38" s="14"/>
      <c r="F38" s="150">
        <f>+F37+F34</f>
        <v>118030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50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37259</v>
      </c>
      <c r="B44" s="32"/>
      <c r="C44" s="32"/>
      <c r="D44" s="382">
        <f>+F34*'by type_area'!J4</f>
        <v>4588.8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300964.8</v>
      </c>
      <c r="F45" s="293"/>
      <c r="I45" s="535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C30" sqref="C3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-40954</v>
      </c>
      <c r="C35" s="11">
        <f>SUM(C4:C34)</f>
        <v>-40900</v>
      </c>
      <c r="D35" s="11">
        <f>SUM(D4:D34)</f>
        <v>54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511">
        <v>186823</v>
      </c>
    </row>
    <row r="39" spans="1:4" x14ac:dyDescent="0.2">
      <c r="A39" s="2"/>
      <c r="D39" s="24"/>
    </row>
    <row r="40" spans="1:4" x14ac:dyDescent="0.2">
      <c r="A40" s="57">
        <v>37259</v>
      </c>
      <c r="D40" s="51">
        <f>+D38+D35</f>
        <v>186877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509">
        <v>199813</v>
      </c>
    </row>
    <row r="46" spans="1:4" x14ac:dyDescent="0.2">
      <c r="A46" s="49">
        <f>+A40</f>
        <v>37259</v>
      </c>
      <c r="B46" s="32"/>
      <c r="C46" s="32"/>
      <c r="D46" s="382">
        <f>+D35*'by type_area'!J4</f>
        <v>129.06</v>
      </c>
    </row>
    <row r="47" spans="1:4" x14ac:dyDescent="0.2">
      <c r="A47" s="32"/>
      <c r="B47" s="32"/>
      <c r="C47" s="32"/>
      <c r="D47" s="200">
        <f>+D46+D45</f>
        <v>199942.06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2.39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05">
        <v>4885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37256</v>
      </c>
      <c r="J41" s="322">
        <f>+J39+J37</f>
        <v>4885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06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37256</v>
      </c>
      <c r="B47" s="32"/>
      <c r="C47" s="32"/>
      <c r="D47" s="355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-125383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2.39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4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6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+summary!H4</f>
        <v>2.39</v>
      </c>
    </row>
    <row r="41" spans="1:6" x14ac:dyDescent="0.2">
      <c r="F41" s="138">
        <f>+F40*F39</f>
        <v>0</v>
      </c>
    </row>
    <row r="42" spans="1:6" x14ac:dyDescent="0.2">
      <c r="A42" s="57">
        <v>37256</v>
      </c>
      <c r="C42" s="15"/>
      <c r="F42" s="516">
        <v>34262</v>
      </c>
    </row>
    <row r="43" spans="1:6" x14ac:dyDescent="0.2">
      <c r="A43" s="57">
        <v>37256</v>
      </c>
      <c r="C43" s="48"/>
      <c r="F43" s="138">
        <f>+F42+F41</f>
        <v>34262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506">
        <v>748</v>
      </c>
    </row>
    <row r="49" spans="1:4" x14ac:dyDescent="0.2">
      <c r="A49" s="49">
        <f>+A43</f>
        <v>37256</v>
      </c>
      <c r="B49" s="32"/>
      <c r="C49" s="32"/>
      <c r="D49" s="355">
        <f>+F39</f>
        <v>0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7" workbookViewId="0">
      <selection activeCell="B25" sqref="B25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8"/>
    </row>
    <row r="41" spans="1:4" x14ac:dyDescent="0.2">
      <c r="A41" s="57">
        <v>37256</v>
      </c>
      <c r="C41" s="15"/>
      <c r="D41" s="465">
        <v>16328</v>
      </c>
    </row>
    <row r="42" spans="1:4" x14ac:dyDescent="0.2">
      <c r="A42" s="57">
        <v>37256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9">
        <v>383278</v>
      </c>
    </row>
    <row r="48" spans="1:4" x14ac:dyDescent="0.2">
      <c r="A48" s="49">
        <f>+A42</f>
        <v>37256</v>
      </c>
      <c r="B48" s="32"/>
      <c r="C48" s="32"/>
      <c r="D48" s="382">
        <f>+D39*summary!H4</f>
        <v>0</v>
      </c>
    </row>
    <row r="49" spans="1:4" x14ac:dyDescent="0.2">
      <c r="A49" s="32"/>
      <c r="B49" s="32"/>
      <c r="C49" s="32"/>
      <c r="D49" s="200">
        <f>+D48+D47</f>
        <v>383278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B40" sqref="B4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-84088</v>
      </c>
      <c r="C8" s="11">
        <v>-90299</v>
      </c>
      <c r="D8" s="25">
        <f t="shared" si="0"/>
        <v>-6211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-249604</v>
      </c>
      <c r="I19" s="119">
        <f>+C37</f>
        <v>-250885</v>
      </c>
      <c r="J19" s="119">
        <f>+I19-H19</f>
        <v>-1281</v>
      </c>
      <c r="K19" s="420">
        <f>+D38</f>
        <v>2.39</v>
      </c>
      <c r="L19" s="425">
        <f>+K19*J19</f>
        <v>-3061.59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129211</v>
      </c>
      <c r="K24" s="416"/>
      <c r="L24" s="110">
        <f>+L19+L17</f>
        <v>78623.509999999835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32896.86610878654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-249604</v>
      </c>
      <c r="C37" s="11">
        <f>SUM(C6:C36)</f>
        <v>-250885</v>
      </c>
      <c r="D37" s="25">
        <f>SUM(D6:D36)</f>
        <v>-1281</v>
      </c>
    </row>
    <row r="38" spans="1:4" x14ac:dyDescent="0.2">
      <c r="A38" s="26"/>
      <c r="C38" s="14"/>
      <c r="D38" s="329">
        <f>+summary!H4</f>
        <v>2.39</v>
      </c>
    </row>
    <row r="39" spans="1:4" x14ac:dyDescent="0.2">
      <c r="D39" s="138">
        <f>+D38*D37</f>
        <v>-3061.59</v>
      </c>
    </row>
    <row r="40" spans="1:4" x14ac:dyDescent="0.2">
      <c r="A40" s="57">
        <v>37256</v>
      </c>
      <c r="C40" s="15"/>
      <c r="D40" s="516">
        <v>181805</v>
      </c>
    </row>
    <row r="41" spans="1:4" x14ac:dyDescent="0.2">
      <c r="A41" s="57">
        <v>37259</v>
      </c>
      <c r="C41" s="48"/>
      <c r="D41" s="138">
        <f>+D40+D39</f>
        <v>178743.41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6">
        <v>174403</v>
      </c>
    </row>
    <row r="46" spans="1:4" x14ac:dyDescent="0.2">
      <c r="A46" s="49">
        <f>+A41</f>
        <v>37259</v>
      </c>
      <c r="B46" s="32"/>
      <c r="C46" s="32"/>
      <c r="D46" s="355">
        <f>+D37</f>
        <v>-1281</v>
      </c>
    </row>
    <row r="47" spans="1:4" x14ac:dyDescent="0.2">
      <c r="A47" s="32"/>
      <c r="B47" s="32"/>
      <c r="C47" s="32"/>
      <c r="D47" s="14">
        <f>+D46+D45</f>
        <v>173122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workbookViewId="0">
      <selection activeCell="C9" sqref="C9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/>
      <c r="C9" s="11"/>
      <c r="D9" s="25">
        <f t="shared" si="0"/>
        <v>0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90287</v>
      </c>
      <c r="C37" s="11">
        <f>SUM(C6:C36)</f>
        <v>90039</v>
      </c>
      <c r="D37" s="25">
        <f>SUM(D6:D36)</f>
        <v>-248</v>
      </c>
    </row>
    <row r="38" spans="1:4" x14ac:dyDescent="0.2">
      <c r="A38" s="26"/>
      <c r="B38" s="31"/>
      <c r="C38" s="14"/>
      <c r="D38" s="329">
        <f>+summary!H5</f>
        <v>2.41</v>
      </c>
    </row>
    <row r="39" spans="1:4" x14ac:dyDescent="0.2">
      <c r="D39" s="138">
        <f>+D38*D37</f>
        <v>-597.68000000000006</v>
      </c>
    </row>
    <row r="40" spans="1:4" x14ac:dyDescent="0.2">
      <c r="A40" s="57">
        <v>37256</v>
      </c>
      <c r="C40" s="15"/>
      <c r="D40" s="516">
        <v>85004</v>
      </c>
    </row>
    <row r="41" spans="1:4" x14ac:dyDescent="0.2">
      <c r="A41" s="57">
        <v>37259</v>
      </c>
      <c r="C41" s="48"/>
      <c r="D41" s="138">
        <f>+D40+D39</f>
        <v>84406.32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6">
        <v>54582</v>
      </c>
    </row>
    <row r="46" spans="1:4" x14ac:dyDescent="0.2">
      <c r="A46" s="49">
        <f>+A41</f>
        <v>37259</v>
      </c>
      <c r="B46" s="32"/>
      <c r="C46" s="32"/>
      <c r="D46" s="355">
        <f>+D37</f>
        <v>-248</v>
      </c>
    </row>
    <row r="47" spans="1:4" x14ac:dyDescent="0.2">
      <c r="A47" s="32"/>
      <c r="B47" s="32"/>
      <c r="C47" s="32"/>
      <c r="D47" s="14">
        <f>+D46+D45</f>
        <v>54334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A42" sqref="A42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38098</v>
      </c>
      <c r="E6" s="11">
        <v>38046</v>
      </c>
      <c r="F6" s="11">
        <v>47669</v>
      </c>
      <c r="G6" s="11">
        <v>45711</v>
      </c>
      <c r="H6" s="11">
        <v>136447</v>
      </c>
      <c r="I6" s="11">
        <v>129393</v>
      </c>
      <c r="J6" s="11">
        <f t="shared" si="0"/>
        <v>-1157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3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850592</v>
      </c>
      <c r="C35" s="11">
        <f t="shared" ref="C35:I35" si="3">SUM(C4:C34)</f>
        <v>859902</v>
      </c>
      <c r="D35" s="11">
        <f t="shared" si="3"/>
        <v>119048</v>
      </c>
      <c r="E35" s="11">
        <f t="shared" si="3"/>
        <v>116700</v>
      </c>
      <c r="F35" s="11">
        <f t="shared" si="3"/>
        <v>118298</v>
      </c>
      <c r="G35" s="11">
        <f t="shared" si="3"/>
        <v>145037</v>
      </c>
      <c r="H35" s="11">
        <f t="shared" si="3"/>
        <v>333560</v>
      </c>
      <c r="I35" s="11">
        <f t="shared" si="3"/>
        <v>299866</v>
      </c>
      <c r="J35" s="11">
        <f>SUM(J4:J34)</f>
        <v>7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504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37259</v>
      </c>
      <c r="J40" s="51">
        <f>+J38+J35</f>
        <v>7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9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37259</v>
      </c>
      <c r="B47" s="32"/>
      <c r="C47" s="32"/>
      <c r="D47" s="382">
        <f>+J35*'by type_area'!J3</f>
        <v>16.52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16.52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2" sqref="C3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140627</v>
      </c>
      <c r="C37" s="11">
        <f>SUM(C6:C36)</f>
        <v>135296</v>
      </c>
      <c r="D37" s="25">
        <f>SUM(D6:D36)</f>
        <v>-5331</v>
      </c>
    </row>
    <row r="38" spans="1:4" x14ac:dyDescent="0.2">
      <c r="A38" s="26"/>
      <c r="C38" s="14"/>
      <c r="D38" s="329">
        <f>+summary!H5</f>
        <v>2.41</v>
      </c>
    </row>
    <row r="39" spans="1:4" x14ac:dyDescent="0.2">
      <c r="D39" s="138">
        <f>+D38*D37</f>
        <v>-12847.710000000001</v>
      </c>
    </row>
    <row r="40" spans="1:4" x14ac:dyDescent="0.2">
      <c r="A40" s="57">
        <v>37256</v>
      </c>
      <c r="C40" s="15"/>
      <c r="D40" s="515">
        <v>45576</v>
      </c>
    </row>
    <row r="41" spans="1:4" x14ac:dyDescent="0.2">
      <c r="A41" s="57">
        <v>37259</v>
      </c>
      <c r="C41" s="48"/>
      <c r="D41" s="138">
        <f>+D40+D39</f>
        <v>32728.29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6">
        <v>21398</v>
      </c>
    </row>
    <row r="47" spans="1:4" x14ac:dyDescent="0.2">
      <c r="A47" s="49">
        <f>+A41</f>
        <v>37259</v>
      </c>
      <c r="B47" s="32"/>
      <c r="C47" s="32"/>
      <c r="D47" s="355">
        <f>+D37</f>
        <v>-5331</v>
      </c>
    </row>
    <row r="48" spans="1:4" x14ac:dyDescent="0.2">
      <c r="A48" s="32"/>
      <c r="B48" s="32"/>
      <c r="C48" s="32"/>
      <c r="D48" s="14">
        <f>+D47+D46</f>
        <v>16067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29" sqref="B2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/>
      <c r="C6" s="11"/>
      <c r="D6" s="25">
        <f>+C6-B6</f>
        <v>0</v>
      </c>
    </row>
    <row r="7" spans="1:13" x14ac:dyDescent="0.2">
      <c r="A7" s="10">
        <v>2</v>
      </c>
      <c r="B7" s="11"/>
      <c r="C7" s="11"/>
      <c r="D7" s="25">
        <f t="shared" ref="D7:D36" si="0">+C7-B7</f>
        <v>0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+summary!H4</f>
        <v>2.39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16">
        <v>-355805</v>
      </c>
    </row>
    <row r="41" spans="1:4" x14ac:dyDescent="0.2">
      <c r="A41" s="57">
        <v>37256</v>
      </c>
      <c r="C41" s="48"/>
      <c r="D41" s="138">
        <f>+D40+D39</f>
        <v>-355805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06">
        <v>-44621</v>
      </c>
    </row>
    <row r="49" spans="1:4" x14ac:dyDescent="0.2">
      <c r="A49" s="49">
        <f>+A41</f>
        <v>37256</v>
      </c>
      <c r="B49" s="32"/>
      <c r="C49" s="32"/>
      <c r="D49" s="355">
        <f>+D37</f>
        <v>0</v>
      </c>
    </row>
    <row r="50" spans="1:4" x14ac:dyDescent="0.2">
      <c r="A50" s="32"/>
      <c r="B50" s="32"/>
      <c r="C50" s="32"/>
      <c r="D50" s="14">
        <f>+D49+D48</f>
        <v>-44621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>
        <v>-399</v>
      </c>
      <c r="C36" s="11"/>
      <c r="D36" s="25">
        <f t="shared" si="0"/>
        <v>399</v>
      </c>
    </row>
    <row r="37" spans="1:4" x14ac:dyDescent="0.2">
      <c r="A37" s="10"/>
      <c r="B37" s="11">
        <f>SUM(B6:B36)</f>
        <v>-399</v>
      </c>
      <c r="C37" s="11">
        <f>SUM(C6:C36)</f>
        <v>0</v>
      </c>
      <c r="D37" s="25">
        <f>SUM(D6:D36)</f>
        <v>399</v>
      </c>
    </row>
    <row r="38" spans="1:4" x14ac:dyDescent="0.2">
      <c r="A38" s="26"/>
      <c r="C38" s="14"/>
      <c r="D38" s="329">
        <f>+summary!H4</f>
        <v>2.39</v>
      </c>
    </row>
    <row r="39" spans="1:4" x14ac:dyDescent="0.2">
      <c r="D39" s="138">
        <f>+D38*D37</f>
        <v>953.61</v>
      </c>
    </row>
    <row r="40" spans="1:4" x14ac:dyDescent="0.2">
      <c r="A40" s="57">
        <v>37256</v>
      </c>
      <c r="C40" s="15"/>
      <c r="D40" s="516">
        <v>67745</v>
      </c>
    </row>
    <row r="41" spans="1:4" x14ac:dyDescent="0.2">
      <c r="A41" s="57">
        <v>37259</v>
      </c>
      <c r="C41" s="48"/>
      <c r="D41" s="138">
        <f>+D40+D39</f>
        <v>68698.61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6">
        <v>36152</v>
      </c>
    </row>
    <row r="47" spans="1:4" x14ac:dyDescent="0.2">
      <c r="A47" s="49">
        <f>+A41</f>
        <v>37259</v>
      </c>
      <c r="B47" s="32"/>
      <c r="C47" s="32"/>
      <c r="D47" s="355">
        <f>+D37</f>
        <v>399</v>
      </c>
    </row>
    <row r="48" spans="1:4" x14ac:dyDescent="0.2">
      <c r="A48" s="32"/>
      <c r="B48" s="32"/>
      <c r="C48" s="32"/>
      <c r="D48" s="14">
        <f>+D47+D46</f>
        <v>36551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-378</v>
      </c>
      <c r="D5" s="90">
        <f>+C5-B5</f>
        <v>-378</v>
      </c>
      <c r="E5" s="275"/>
      <c r="F5" s="273"/>
    </row>
    <row r="6" spans="1:13" x14ac:dyDescent="0.2">
      <c r="A6" s="87">
        <v>500046</v>
      </c>
      <c r="B6" s="90">
        <v>-945</v>
      </c>
      <c r="C6" s="90"/>
      <c r="D6" s="90">
        <f t="shared" ref="D6:D11" si="0">+C6-B6</f>
        <v>945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-3031</v>
      </c>
      <c r="C8" s="90">
        <v>-5136</v>
      </c>
      <c r="D8" s="90">
        <f t="shared" si="0"/>
        <v>-2105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-1538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+summary!H4</f>
        <v>2.39</v>
      </c>
      <c r="E13" s="277"/>
      <c r="F13" s="273"/>
    </row>
    <row r="14" spans="1:13" x14ac:dyDescent="0.2">
      <c r="A14" s="87"/>
      <c r="B14" s="88"/>
      <c r="C14" s="88"/>
      <c r="D14" s="96">
        <f>+D13*D12</f>
        <v>-3675.82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13">
        <v>-538712.04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37259</v>
      </c>
      <c r="B18" s="88"/>
      <c r="C18" s="88"/>
      <c r="D18" s="321">
        <f>+D16+D14</f>
        <v>-542387.86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06">
        <v>-37276</v>
      </c>
    </row>
    <row r="23" spans="1:7" x14ac:dyDescent="0.2">
      <c r="A23" s="49">
        <f>+A18</f>
        <v>37259</v>
      </c>
      <c r="B23" s="32"/>
      <c r="C23" s="32"/>
      <c r="D23" s="355">
        <f>+D12</f>
        <v>-1538</v>
      </c>
    </row>
    <row r="24" spans="1:7" x14ac:dyDescent="0.2">
      <c r="A24" s="32"/>
      <c r="B24" s="32"/>
      <c r="C24" s="32"/>
      <c r="D24" s="14">
        <f>+D23+D22</f>
        <v>-38814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A42" sqref="A4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-175</v>
      </c>
      <c r="C37" s="11">
        <f>SUM(C6:C36)</f>
        <v>-2000</v>
      </c>
      <c r="D37" s="25">
        <f>SUM(D6:D36)</f>
        <v>-1825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504">
        <v>-8253</v>
      </c>
    </row>
    <row r="41" spans="1:4" x14ac:dyDescent="0.2">
      <c r="A41" s="57">
        <v>37259</v>
      </c>
      <c r="C41" s="48"/>
      <c r="D41" s="25">
        <f>+D40+D37</f>
        <v>-10078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9">
        <v>163235</v>
      </c>
    </row>
    <row r="46" spans="1:4" x14ac:dyDescent="0.2">
      <c r="A46" s="49">
        <f>+A41</f>
        <v>37259</v>
      </c>
      <c r="B46" s="32"/>
      <c r="C46" s="32"/>
      <c r="D46" s="382">
        <f>+D37*'by type_area'!J4</f>
        <v>-4361.75</v>
      </c>
    </row>
    <row r="47" spans="1:4" x14ac:dyDescent="0.2">
      <c r="A47" s="32"/>
      <c r="B47" s="32"/>
      <c r="C47" s="32"/>
      <c r="D47" s="200">
        <f>+D46+D45</f>
        <v>158873.25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241</v>
      </c>
      <c r="C3" s="87"/>
      <c r="D3" s="87"/>
    </row>
    <row r="4" spans="1:4" x14ac:dyDescent="0.2">
      <c r="A4" s="3"/>
      <c r="B4" s="331" t="s">
        <v>240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2.41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6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6">
        <v>-47898</v>
      </c>
    </row>
    <row r="47" spans="1:4" x14ac:dyDescent="0.2">
      <c r="A47" s="49">
        <f>+A41</f>
        <v>37225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2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242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-196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382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-583</v>
      </c>
      <c r="C37" s="11">
        <f t="shared" ref="C37:I37" si="1">SUM(C6:C36)</f>
        <v>-510</v>
      </c>
      <c r="D37" s="11">
        <f t="shared" si="1"/>
        <v>0</v>
      </c>
      <c r="E37" s="11">
        <f t="shared" si="1"/>
        <v>0</v>
      </c>
      <c r="F37" s="11">
        <f t="shared" si="1"/>
        <v>-4585</v>
      </c>
      <c r="G37" s="11">
        <f t="shared" si="1"/>
        <v>-3150</v>
      </c>
      <c r="H37" s="11">
        <f t="shared" si="1"/>
        <v>0</v>
      </c>
      <c r="I37" s="11">
        <f t="shared" si="1"/>
        <v>0</v>
      </c>
      <c r="J37" s="11">
        <f>SUM(J6:J36)</f>
        <v>1508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2.39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3604.1200000000003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05">
        <v>-35583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37259</v>
      </c>
      <c r="J43" s="322">
        <f>+J41+J39</f>
        <v>-31978.880000000001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06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37259</v>
      </c>
      <c r="B49" s="32"/>
      <c r="C49" s="32"/>
      <c r="D49" s="355">
        <f>+J37</f>
        <v>1508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-1945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306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30"/>
      <c r="C6" s="11"/>
      <c r="D6" s="530"/>
      <c r="E6" s="11"/>
      <c r="F6" s="530"/>
      <c r="G6" s="11"/>
      <c r="H6" s="530"/>
      <c r="I6" s="11"/>
      <c r="J6" s="530"/>
      <c r="K6" s="11"/>
      <c r="L6" s="11">
        <v>-675</v>
      </c>
      <c r="M6" s="11">
        <v>-581</v>
      </c>
      <c r="N6" s="11">
        <f>+M6+K6+I6+G6+E6+C6-L6-J6-H6-F6-D6-B6</f>
        <v>94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30"/>
      <c r="C7" s="11"/>
      <c r="D7" s="530"/>
      <c r="E7" s="11"/>
      <c r="F7" s="530"/>
      <c r="G7" s="11"/>
      <c r="H7" s="530"/>
      <c r="I7" s="11"/>
      <c r="J7" s="530"/>
      <c r="K7" s="11"/>
      <c r="L7" s="11">
        <v>-926</v>
      </c>
      <c r="M7" s="11">
        <v>-581</v>
      </c>
      <c r="N7" s="11">
        <f t="shared" ref="N7:N36" si="0">+M7+K7+I7+G7+E7+C7-L7-J7-H7-F7-D7-B7</f>
        <v>345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30"/>
      <c r="C8" s="11"/>
      <c r="D8" s="530"/>
      <c r="E8" s="11"/>
      <c r="F8" s="530"/>
      <c r="G8" s="11"/>
      <c r="H8" s="530"/>
      <c r="I8" s="11"/>
      <c r="J8" s="530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30"/>
      <c r="C9" s="11"/>
      <c r="D9" s="530"/>
      <c r="E9" s="11"/>
      <c r="F9" s="530"/>
      <c r="G9" s="11"/>
      <c r="H9" s="530"/>
      <c r="I9" s="11"/>
      <c r="J9" s="530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30"/>
      <c r="C10" s="11"/>
      <c r="D10" s="530"/>
      <c r="E10" s="11"/>
      <c r="F10" s="530"/>
      <c r="G10" s="11"/>
      <c r="H10" s="530"/>
      <c r="I10" s="11"/>
      <c r="J10" s="530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30"/>
      <c r="C11" s="11"/>
      <c r="D11" s="530"/>
      <c r="E11" s="11"/>
      <c r="F11" s="530"/>
      <c r="G11" s="11"/>
      <c r="H11" s="530"/>
      <c r="I11" s="11"/>
      <c r="J11" s="530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30"/>
      <c r="C12" s="11"/>
      <c r="D12" s="530"/>
      <c r="E12" s="11"/>
      <c r="F12" s="530"/>
      <c r="G12" s="11"/>
      <c r="H12" s="530"/>
      <c r="I12" s="11"/>
      <c r="J12" s="530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30"/>
      <c r="C13" s="11"/>
      <c r="D13" s="530"/>
      <c r="E13" s="11"/>
      <c r="F13" s="530"/>
      <c r="G13" s="11"/>
      <c r="H13" s="530"/>
      <c r="I13" s="11"/>
      <c r="J13" s="530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30"/>
      <c r="C14" s="11"/>
      <c r="D14" s="530"/>
      <c r="E14" s="11"/>
      <c r="F14" s="530"/>
      <c r="G14" s="11"/>
      <c r="H14" s="530"/>
      <c r="I14" s="11"/>
      <c r="J14" s="530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30"/>
      <c r="C15" s="11"/>
      <c r="D15" s="530"/>
      <c r="E15" s="11"/>
      <c r="F15" s="530"/>
      <c r="G15" s="11"/>
      <c r="H15" s="530"/>
      <c r="I15" s="11"/>
      <c r="J15" s="530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30"/>
      <c r="C16" s="11"/>
      <c r="D16" s="530"/>
      <c r="E16" s="11"/>
      <c r="F16" s="530"/>
      <c r="G16" s="11"/>
      <c r="H16" s="530"/>
      <c r="I16" s="11"/>
      <c r="J16" s="530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30"/>
      <c r="C17" s="11"/>
      <c r="D17" s="530"/>
      <c r="E17" s="11"/>
      <c r="F17" s="530"/>
      <c r="G17" s="11"/>
      <c r="H17" s="530"/>
      <c r="I17" s="11"/>
      <c r="J17" s="530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30"/>
      <c r="C18" s="11"/>
      <c r="D18" s="530"/>
      <c r="E18" s="11"/>
      <c r="F18" s="530"/>
      <c r="G18" s="11"/>
      <c r="H18" s="530"/>
      <c r="I18" s="11"/>
      <c r="J18" s="530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30"/>
      <c r="C19" s="11"/>
      <c r="D19" s="530"/>
      <c r="E19" s="11"/>
      <c r="F19" s="530"/>
      <c r="G19" s="11"/>
      <c r="H19" s="530"/>
      <c r="I19" s="11"/>
      <c r="J19" s="530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30"/>
      <c r="C20" s="11"/>
      <c r="D20" s="530"/>
      <c r="E20" s="11"/>
      <c r="F20" s="530"/>
      <c r="G20" s="11"/>
      <c r="H20" s="530"/>
      <c r="I20" s="11"/>
      <c r="J20" s="530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30"/>
      <c r="C21" s="11"/>
      <c r="D21" s="530"/>
      <c r="E21" s="11"/>
      <c r="F21" s="530"/>
      <c r="G21" s="11"/>
      <c r="H21" s="530"/>
      <c r="I21" s="11"/>
      <c r="J21" s="530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30"/>
      <c r="C22" s="11"/>
      <c r="D22" s="530"/>
      <c r="E22" s="11"/>
      <c r="F22" s="530"/>
      <c r="G22" s="11"/>
      <c r="H22" s="530"/>
      <c r="I22" s="11"/>
      <c r="J22" s="53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30"/>
      <c r="C23" s="11"/>
      <c r="D23" s="530"/>
      <c r="E23" s="11"/>
      <c r="F23" s="530"/>
      <c r="G23" s="11"/>
      <c r="H23" s="530"/>
      <c r="I23" s="11"/>
      <c r="J23" s="53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30"/>
      <c r="C24" s="11"/>
      <c r="D24" s="530"/>
      <c r="E24" s="11"/>
      <c r="F24" s="530"/>
      <c r="G24" s="11"/>
      <c r="H24" s="530"/>
      <c r="I24" s="11"/>
      <c r="J24" s="53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30"/>
      <c r="C25" s="11"/>
      <c r="D25" s="530"/>
      <c r="E25" s="11"/>
      <c r="F25" s="530"/>
      <c r="G25" s="11"/>
      <c r="H25" s="530"/>
      <c r="I25" s="11"/>
      <c r="J25" s="53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30"/>
      <c r="C26" s="11"/>
      <c r="D26" s="530"/>
      <c r="E26" s="11"/>
      <c r="F26" s="530"/>
      <c r="G26" s="11"/>
      <c r="H26" s="530"/>
      <c r="I26" s="11"/>
      <c r="J26" s="53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30"/>
      <c r="C27" s="11"/>
      <c r="D27" s="530"/>
      <c r="E27" s="11"/>
      <c r="F27" s="530"/>
      <c r="G27" s="11"/>
      <c r="H27" s="530"/>
      <c r="I27" s="11"/>
      <c r="J27" s="53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30"/>
      <c r="C28" s="11"/>
      <c r="D28" s="530"/>
      <c r="E28" s="11"/>
      <c r="F28" s="530"/>
      <c r="G28" s="11"/>
      <c r="H28" s="530"/>
      <c r="I28" s="11"/>
      <c r="J28" s="53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30"/>
      <c r="C29" s="11"/>
      <c r="D29" s="530"/>
      <c r="E29" s="11"/>
      <c r="F29" s="530"/>
      <c r="G29" s="11"/>
      <c r="H29" s="530"/>
      <c r="I29" s="11"/>
      <c r="J29" s="53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30"/>
      <c r="C30" s="11"/>
      <c r="D30" s="530"/>
      <c r="E30" s="11"/>
      <c r="F30" s="530"/>
      <c r="G30" s="11"/>
      <c r="H30" s="530"/>
      <c r="I30" s="11"/>
      <c r="J30" s="53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-2506</v>
      </c>
      <c r="M37" s="11">
        <f>SUM(M6:M36)</f>
        <v>-1743</v>
      </c>
      <c r="N37" s="11">
        <f t="shared" si="1"/>
        <v>763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2.39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1823.5700000000002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05">
        <v>32494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37259</v>
      </c>
      <c r="N43" s="322">
        <f>+N41+N39</f>
        <v>34317.57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06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37259</v>
      </c>
      <c r="B49" s="32"/>
      <c r="C49" s="32"/>
      <c r="D49" s="355">
        <f>+N37</f>
        <v>763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12802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206</v>
      </c>
      <c r="C3" s="87"/>
      <c r="D3" s="87"/>
    </row>
    <row r="4" spans="1:4" x14ac:dyDescent="0.2">
      <c r="A4" s="3"/>
      <c r="B4" s="331" t="s">
        <v>207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546</v>
      </c>
      <c r="C37" s="11">
        <f>SUM(C6:C36)</f>
        <v>450</v>
      </c>
      <c r="D37" s="25">
        <f>SUM(D6:D36)</f>
        <v>-96</v>
      </c>
    </row>
    <row r="38" spans="1:4" x14ac:dyDescent="0.2">
      <c r="A38" s="26"/>
      <c r="C38" s="14"/>
      <c r="D38" s="329">
        <f>+summary!H5</f>
        <v>2.41</v>
      </c>
    </row>
    <row r="39" spans="1:4" x14ac:dyDescent="0.2">
      <c r="D39" s="138">
        <f>+D38*D37</f>
        <v>-231.36</v>
      </c>
    </row>
    <row r="40" spans="1:4" x14ac:dyDescent="0.2">
      <c r="A40" s="57">
        <v>37256</v>
      </c>
      <c r="C40" s="15"/>
      <c r="D40" s="516">
        <v>180032</v>
      </c>
    </row>
    <row r="41" spans="1:4" x14ac:dyDescent="0.2">
      <c r="A41" s="57">
        <v>37259</v>
      </c>
      <c r="C41" s="48"/>
      <c r="D41" s="138">
        <f>+D40+D39</f>
        <v>179800.64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6">
        <v>78993</v>
      </c>
    </row>
    <row r="47" spans="1:4" x14ac:dyDescent="0.2">
      <c r="A47" s="49">
        <f>+A41</f>
        <v>37259</v>
      </c>
      <c r="B47" s="32"/>
      <c r="C47" s="32"/>
      <c r="D47" s="355">
        <f>+D37</f>
        <v>-96</v>
      </c>
    </row>
    <row r="48" spans="1:4" x14ac:dyDescent="0.2">
      <c r="A48" s="32"/>
      <c r="B48" s="32"/>
      <c r="C48" s="32"/>
      <c r="D48" s="14">
        <f>+D47+D46</f>
        <v>78897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209</v>
      </c>
      <c r="C3" s="87"/>
      <c r="D3" s="87"/>
    </row>
    <row r="4" spans="1:4" x14ac:dyDescent="0.2">
      <c r="A4" s="3"/>
      <c r="B4" s="331" t="s">
        <v>210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79</v>
      </c>
      <c r="C8" s="11">
        <v>441</v>
      </c>
      <c r="D8" s="25">
        <f t="shared" si="0"/>
        <v>362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323</v>
      </c>
      <c r="C37" s="11">
        <f>SUM(C6:C36)</f>
        <v>1323</v>
      </c>
      <c r="D37" s="25">
        <f>SUM(D6:D36)</f>
        <v>1000</v>
      </c>
    </row>
    <row r="38" spans="1:4" x14ac:dyDescent="0.2">
      <c r="A38" s="26"/>
      <c r="C38" s="14"/>
      <c r="D38" s="329">
        <f>+summary!H5</f>
        <v>2.41</v>
      </c>
    </row>
    <row r="39" spans="1:4" x14ac:dyDescent="0.2">
      <c r="D39" s="138">
        <f>+D38*D37</f>
        <v>2410</v>
      </c>
    </row>
    <row r="40" spans="1:4" x14ac:dyDescent="0.2">
      <c r="A40" s="57">
        <v>37256</v>
      </c>
      <c r="C40" s="15"/>
      <c r="D40" s="516">
        <v>161290</v>
      </c>
    </row>
    <row r="41" spans="1:4" x14ac:dyDescent="0.2">
      <c r="A41" s="57">
        <v>37259</v>
      </c>
      <c r="C41" s="48"/>
      <c r="D41" s="138">
        <f>+D40+D39</f>
        <v>163700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6">
        <v>33970</v>
      </c>
    </row>
    <row r="47" spans="1:4" x14ac:dyDescent="0.2">
      <c r="A47" s="49">
        <f>+A41</f>
        <v>37259</v>
      </c>
      <c r="B47" s="32"/>
      <c r="C47" s="32"/>
      <c r="D47" s="355">
        <f>+D37</f>
        <v>1000</v>
      </c>
    </row>
    <row r="48" spans="1:4" x14ac:dyDescent="0.2">
      <c r="A48" s="32"/>
      <c r="B48" s="32"/>
      <c r="C48" s="32"/>
      <c r="D48" s="14">
        <f>+D47+D46</f>
        <v>34970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30" workbookViewId="0">
      <selection activeCell="D46" sqref="D46:D51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/>
      <c r="C5" s="11"/>
      <c r="D5" s="11"/>
      <c r="E5" s="11"/>
      <c r="F5" s="11">
        <f>+C5-B5+E5-D5</f>
        <v>0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/>
      <c r="E6" s="11"/>
      <c r="F6" s="11">
        <f t="shared" ref="F6:F35" si="0">+C6-B6+E6-D6</f>
        <v>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0</v>
      </c>
      <c r="C36" s="44">
        <f>SUM(C5:C35)</f>
        <v>0</v>
      </c>
      <c r="D36" s="43">
        <f>SUM(D5:D35)</f>
        <v>0</v>
      </c>
      <c r="E36" s="43">
        <f>SUM(E5:E35)</f>
        <v>0</v>
      </c>
      <c r="F36" s="11">
        <f>SUM(F5:F35)</f>
        <v>0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2">
        <f>+summary!H5</f>
        <v>2.41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0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70"/>
      <c r="D42" s="111"/>
      <c r="E42" s="470"/>
      <c r="F42" s="511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37256</v>
      </c>
      <c r="B43" s="32"/>
      <c r="C43" s="106"/>
      <c r="D43" s="106"/>
      <c r="E43" s="106"/>
      <c r="F43" s="24">
        <f>+F40+F42</f>
        <v>9686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41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37256</v>
      </c>
      <c r="B49" s="32"/>
      <c r="C49" s="32"/>
      <c r="D49" s="76">
        <f>+F36</f>
        <v>0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19943.240000000002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-2108</v>
      </c>
      <c r="C8" s="24">
        <v>-1613</v>
      </c>
      <c r="D8" s="24">
        <v>-2614</v>
      </c>
      <c r="E8" s="24">
        <v>-2000</v>
      </c>
      <c r="F8" s="24">
        <f t="shared" si="0"/>
        <v>1109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-6757</v>
      </c>
      <c r="C37" s="24">
        <f>SUM(C6:C36)</f>
        <v>-4839</v>
      </c>
      <c r="D37" s="24">
        <f>SUM(D6:D36)</f>
        <v>-6063</v>
      </c>
      <c r="E37" s="24">
        <f>SUM(E6:E36)</f>
        <v>-6000</v>
      </c>
      <c r="F37" s="24">
        <f>SUM(F6:F36)</f>
        <v>1981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2.39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4734.59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4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37259</v>
      </c>
      <c r="C41" s="322"/>
      <c r="D41" s="262"/>
      <c r="E41" s="262"/>
      <c r="F41" s="104">
        <f>+F40+F39</f>
        <v>-128374.66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6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37259</v>
      </c>
      <c r="B47" s="32"/>
      <c r="C47" s="32"/>
      <c r="D47" s="355">
        <f>+F37</f>
        <v>1981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-38813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-2223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63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-2302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146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-2221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61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-6746</v>
      </c>
      <c r="C37" s="24">
        <f t="shared" si="1"/>
        <v>-6405</v>
      </c>
      <c r="D37" s="24">
        <f t="shared" si="1"/>
        <v>-4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270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2.39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645.30000000000007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4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37259</v>
      </c>
      <c r="E41" s="14"/>
      <c r="O41" s="450"/>
      <c r="P41" s="104">
        <f>+P40+P39</f>
        <v>114931.95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6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37259</v>
      </c>
      <c r="B47" s="32"/>
      <c r="C47" s="32"/>
      <c r="D47" s="355">
        <f>+P37</f>
        <v>270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48361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301</v>
      </c>
      <c r="C3" s="87"/>
      <c r="D3" s="87"/>
    </row>
    <row r="4" spans="1:4" x14ac:dyDescent="0.2">
      <c r="A4" s="3"/>
      <c r="B4" s="331" t="s">
        <v>300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-40966</v>
      </c>
      <c r="C37" s="11">
        <f>SUM(C6:C36)</f>
        <v>-42000</v>
      </c>
      <c r="D37" s="25">
        <f>SUM(D6:D36)</f>
        <v>-1034</v>
      </c>
    </row>
    <row r="38" spans="1:4" x14ac:dyDescent="0.2">
      <c r="A38" s="26"/>
      <c r="C38" s="14"/>
      <c r="D38" s="329">
        <f>+summary!H4</f>
        <v>2.39</v>
      </c>
    </row>
    <row r="39" spans="1:4" x14ac:dyDescent="0.2">
      <c r="D39" s="138">
        <f>+D38*D37</f>
        <v>-2471.2600000000002</v>
      </c>
    </row>
    <row r="40" spans="1:4" x14ac:dyDescent="0.2">
      <c r="A40" s="57">
        <v>37256</v>
      </c>
      <c r="C40" s="15"/>
      <c r="D40" s="516">
        <v>-17240</v>
      </c>
    </row>
    <row r="41" spans="1:4" x14ac:dyDescent="0.2">
      <c r="A41" s="57">
        <v>36894</v>
      </c>
      <c r="C41" s="48"/>
      <c r="D41" s="138">
        <f>+D40+D39</f>
        <v>-19711.260000000002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6">
        <v>5329</v>
      </c>
    </row>
    <row r="47" spans="1:4" x14ac:dyDescent="0.2">
      <c r="A47" s="49">
        <f>+A41</f>
        <v>36894</v>
      </c>
      <c r="B47" s="32"/>
      <c r="C47" s="32"/>
      <c r="D47" s="355">
        <f>+D37</f>
        <v>-1034</v>
      </c>
    </row>
    <row r="48" spans="1:4" x14ac:dyDescent="0.2">
      <c r="A48" s="32"/>
      <c r="B48" s="32"/>
      <c r="C48" s="32"/>
      <c r="D48" s="14">
        <f>+D47+D46</f>
        <v>4295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470028</v>
      </c>
      <c r="C38" s="11">
        <f>SUM(C7:C37)</f>
        <v>472785</v>
      </c>
      <c r="D38" s="11">
        <f>SUM(D7:D37)</f>
        <v>2757</v>
      </c>
    </row>
    <row r="39" spans="1:8" x14ac:dyDescent="0.2">
      <c r="A39" s="26"/>
      <c r="C39" s="14"/>
      <c r="D39" s="106">
        <f>+summary!H3</f>
        <v>2.36</v>
      </c>
    </row>
    <row r="40" spans="1:8" x14ac:dyDescent="0.2">
      <c r="D40" s="138">
        <f>+D39*D38</f>
        <v>6506.5199999999995</v>
      </c>
      <c r="H40">
        <v>20</v>
      </c>
    </row>
    <row r="41" spans="1:8" x14ac:dyDescent="0.2">
      <c r="A41" s="57">
        <v>37256</v>
      </c>
      <c r="C41" s="15"/>
      <c r="D41" s="537">
        <v>47283</v>
      </c>
      <c r="H41">
        <v>530</v>
      </c>
    </row>
    <row r="42" spans="1:8" x14ac:dyDescent="0.2">
      <c r="A42" s="57">
        <v>37259</v>
      </c>
      <c r="D42" s="322">
        <f>+D41+D40</f>
        <v>53789.52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06">
        <v>20412</v>
      </c>
    </row>
    <row r="48" spans="1:8" x14ac:dyDescent="0.2">
      <c r="A48" s="49">
        <f>+A42</f>
        <v>37259</v>
      </c>
      <c r="B48" s="32"/>
      <c r="C48" s="32"/>
      <c r="D48" s="355">
        <f>+D38</f>
        <v>2757</v>
      </c>
    </row>
    <row r="49" spans="1:4" x14ac:dyDescent="0.2">
      <c r="A49" s="32"/>
      <c r="B49" s="32"/>
      <c r="C49" s="32"/>
      <c r="D49" s="14">
        <f>+D48+D47</f>
        <v>23169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C7" sqref="C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/>
      <c r="C7" s="11"/>
      <c r="D7" s="25">
        <f t="shared" si="0"/>
        <v>0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-683228</v>
      </c>
      <c r="C35" s="11">
        <f>SUM(C4:C34)</f>
        <v>-683182</v>
      </c>
      <c r="D35" s="11">
        <f>SUM(D4:D34)</f>
        <v>46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28">
        <v>59071</v>
      </c>
    </row>
    <row r="39" spans="1:30" x14ac:dyDescent="0.2">
      <c r="A39" s="12"/>
      <c r="D39" s="51"/>
    </row>
    <row r="40" spans="1:30" x14ac:dyDescent="0.2">
      <c r="A40" s="245">
        <v>36894</v>
      </c>
      <c r="D40" s="51">
        <f>+D38+D35</f>
        <v>59117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82"/>
      <c r="K44"/>
    </row>
    <row r="45" spans="1:30" x14ac:dyDescent="0.2">
      <c r="A45" s="49">
        <f>+A38</f>
        <v>37256</v>
      </c>
      <c r="B45" s="32"/>
      <c r="C45" s="32"/>
      <c r="D45" s="499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36894</v>
      </c>
      <c r="B46" s="32"/>
      <c r="C46" s="32"/>
      <c r="D46" s="382">
        <f>+D35*'by type_area'!J4</f>
        <v>109.94000000000001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12562.94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0" sqref="C3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-1534745</v>
      </c>
      <c r="C35" s="11">
        <f>SUM(C4:C34)</f>
        <v>-1519530</v>
      </c>
      <c r="D35" s="11">
        <f>SUM(D4:D34)</f>
        <v>0</v>
      </c>
      <c r="E35" s="11">
        <f>SUM(E4:E34)</f>
        <v>0</v>
      </c>
      <c r="F35" s="11">
        <f>SUM(F4:F34)</f>
        <v>15215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498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37259</v>
      </c>
      <c r="D40" s="246"/>
      <c r="E40" s="246"/>
      <c r="F40" s="51">
        <f>+F38+F35</f>
        <v>119635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499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37259</v>
      </c>
      <c r="B46" s="32"/>
      <c r="C46" s="32"/>
      <c r="D46" s="483">
        <f>+F35*'by type_area'!J4</f>
        <v>36363.85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1">
        <f>+D46+D45</f>
        <v>368280.85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B24" sqref="B2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/>
      <c r="C4" s="11"/>
      <c r="D4" s="11"/>
      <c r="E4" s="11"/>
      <c r="F4" s="11"/>
      <c r="G4" s="11"/>
      <c r="H4" s="11">
        <f>+G4+E4+C4-F4-D4-B4</f>
        <v>0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/>
      <c r="C5" s="11"/>
      <c r="D5" s="129"/>
      <c r="E5" s="11"/>
      <c r="F5" s="11"/>
      <c r="G5" s="11"/>
      <c r="H5" s="11">
        <f t="shared" ref="H5:H34" si="0">+G5+E5+C5-F5-D5-B5</f>
        <v>0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2.75" x14ac:dyDescent="0.2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2.75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0</v>
      </c>
      <c r="C35" s="44">
        <f t="shared" si="3"/>
        <v>0</v>
      </c>
      <c r="D35" s="11">
        <f t="shared" si="3"/>
        <v>0</v>
      </c>
      <c r="E35" s="44">
        <f t="shared" si="3"/>
        <v>0</v>
      </c>
      <c r="F35" s="11">
        <f t="shared" si="3"/>
        <v>0</v>
      </c>
      <c r="G35" s="11">
        <f t="shared" si="3"/>
        <v>0</v>
      </c>
      <c r="H35" s="11">
        <f t="shared" si="3"/>
        <v>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2.39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0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6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37256</v>
      </c>
      <c r="F39" s="482"/>
      <c r="G39" s="482"/>
      <c r="H39" s="322">
        <f>+H38+H37</f>
        <v>-68258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7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37256</v>
      </c>
      <c r="E47" s="467">
        <f>+H35</f>
        <v>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-5084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D31" sqref="D31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-861537</v>
      </c>
      <c r="E36" s="11">
        <f t="shared" si="15"/>
        <v>-863014</v>
      </c>
      <c r="F36" s="11">
        <f t="shared" si="15"/>
        <v>0</v>
      </c>
      <c r="G36" s="11">
        <f t="shared" si="15"/>
        <v>0</v>
      </c>
      <c r="H36" s="11">
        <f t="shared" si="15"/>
        <v>-1477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-1477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00">
        <v>64166</v>
      </c>
      <c r="D38" s="323"/>
      <c r="E38" s="503">
        <v>-29789</v>
      </c>
      <c r="F38" s="24"/>
      <c r="G38" s="24"/>
      <c r="H38" s="236">
        <f>+C38+E38+G38</f>
        <v>34377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37259</v>
      </c>
      <c r="B39" s="2" t="s">
        <v>45</v>
      </c>
      <c r="C39" s="131">
        <f>+C38+C37</f>
        <v>64166</v>
      </c>
      <c r="D39" s="252"/>
      <c r="E39" s="131">
        <f>+E38+E37</f>
        <v>-31266</v>
      </c>
      <c r="F39" s="252"/>
      <c r="G39" s="131"/>
      <c r="H39" s="131">
        <f>+H38+H36</f>
        <v>32900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01">
        <v>-1583193</v>
      </c>
      <c r="D44" s="205"/>
      <c r="E44" s="502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37259</v>
      </c>
      <c r="B45" s="32"/>
      <c r="C45" s="47">
        <f>+C37*summary!H4</f>
        <v>0</v>
      </c>
      <c r="D45" s="205"/>
      <c r="E45" s="384">
        <f>+E37*summary!H3</f>
        <v>-3485.72</v>
      </c>
      <c r="F45" s="47">
        <f>+E45+C45</f>
        <v>-3485.72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9" sqref="E9:E1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12663</v>
      </c>
      <c r="E10" s="11">
        <v>13033</v>
      </c>
      <c r="F10" s="11">
        <f t="shared" si="5"/>
        <v>2470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2">
        <f>+A45</f>
        <v>37259</v>
      </c>
      <c r="I23" s="11">
        <f>+B39</f>
        <v>448363</v>
      </c>
      <c r="J23" s="11">
        <f>+C39</f>
        <v>440492</v>
      </c>
      <c r="K23" s="11">
        <f>+D39</f>
        <v>38393</v>
      </c>
      <c r="L23" s="11">
        <f>+E39</f>
        <v>39099</v>
      </c>
      <c r="M23" s="42">
        <f>+J23-I23+L23-K23</f>
        <v>-7165</v>
      </c>
      <c r="N23" s="102">
        <f>+summary!H3</f>
        <v>2.36</v>
      </c>
      <c r="O23" s="534">
        <f>+N23*M23</f>
        <v>-16909.399999999998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3">
        <f>SUM(M9:M23)</f>
        <v>82635</v>
      </c>
      <c r="N24" s="102"/>
      <c r="O24" s="102">
        <f>SUM(O9:O23)</f>
        <v>551206.93999999994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3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448363</v>
      </c>
      <c r="C39" s="150">
        <f>SUM(C8:C38)</f>
        <v>440492</v>
      </c>
      <c r="D39" s="150">
        <f>SUM(D8:D38)</f>
        <v>38393</v>
      </c>
      <c r="E39" s="150">
        <f>SUM(E8:E38)</f>
        <v>39099</v>
      </c>
      <c r="F39" s="11">
        <f t="shared" si="5"/>
        <v>-7165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2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70"/>
      <c r="D44" s="111"/>
      <c r="E44" s="470"/>
      <c r="F44" s="511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37259</v>
      </c>
      <c r="B45" s="32"/>
      <c r="C45" s="106"/>
      <c r="D45" s="106"/>
      <c r="E45" s="106"/>
      <c r="F45" s="24">
        <f>+F44+F39</f>
        <v>23081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511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37259</v>
      </c>
      <c r="B51" s="32"/>
      <c r="C51" s="32"/>
      <c r="D51" s="355">
        <f>+F39*summary!H3</f>
        <v>-16909.399999999998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417708.6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2002-01-03T15:42:49Z</cp:lastPrinted>
  <dcterms:created xsi:type="dcterms:W3CDTF">2000-03-28T16:52:23Z</dcterms:created>
  <dcterms:modified xsi:type="dcterms:W3CDTF">2014-09-03T14:22:46Z</dcterms:modified>
</cp:coreProperties>
</file>