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B8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37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D9" i="74"/>
  <c r="J9" i="74"/>
  <c r="L9" i="74" s="1"/>
  <c r="D10" i="74"/>
  <c r="J10" i="74"/>
  <c r="L10" i="74"/>
  <c r="D11" i="74"/>
  <c r="H11" i="74"/>
  <c r="J11" i="74"/>
  <c r="L11" i="74" s="1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D18" i="74"/>
  <c r="D19" i="74"/>
  <c r="I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12" i="78" s="1"/>
  <c r="D23" i="78" s="1"/>
  <c r="D24" i="78" s="1"/>
  <c r="D16" i="80" s="1"/>
  <c r="D9" i="78"/>
  <c r="D10" i="78"/>
  <c r="D11" i="78"/>
  <c r="A22" i="78"/>
  <c r="A24" i="78"/>
  <c r="D6" i="79"/>
  <c r="D37" i="79" s="1"/>
  <c r="D47" i="79" s="1"/>
  <c r="D48" i="79" s="1"/>
  <c r="D13" i="80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K5" i="13"/>
  <c r="M5" i="13" s="1"/>
  <c r="N11" i="13" s="1"/>
  <c r="N5" i="13"/>
  <c r="F6" i="13"/>
  <c r="I6" i="13"/>
  <c r="J6" i="13"/>
  <c r="K6" i="13" s="1"/>
  <c r="M6" i="13" s="1"/>
  <c r="N6" i="13"/>
  <c r="N10" i="13" s="1"/>
  <c r="F7" i="13"/>
  <c r="I7" i="13"/>
  <c r="J7" i="13"/>
  <c r="K7" i="13" s="1"/>
  <c r="M7" i="13"/>
  <c r="N7" i="13"/>
  <c r="F8" i="13"/>
  <c r="I8" i="13"/>
  <c r="J8" i="13"/>
  <c r="K8" i="13" s="1"/>
  <c r="M8" i="13" s="1"/>
  <c r="N8" i="13"/>
  <c r="F9" i="13"/>
  <c r="I9" i="13"/>
  <c r="J9" i="13"/>
  <c r="K9" i="13"/>
  <c r="M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D35" i="73"/>
  <c r="E35" i="73"/>
  <c r="E36" i="73" s="1"/>
  <c r="H35" i="73"/>
  <c r="J35" i="73"/>
  <c r="J36" i="73" s="1"/>
  <c r="I36" i="73"/>
  <c r="F39" i="73"/>
  <c r="F46" i="73"/>
  <c r="H41" i="73" s="1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8" i="86"/>
  <c r="A46" i="86"/>
  <c r="A47" i="86"/>
  <c r="D6" i="85"/>
  <c r="D7" i="85"/>
  <c r="D8" i="85"/>
  <c r="D37" i="85" s="1"/>
  <c r="D47" i="85" s="1"/>
  <c r="D48" i="85" s="1"/>
  <c r="D40" i="80" s="1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8" i="20" s="1"/>
  <c r="F39" i="20" s="1"/>
  <c r="F40" i="20" s="1"/>
  <c r="B9" i="20"/>
  <c r="B10" i="20"/>
  <c r="J11" i="20"/>
  <c r="B13" i="20"/>
  <c r="B14" i="20"/>
  <c r="B15" i="20"/>
  <c r="J15" i="20"/>
  <c r="B17" i="20"/>
  <c r="B31" i="20"/>
  <c r="G39" i="20" s="1"/>
  <c r="G40" i="20" s="1"/>
  <c r="B78" i="73" s="1"/>
  <c r="E38" i="20"/>
  <c r="E39" i="20"/>
  <c r="H39" i="20"/>
  <c r="H40" i="20" s="1"/>
  <c r="B44" i="20"/>
  <c r="B46" i="20" s="1"/>
  <c r="B45" i="20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7" i="11" s="1"/>
  <c r="E36" i="11"/>
  <c r="F36" i="11"/>
  <c r="G36" i="11"/>
  <c r="AC36" i="11"/>
  <c r="AE36" i="11"/>
  <c r="AF36" i="11" s="1"/>
  <c r="AI36" i="11"/>
  <c r="AL36" i="11"/>
  <c r="AM36" i="11"/>
  <c r="AN36" i="11"/>
  <c r="AO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P47" i="11"/>
  <c r="AM48" i="11"/>
  <c r="AN48" i="11"/>
  <c r="AO48" i="11"/>
  <c r="AP48" i="11"/>
  <c r="J4" i="70"/>
  <c r="J35" i="70" s="1"/>
  <c r="D47" i="70" s="1"/>
  <c r="D48" i="70" s="1"/>
  <c r="D36" i="8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37" i="75" s="1"/>
  <c r="D46" i="75" s="1"/>
  <c r="D47" i="75" s="1"/>
  <c r="D49" i="80" s="1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 s="1"/>
  <c r="D7" i="22"/>
  <c r="F7" i="22" s="1"/>
  <c r="D8" i="22"/>
  <c r="F8" i="22" s="1"/>
  <c r="D9" i="22"/>
  <c r="F9" i="22"/>
  <c r="D10" i="22"/>
  <c r="F10" i="22" s="1"/>
  <c r="D11" i="22"/>
  <c r="F11" i="22" s="1"/>
  <c r="D12" i="22"/>
  <c r="F12" i="22" s="1"/>
  <c r="D13" i="22"/>
  <c r="F13" i="22"/>
  <c r="D14" i="22"/>
  <c r="F14" i="22" s="1"/>
  <c r="D15" i="22"/>
  <c r="F15" i="22" s="1"/>
  <c r="D16" i="22"/>
  <c r="F16" i="22" s="1"/>
  <c r="D17" i="22"/>
  <c r="F17" i="22"/>
  <c r="D18" i="22"/>
  <c r="F18" i="22" s="1"/>
  <c r="D19" i="22"/>
  <c r="F19" i="22" s="1"/>
  <c r="D20" i="22"/>
  <c r="F20" i="22" s="1"/>
  <c r="D21" i="22"/>
  <c r="F21" i="22"/>
  <c r="D22" i="22"/>
  <c r="F22" i="22" s="1"/>
  <c r="D23" i="22"/>
  <c r="F23" i="22" s="1"/>
  <c r="D24" i="22"/>
  <c r="F24" i="22" s="1"/>
  <c r="D25" i="22"/>
  <c r="F25" i="22"/>
  <c r="D26" i="22"/>
  <c r="F26" i="22" s="1"/>
  <c r="D27" i="22"/>
  <c r="F27" i="22" s="1"/>
  <c r="D28" i="22"/>
  <c r="F28" i="22" s="1"/>
  <c r="D29" i="22"/>
  <c r="F29" i="22"/>
  <c r="D30" i="22"/>
  <c r="F30" i="22" s="1"/>
  <c r="D31" i="22"/>
  <c r="F31" i="22" s="1"/>
  <c r="D32" i="22"/>
  <c r="F32" i="22" s="1"/>
  <c r="D33" i="22"/>
  <c r="F33" i="22"/>
  <c r="D34" i="22"/>
  <c r="F34" i="22" s="1"/>
  <c r="D35" i="22"/>
  <c r="F35" i="22" s="1"/>
  <c r="D36" i="22"/>
  <c r="F36" i="22" s="1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D49" i="5" s="1"/>
  <c r="D50" i="5" s="1"/>
  <c r="D85" i="80" s="1"/>
  <c r="A48" i="5"/>
  <c r="A49" i="5"/>
  <c r="J8" i="17"/>
  <c r="J9" i="17"/>
  <c r="J10" i="17"/>
  <c r="J11" i="17"/>
  <c r="J12" i="17"/>
  <c r="J39" i="17" s="1"/>
  <c r="D48" i="17" s="1"/>
  <c r="D49" i="17" s="1"/>
  <c r="D33" i="80" s="1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S10" i="67"/>
  <c r="U10" i="67" s="1"/>
  <c r="F11" i="67"/>
  <c r="J11" i="67"/>
  <c r="L11" i="67"/>
  <c r="N11" i="67" s="1"/>
  <c r="S11" i="67"/>
  <c r="U11" i="67" s="1"/>
  <c r="U16" i="67" s="1"/>
  <c r="F12" i="67"/>
  <c r="J12" i="67"/>
  <c r="L12" i="67"/>
  <c r="N12" i="67" s="1"/>
  <c r="S12" i="67"/>
  <c r="U12" i="67"/>
  <c r="F13" i="67"/>
  <c r="J13" i="67"/>
  <c r="L13" i="67"/>
  <c r="N13" i="67" s="1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R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37" i="77" s="1"/>
  <c r="D49" i="77" s="1"/>
  <c r="D50" i="77" s="1"/>
  <c r="D15" i="80" s="1"/>
  <c r="D13" i="77"/>
  <c r="D14" i="77"/>
  <c r="D15" i="77"/>
  <c r="D16" i="77"/>
  <c r="K16" i="77"/>
  <c r="M16" i="77"/>
  <c r="D17" i="77"/>
  <c r="K17" i="77"/>
  <c r="M17" i="77" s="1"/>
  <c r="M23" i="77" s="1"/>
  <c r="D18" i="77"/>
  <c r="K18" i="77"/>
  <c r="M18" i="77"/>
  <c r="D19" i="77"/>
  <c r="K19" i="77"/>
  <c r="M19" i="77" s="1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F36" i="7" s="1"/>
  <c r="Z5" i="7"/>
  <c r="AD5" i="7" s="1"/>
  <c r="F6" i="7"/>
  <c r="Z6" i="7"/>
  <c r="AD6" i="7"/>
  <c r="AF6" i="7"/>
  <c r="F7" i="7"/>
  <c r="Z7" i="7"/>
  <c r="AD7" i="7"/>
  <c r="AF7" i="7"/>
  <c r="F8" i="7"/>
  <c r="Z8" i="7"/>
  <c r="AD8" i="7" s="1"/>
  <c r="AF8" i="7" s="1"/>
  <c r="F9" i="7"/>
  <c r="Z9" i="7"/>
  <c r="AD9" i="7" s="1"/>
  <c r="AF9" i="7" s="1"/>
  <c r="F10" i="7"/>
  <c r="Z10" i="7"/>
  <c r="AD10" i="7"/>
  <c r="AF10" i="7" s="1"/>
  <c r="F11" i="7"/>
  <c r="Z11" i="7"/>
  <c r="AD11" i="7"/>
  <c r="AF11" i="7"/>
  <c r="F12" i="7"/>
  <c r="Z12" i="7"/>
  <c r="AD12" i="7" s="1"/>
  <c r="AF12" i="7"/>
  <c r="F13" i="7"/>
  <c r="Z13" i="7"/>
  <c r="AD13" i="7" s="1"/>
  <c r="AF13" i="7" s="1"/>
  <c r="F14" i="7"/>
  <c r="Z14" i="7"/>
  <c r="AD14" i="7"/>
  <c r="AF14" i="7" s="1"/>
  <c r="F15" i="7"/>
  <c r="Z15" i="7"/>
  <c r="AD15" i="7"/>
  <c r="AF15" i="7" s="1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G19" i="7"/>
  <c r="AG20" i="7" s="1"/>
  <c r="AG21" i="7" s="1"/>
  <c r="AH19" i="7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D37" i="16"/>
  <c r="D38" i="16" s="1"/>
  <c r="D40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37" i="81" s="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 s="1"/>
  <c r="H6" i="9"/>
  <c r="P6" i="9"/>
  <c r="R6" i="9" s="1"/>
  <c r="H7" i="9"/>
  <c r="N7" i="9"/>
  <c r="P7" i="9"/>
  <c r="R7" i="9"/>
  <c r="H8" i="9"/>
  <c r="P8" i="9"/>
  <c r="R8" i="9" s="1"/>
  <c r="H9" i="9"/>
  <c r="N9" i="9"/>
  <c r="P9" i="9"/>
  <c r="R9" i="9"/>
  <c r="H10" i="9"/>
  <c r="H35" i="9" s="1"/>
  <c r="E47" i="9" s="1"/>
  <c r="E48" i="9" s="1"/>
  <c r="D34" i="80" s="1"/>
  <c r="P10" i="9"/>
  <c r="R10" i="9"/>
  <c r="H11" i="9"/>
  <c r="P11" i="9"/>
  <c r="R11" i="9"/>
  <c r="H12" i="9"/>
  <c r="P12" i="9"/>
  <c r="R12" i="9"/>
  <c r="H13" i="9"/>
  <c r="P13" i="9"/>
  <c r="R13" i="9" s="1"/>
  <c r="H14" i="9"/>
  <c r="P14" i="9"/>
  <c r="R14" i="9"/>
  <c r="H15" i="9"/>
  <c r="P15" i="9"/>
  <c r="R15" i="9" s="1"/>
  <c r="H16" i="9"/>
  <c r="P16" i="9"/>
  <c r="R16" i="9" s="1"/>
  <c r="H17" i="9"/>
  <c r="H18" i="9"/>
  <c r="H19" i="9"/>
  <c r="P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37" i="93" s="1"/>
  <c r="D49" i="93" s="1"/>
  <c r="D50" i="93" s="1"/>
  <c r="D47" i="80" s="1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J8" i="15"/>
  <c r="AN8" i="15"/>
  <c r="AR8" i="15"/>
  <c r="AV8" i="15"/>
  <c r="AV39" i="15" s="1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I23" i="15"/>
  <c r="L23" i="15"/>
  <c r="N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U39" i="15" s="1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D39" i="15"/>
  <c r="K23" i="15" s="1"/>
  <c r="E39" i="15"/>
  <c r="AD39" i="15"/>
  <c r="AE39" i="15"/>
  <c r="AF39" i="15"/>
  <c r="AF45" i="15" s="1"/>
  <c r="AH39" i="15"/>
  <c r="AI39" i="15"/>
  <c r="AL39" i="15"/>
  <c r="AM39" i="15"/>
  <c r="AP39" i="15"/>
  <c r="AQ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27" i="15"/>
  <c r="F128" i="15"/>
  <c r="F133" i="15" s="1"/>
  <c r="C133" i="15" s="1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37" i="76" s="1"/>
  <c r="D47" i="76" s="1"/>
  <c r="D48" i="76" s="1"/>
  <c r="D38" i="80" s="1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G3" i="80" s="1"/>
  <c r="G59" i="80" s="1"/>
  <c r="J3" i="63"/>
  <c r="G4" i="63"/>
  <c r="D38" i="77" s="1"/>
  <c r="G5" i="63"/>
  <c r="G5" i="80" s="1"/>
  <c r="G61" i="8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D53" i="63"/>
  <c r="D54" i="63"/>
  <c r="B118" i="63"/>
  <c r="B120" i="63"/>
  <c r="B128" i="63"/>
  <c r="B141" i="63" s="1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 s="1"/>
  <c r="J11" i="2"/>
  <c r="P11" i="2"/>
  <c r="R11" i="2"/>
  <c r="J12" i="2"/>
  <c r="P12" i="2"/>
  <c r="R12" i="2" s="1"/>
  <c r="J13" i="2"/>
  <c r="P13" i="2"/>
  <c r="R13" i="2"/>
  <c r="J14" i="2"/>
  <c r="P14" i="2"/>
  <c r="R14" i="2" s="1"/>
  <c r="J15" i="2"/>
  <c r="P15" i="2"/>
  <c r="R15" i="2" s="1"/>
  <c r="J16" i="2"/>
  <c r="P16" i="2"/>
  <c r="R16" i="2"/>
  <c r="J17" i="2"/>
  <c r="N17" i="2"/>
  <c r="P17" i="2" s="1"/>
  <c r="R17" i="2" s="1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D41" i="81" l="1"/>
  <c r="E48" i="7"/>
  <c r="E49" i="7" s="1"/>
  <c r="D78" i="80" s="1"/>
  <c r="F41" i="7"/>
  <c r="N37" i="91"/>
  <c r="D39" i="90"/>
  <c r="D41" i="90" s="1"/>
  <c r="K114" i="15"/>
  <c r="J35" i="2"/>
  <c r="F101" i="15"/>
  <c r="D37" i="90"/>
  <c r="D47" i="90" s="1"/>
  <c r="D48" i="90" s="1"/>
  <c r="D14" i="80" s="1"/>
  <c r="D37" i="92"/>
  <c r="D47" i="92" s="1"/>
  <c r="D48" i="92" s="1"/>
  <c r="D46" i="80" s="1"/>
  <c r="B77" i="73"/>
  <c r="D30" i="80"/>
  <c r="I40" i="20"/>
  <c r="I57" i="20" s="1"/>
  <c r="AI19" i="7"/>
  <c r="AH20" i="7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34" i="67"/>
  <c r="D39" i="86"/>
  <c r="D41" i="86" s="1"/>
  <c r="D39" i="77"/>
  <c r="D41" i="77" s="1"/>
  <c r="R19" i="9"/>
  <c r="R22" i="9" s="1"/>
  <c r="M23" i="15"/>
  <c r="D17" i="64"/>
  <c r="B79" i="73"/>
  <c r="D31" i="80"/>
  <c r="D32" i="80"/>
  <c r="B73" i="73"/>
  <c r="B81" i="73" s="1"/>
  <c r="S12" i="2"/>
  <c r="R21" i="2"/>
  <c r="F40" i="6"/>
  <c r="AR39" i="15"/>
  <c r="AR45" i="15" s="1"/>
  <c r="AP27" i="11"/>
  <c r="AF27" i="11"/>
  <c r="H36" i="11"/>
  <c r="H39" i="11" s="1"/>
  <c r="C37" i="63" s="1"/>
  <c r="AH57" i="15"/>
  <c r="AH56" i="15"/>
  <c r="J37" i="83"/>
  <c r="D49" i="83" s="1"/>
  <c r="D50" i="83" s="1"/>
  <c r="D41" i="80" s="1"/>
  <c r="P21" i="2"/>
  <c r="P23" i="2" s="1"/>
  <c r="AN39" i="15"/>
  <c r="D46" i="12"/>
  <c r="D47" i="12" s="1"/>
  <c r="D76" i="80" s="1"/>
  <c r="D40" i="12"/>
  <c r="F176" i="15"/>
  <c r="B101" i="15"/>
  <c r="F92" i="15"/>
  <c r="AJ39" i="15"/>
  <c r="AJ45" i="15" s="1"/>
  <c r="B46" i="63"/>
  <c r="C46" i="63" s="1"/>
  <c r="B37" i="80"/>
  <c r="C37" i="80" s="1"/>
  <c r="E37" i="80" s="1"/>
  <c r="C39" i="11"/>
  <c r="C45" i="11"/>
  <c r="C46" i="11" s="1"/>
  <c r="D38" i="85"/>
  <c r="D39" i="85" s="1"/>
  <c r="D41" i="85" s="1"/>
  <c r="D35" i="68"/>
  <c r="D37" i="22"/>
  <c r="F37" i="22"/>
  <c r="D47" i="22" s="1"/>
  <c r="D48" i="22" s="1"/>
  <c r="D29" i="80" s="1"/>
  <c r="J36" i="70"/>
  <c r="J37" i="70" s="1"/>
  <c r="J41" i="70" s="1"/>
  <c r="F35" i="73"/>
  <c r="F39" i="71"/>
  <c r="D49" i="71" s="1"/>
  <c r="D50" i="71" s="1"/>
  <c r="D48" i="80" s="1"/>
  <c r="H36" i="9"/>
  <c r="H37" i="9" s="1"/>
  <c r="H39" i="9" s="1"/>
  <c r="D37" i="89"/>
  <c r="D47" i="89" s="1"/>
  <c r="D48" i="89" s="1"/>
  <c r="D39" i="80" s="1"/>
  <c r="AL47" i="11"/>
  <c r="AO47" i="11"/>
  <c r="E39" i="11"/>
  <c r="B77" i="80" s="1"/>
  <c r="C77" i="80" s="1"/>
  <c r="E45" i="11"/>
  <c r="F45" i="11" s="1"/>
  <c r="D37" i="86"/>
  <c r="D47" i="86" s="1"/>
  <c r="D48" i="86" s="1"/>
  <c r="D43" i="80" s="1"/>
  <c r="C37" i="73"/>
  <c r="F37" i="87"/>
  <c r="D47" i="87" s="1"/>
  <c r="D48" i="87" s="1"/>
  <c r="D44" i="80" s="1"/>
  <c r="P37" i="88"/>
  <c r="D47" i="88" s="1"/>
  <c r="D48" i="88" s="1"/>
  <c r="D45" i="80" s="1"/>
  <c r="F40" i="18"/>
  <c r="D38" i="74"/>
  <c r="B32" i="20"/>
  <c r="C32" i="20" s="1"/>
  <c r="C33" i="20" s="1"/>
  <c r="C78" i="73" s="1"/>
  <c r="D13" i="78"/>
  <c r="D14" i="78" s="1"/>
  <c r="D18" i="78" s="1"/>
  <c r="J40" i="17"/>
  <c r="J41" i="17" s="1"/>
  <c r="J43" i="17" s="1"/>
  <c r="D38" i="79"/>
  <c r="D39" i="79" s="1"/>
  <c r="D41" i="79" s="1"/>
  <c r="F38" i="87"/>
  <c r="F39" i="87" s="1"/>
  <c r="F41" i="87" s="1"/>
  <c r="D35" i="28"/>
  <c r="F37" i="13"/>
  <c r="M13" i="13"/>
  <c r="D39" i="72"/>
  <c r="J19" i="74"/>
  <c r="J24" i="74" s="1"/>
  <c r="G4" i="80"/>
  <c r="G60" i="80" s="1"/>
  <c r="D38" i="69"/>
  <c r="D48" i="69" s="1"/>
  <c r="D49" i="69" s="1"/>
  <c r="D22" i="80" s="1"/>
  <c r="F38" i="67"/>
  <c r="AL48" i="11"/>
  <c r="K36" i="73"/>
  <c r="K49" i="73" s="1"/>
  <c r="B74" i="73"/>
  <c r="D40" i="69"/>
  <c r="D42" i="69" s="1"/>
  <c r="D38" i="92"/>
  <c r="D39" i="92" s="1"/>
  <c r="D41" i="92" s="1"/>
  <c r="F39" i="15"/>
  <c r="N38" i="93"/>
  <c r="N39" i="93" s="1"/>
  <c r="N43" i="93" s="1"/>
  <c r="D19" i="65"/>
  <c r="F38" i="22"/>
  <c r="F39" i="22" s="1"/>
  <c r="F41" i="22" s="1"/>
  <c r="B47" i="20"/>
  <c r="C47" i="20" s="1"/>
  <c r="C48" i="20" s="1"/>
  <c r="F35" i="13"/>
  <c r="D47" i="13" s="1"/>
  <c r="D48" i="13" s="1"/>
  <c r="D27" i="80" s="1"/>
  <c r="F39" i="18"/>
  <c r="D48" i="18" s="1"/>
  <c r="D49" i="18" s="1"/>
  <c r="D28" i="80" s="1"/>
  <c r="D40" i="19"/>
  <c r="D41" i="19" s="1"/>
  <c r="D43" i="19" s="1"/>
  <c r="I114" i="15"/>
  <c r="D18" i="65"/>
  <c r="D33" i="65" s="1"/>
  <c r="D34" i="65" s="1"/>
  <c r="D26" i="80" s="1"/>
  <c r="S16" i="67"/>
  <c r="L16" i="67"/>
  <c r="N10" i="67"/>
  <c r="N16" i="67" s="1"/>
  <c r="AP36" i="11"/>
  <c r="AN8" i="11"/>
  <c r="AC8" i="11"/>
  <c r="F36" i="73"/>
  <c r="F40" i="71"/>
  <c r="F41" i="71" s="1"/>
  <c r="F43" i="71" s="1"/>
  <c r="K13" i="13"/>
  <c r="D37" i="74"/>
  <c r="D46" i="74" s="1"/>
  <c r="D47" i="74" s="1"/>
  <c r="D12" i="80" s="1"/>
  <c r="D18" i="8"/>
  <c r="D30" i="8" s="1"/>
  <c r="D31" i="8" s="1"/>
  <c r="D50" i="80" s="1"/>
  <c r="B19" i="20"/>
  <c r="C19" i="20" s="1"/>
  <c r="C20" i="20" s="1"/>
  <c r="D38" i="75"/>
  <c r="D39" i="75" s="1"/>
  <c r="D41" i="75" s="1"/>
  <c r="F39" i="5"/>
  <c r="F40" i="5" s="1"/>
  <c r="F43" i="5" s="1"/>
  <c r="D19" i="8"/>
  <c r="D20" i="8" s="1"/>
  <c r="D24" i="8" s="1"/>
  <c r="D38" i="89"/>
  <c r="D39" i="89" s="1"/>
  <c r="D41" i="89" s="1"/>
  <c r="B44" i="63" s="1"/>
  <c r="D38" i="76"/>
  <c r="D39" i="76" s="1"/>
  <c r="D41" i="76" s="1"/>
  <c r="J17" i="74"/>
  <c r="L8" i="74"/>
  <c r="L17" i="74" s="1"/>
  <c r="P38" i="88"/>
  <c r="C71" i="73"/>
  <c r="D40" i="28" l="1"/>
  <c r="D46" i="28"/>
  <c r="D47" i="28" s="1"/>
  <c r="D71" i="80" s="1"/>
  <c r="B16" i="63"/>
  <c r="C16" i="63" s="1"/>
  <c r="B40" i="80"/>
  <c r="C40" i="80" s="1"/>
  <c r="E40" i="80" s="1"/>
  <c r="I62" i="20"/>
  <c r="M51" i="73"/>
  <c r="M53" i="73" s="1"/>
  <c r="J40" i="2"/>
  <c r="D47" i="2"/>
  <c r="D48" i="2" s="1"/>
  <c r="B50" i="80"/>
  <c r="C50" i="80" s="1"/>
  <c r="E50" i="80" s="1"/>
  <c r="B21" i="63"/>
  <c r="C21" i="63" s="1"/>
  <c r="B47" i="80"/>
  <c r="C47" i="80" s="1"/>
  <c r="E47" i="80" s="1"/>
  <c r="B20" i="63"/>
  <c r="C20" i="63" s="1"/>
  <c r="B44" i="80"/>
  <c r="C44" i="80" s="1"/>
  <c r="E44" i="80" s="1"/>
  <c r="B45" i="63"/>
  <c r="C45" i="63" s="1"/>
  <c r="B34" i="80"/>
  <c r="C34" i="80" s="1"/>
  <c r="E34" i="80" s="1"/>
  <c r="B53" i="63"/>
  <c r="C53" i="63" s="1"/>
  <c r="D70" i="80"/>
  <c r="F46" i="11"/>
  <c r="D77" i="80" s="1"/>
  <c r="E77" i="80" s="1"/>
  <c r="J39" i="83"/>
  <c r="J43" i="83" s="1"/>
  <c r="B43" i="63"/>
  <c r="C43" i="63" s="1"/>
  <c r="B15" i="80"/>
  <c r="C15" i="80" s="1"/>
  <c r="E15" i="80" s="1"/>
  <c r="F45" i="15"/>
  <c r="D51" i="15"/>
  <c r="D52" i="15" s="1"/>
  <c r="D75" i="80" s="1"/>
  <c r="D44" i="67"/>
  <c r="D45" i="67" s="1"/>
  <c r="D82" i="80" s="1"/>
  <c r="P39" i="88"/>
  <c r="P41" i="88" s="1"/>
  <c r="B22" i="80"/>
  <c r="C22" i="80" s="1"/>
  <c r="E22" i="80" s="1"/>
  <c r="B52" i="63"/>
  <c r="C52" i="63" s="1"/>
  <c r="D42" i="72"/>
  <c r="D48" i="72"/>
  <c r="D49" i="72" s="1"/>
  <c r="D84" i="80" s="1"/>
  <c r="B16" i="80"/>
  <c r="C16" i="80" s="1"/>
  <c r="E16" i="80" s="1"/>
  <c r="B42" i="63"/>
  <c r="C42" i="63" s="1"/>
  <c r="B36" i="80"/>
  <c r="C36" i="80" s="1"/>
  <c r="E36" i="80" s="1"/>
  <c r="B34" i="63"/>
  <c r="C34" i="63" s="1"/>
  <c r="B102" i="15"/>
  <c r="AN45" i="15"/>
  <c r="B78" i="80"/>
  <c r="C78" i="80" s="1"/>
  <c r="E78" i="80" s="1"/>
  <c r="C47" i="63"/>
  <c r="B47" i="63" s="1"/>
  <c r="D20" i="65"/>
  <c r="D24" i="65" s="1"/>
  <c r="B49" i="80"/>
  <c r="C49" i="80" s="1"/>
  <c r="E49" i="80" s="1"/>
  <c r="B24" i="63"/>
  <c r="C24" i="63" s="1"/>
  <c r="B46" i="80"/>
  <c r="C46" i="80" s="1"/>
  <c r="E46" i="80" s="1"/>
  <c r="B28" i="63"/>
  <c r="C28" i="63" s="1"/>
  <c r="C79" i="73"/>
  <c r="B8" i="63"/>
  <c r="AR51" i="15"/>
  <c r="AR48" i="15"/>
  <c r="AI5" i="7"/>
  <c r="AH6" i="7"/>
  <c r="M9" i="74"/>
  <c r="M10" i="74" s="1"/>
  <c r="M11" i="74" s="1"/>
  <c r="M12" i="74" s="1"/>
  <c r="M13" i="74" s="1"/>
  <c r="M14" i="74" s="1"/>
  <c r="B39" i="80"/>
  <c r="C44" i="63"/>
  <c r="C39" i="80" s="1"/>
  <c r="E39" i="80" s="1"/>
  <c r="B82" i="80"/>
  <c r="C15" i="63"/>
  <c r="B15" i="63" s="1"/>
  <c r="B70" i="80"/>
  <c r="C70" i="80" s="1"/>
  <c r="E70" i="80" s="1"/>
  <c r="B37" i="63"/>
  <c r="B14" i="80"/>
  <c r="C14" i="80" s="1"/>
  <c r="E14" i="80" s="1"/>
  <c r="B51" i="63"/>
  <c r="C51" i="63" s="1"/>
  <c r="B13" i="63"/>
  <c r="C13" i="63" s="1"/>
  <c r="B33" i="80"/>
  <c r="C33" i="80" s="1"/>
  <c r="E33" i="80" s="1"/>
  <c r="N39" i="91"/>
  <c r="N43" i="91" s="1"/>
  <c r="D49" i="91"/>
  <c r="D50" i="91" s="1"/>
  <c r="D42" i="80" s="1"/>
  <c r="D51" i="80" s="1"/>
  <c r="D17" i="80"/>
  <c r="C77" i="73"/>
  <c r="B9" i="63"/>
  <c r="C57" i="20"/>
  <c r="F51" i="73" s="1"/>
  <c r="F38" i="13"/>
  <c r="F41" i="13" s="1"/>
  <c r="K19" i="74"/>
  <c r="L19" i="74" s="1"/>
  <c r="L24" i="74" s="1"/>
  <c r="L26" i="74" s="1"/>
  <c r="D39" i="74"/>
  <c r="D41" i="74" s="1"/>
  <c r="D46" i="6"/>
  <c r="D47" i="6" s="1"/>
  <c r="D69" i="80" s="1"/>
  <c r="D29" i="64"/>
  <c r="D30" i="64" s="1"/>
  <c r="D35" i="80" s="1"/>
  <c r="D19" i="64"/>
  <c r="D23" i="64" s="1"/>
  <c r="AI20" i="7"/>
  <c r="AH21" i="7"/>
  <c r="AI21" i="7" s="1"/>
  <c r="B83" i="80"/>
  <c r="C83" i="80" s="1"/>
  <c r="C49" i="63"/>
  <c r="B49" i="63" s="1"/>
  <c r="B48" i="80"/>
  <c r="C48" i="80" s="1"/>
  <c r="E48" i="80" s="1"/>
  <c r="B27" i="63"/>
  <c r="C27" i="63" s="1"/>
  <c r="B85" i="80"/>
  <c r="C85" i="80" s="1"/>
  <c r="E85" i="80" s="1"/>
  <c r="C23" i="63"/>
  <c r="B23" i="63" s="1"/>
  <c r="B20" i="80"/>
  <c r="B33" i="63"/>
  <c r="C33" i="63" s="1"/>
  <c r="B13" i="80"/>
  <c r="C13" i="80" s="1"/>
  <c r="E13" i="80" s="1"/>
  <c r="B36" i="63"/>
  <c r="C36" i="63" s="1"/>
  <c r="C38" i="73"/>
  <c r="C40" i="73" s="1"/>
  <c r="E37" i="73"/>
  <c r="E38" i="73" s="1"/>
  <c r="B76" i="80"/>
  <c r="C76" i="80" s="1"/>
  <c r="E76" i="80" s="1"/>
  <c r="C54" i="63"/>
  <c r="B54" i="63" s="1"/>
  <c r="B43" i="80"/>
  <c r="C43" i="80" s="1"/>
  <c r="E43" i="80" s="1"/>
  <c r="B19" i="63"/>
  <c r="C19" i="63" s="1"/>
  <c r="B38" i="80"/>
  <c r="C38" i="80" s="1"/>
  <c r="E38" i="80" s="1"/>
  <c r="B29" i="63"/>
  <c r="C29" i="63" s="1"/>
  <c r="B29" i="80"/>
  <c r="C29" i="80" s="1"/>
  <c r="E29" i="80" s="1"/>
  <c r="B14" i="63"/>
  <c r="C14" i="63" s="1"/>
  <c r="F43" i="22"/>
  <c r="F41" i="18"/>
  <c r="F43" i="18" s="1"/>
  <c r="D40" i="68"/>
  <c r="D46" i="68"/>
  <c r="D47" i="68" s="1"/>
  <c r="D68" i="80" s="1"/>
  <c r="B69" i="80"/>
  <c r="C69" i="80" s="1"/>
  <c r="C18" i="63"/>
  <c r="B18" i="63" s="1"/>
  <c r="O23" i="15"/>
  <c r="O24" i="15" s="1"/>
  <c r="M24" i="15"/>
  <c r="C101" i="15"/>
  <c r="D46" i="81"/>
  <c r="D47" i="81" s="1"/>
  <c r="D83" i="80" s="1"/>
  <c r="B68" i="80" l="1"/>
  <c r="C12" i="63"/>
  <c r="B12" i="63" s="1"/>
  <c r="E69" i="80"/>
  <c r="E83" i="80"/>
  <c r="B27" i="80"/>
  <c r="C27" i="80" s="1"/>
  <c r="E27" i="80" s="1"/>
  <c r="B11" i="63"/>
  <c r="C11" i="63" s="1"/>
  <c r="B31" i="80"/>
  <c r="C31" i="80" s="1"/>
  <c r="E31" i="80" s="1"/>
  <c r="C8" i="63"/>
  <c r="B84" i="80"/>
  <c r="C84" i="80" s="1"/>
  <c r="E84" i="80" s="1"/>
  <c r="C30" i="63"/>
  <c r="B30" i="63" s="1"/>
  <c r="B42" i="80"/>
  <c r="C42" i="80" s="1"/>
  <c r="E42" i="80" s="1"/>
  <c r="B31" i="63"/>
  <c r="C31" i="63" s="1"/>
  <c r="C82" i="80"/>
  <c r="B86" i="80"/>
  <c r="C25" i="63"/>
  <c r="B25" i="63" s="1"/>
  <c r="C21" i="80"/>
  <c r="D72" i="80"/>
  <c r="B103" i="15"/>
  <c r="B105" i="15" s="1"/>
  <c r="F105" i="15" s="1"/>
  <c r="F102" i="15"/>
  <c r="F103" i="15" s="1"/>
  <c r="C103" i="15" s="1"/>
  <c r="B22" i="63"/>
  <c r="C22" i="63" s="1"/>
  <c r="B45" i="80"/>
  <c r="C45" i="80" s="1"/>
  <c r="E45" i="80" s="1"/>
  <c r="F37" i="73"/>
  <c r="D86" i="80"/>
  <c r="C20" i="80"/>
  <c r="B41" i="80"/>
  <c r="C41" i="80" s="1"/>
  <c r="E41" i="80" s="1"/>
  <c r="B48" i="63"/>
  <c r="C48" i="63" s="1"/>
  <c r="B35" i="80"/>
  <c r="C35" i="80" s="1"/>
  <c r="E35" i="80" s="1"/>
  <c r="B10" i="63"/>
  <c r="C10" i="63" s="1"/>
  <c r="F38" i="73"/>
  <c r="E40" i="73"/>
  <c r="B41" i="63" s="1"/>
  <c r="D79" i="80"/>
  <c r="D88" i="80" s="1"/>
  <c r="B71" i="80"/>
  <c r="C71" i="80" s="1"/>
  <c r="E71" i="80" s="1"/>
  <c r="C26" i="63"/>
  <c r="B26" i="63" s="1"/>
  <c r="B30" i="80"/>
  <c r="C30" i="80" s="1"/>
  <c r="E30" i="80" s="1"/>
  <c r="C9" i="63"/>
  <c r="B28" i="80"/>
  <c r="C28" i="80" s="1"/>
  <c r="E28" i="80" s="1"/>
  <c r="B17" i="63"/>
  <c r="C17" i="63" s="1"/>
  <c r="AH7" i="7"/>
  <c r="AI6" i="7"/>
  <c r="C73" i="73"/>
  <c r="B12" i="80"/>
  <c r="B50" i="63"/>
  <c r="C50" i="63" s="1"/>
  <c r="B26" i="80"/>
  <c r="B35" i="63"/>
  <c r="C35" i="63" s="1"/>
  <c r="B75" i="80"/>
  <c r="C32" i="63"/>
  <c r="B32" i="63" s="1"/>
  <c r="B32" i="80" l="1"/>
  <c r="C32" i="80" s="1"/>
  <c r="E32" i="80" s="1"/>
  <c r="B55" i="63"/>
  <c r="B57" i="63" s="1"/>
  <c r="C41" i="63"/>
  <c r="C55" i="63" s="1"/>
  <c r="N15" i="63"/>
  <c r="C68" i="80"/>
  <c r="B72" i="80"/>
  <c r="B38" i="63"/>
  <c r="C12" i="80"/>
  <c r="B17" i="80"/>
  <c r="B53" i="80" s="1"/>
  <c r="B51" i="80"/>
  <c r="C26" i="80"/>
  <c r="C38" i="63"/>
  <c r="E82" i="80"/>
  <c r="E86" i="80" s="1"/>
  <c r="C86" i="80"/>
  <c r="C81" i="73"/>
  <c r="C82" i="73" s="1"/>
  <c r="C23" i="80"/>
  <c r="E20" i="80"/>
  <c r="C75" i="80"/>
  <c r="B79" i="80"/>
  <c r="B88" i="80" s="1"/>
  <c r="AH8" i="7"/>
  <c r="AI7" i="7"/>
  <c r="F40" i="73"/>
  <c r="F49" i="73" s="1"/>
  <c r="C74" i="73"/>
  <c r="B21" i="80"/>
  <c r="B23" i="80" s="1"/>
  <c r="D21" i="80"/>
  <c r="E21" i="80"/>
  <c r="C51" i="80" l="1"/>
  <c r="E26" i="80"/>
  <c r="E51" i="80" s="1"/>
  <c r="C17" i="80"/>
  <c r="C53" i="80"/>
  <c r="B92" i="80" s="1"/>
  <c r="E12" i="80"/>
  <c r="E68" i="80"/>
  <c r="C72" i="80"/>
  <c r="C88" i="80" s="1"/>
  <c r="B91" i="80" s="1"/>
  <c r="C61" i="20"/>
  <c r="C62" i="20" s="1"/>
  <c r="F53" i="73"/>
  <c r="AI8" i="7"/>
  <c r="AH9" i="7"/>
  <c r="E75" i="80"/>
  <c r="E79" i="80" s="1"/>
  <c r="C79" i="80"/>
  <c r="D23" i="80"/>
  <c r="D53" i="80"/>
  <c r="E23" i="80"/>
  <c r="C57" i="63"/>
  <c r="E72" i="80" l="1"/>
  <c r="E88" i="80" s="1"/>
  <c r="E17" i="80"/>
  <c r="E53" i="80" s="1"/>
  <c r="AH10" i="7"/>
  <c r="AI9" i="7"/>
  <c r="AI10" i="7" l="1"/>
  <c r="AH11" i="7"/>
  <c r="AI11" i="7" l="1"/>
  <c r="AH12" i="7"/>
  <c r="AH13" i="7" l="1"/>
  <c r="AI12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<sst xmlns="http://schemas.openxmlformats.org/spreadsheetml/2006/main" count="1036" uniqueCount="334">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</sst>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66" fontId="8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2.11</v>
          </cell>
          <cell r="K39">
            <v>2.08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2.08</v>
      </c>
      <c r="H3" s="402">
        <f ca="1">NOW()</f>
        <v>41885.682653935182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2.11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-22618.830000000016</v>
      </c>
      <c r="C12" s="369">
        <f>+B12/$G$4</f>
        <v>-10770.871428571436</v>
      </c>
      <c r="D12" s="14">
        <f>+Calpine!D47</f>
        <v>77148</v>
      </c>
      <c r="E12" s="70">
        <f>+C12-D12</f>
        <v>-87918.871428571438</v>
      </c>
      <c r="F12" s="364">
        <f>+Calpine!A41</f>
        <v>37283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12296.220000000001</v>
      </c>
      <c r="C13" s="368">
        <f>+B13/$G$4</f>
        <v>5855.3428571428576</v>
      </c>
      <c r="D13" s="14">
        <f>+'Citizens-Griffith'!D48</f>
        <v>9748</v>
      </c>
      <c r="E13" s="70">
        <f>+C13-D13</f>
        <v>-3892.6571428571424</v>
      </c>
      <c r="F13" s="364">
        <f>+'Citizens-Griffith'!A41</f>
        <v>37283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-20468.43</v>
      </c>
      <c r="C14" s="368">
        <f>+B14/G4</f>
        <v>-9746.8714285714286</v>
      </c>
      <c r="D14" s="14">
        <f>+SWGasTrans!$D$48</f>
        <v>3237</v>
      </c>
      <c r="E14" s="70">
        <f>+C14-D14</f>
        <v>-12983.871428571429</v>
      </c>
      <c r="F14" s="364">
        <f>+SWGasTrans!A41</f>
        <v>37282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-292277.90000000002</v>
      </c>
      <c r="C15" s="368">
        <f>+B15/$G$4</f>
        <v>-139179.9523809524</v>
      </c>
      <c r="D15" s="14">
        <f>+'NS Steel'!D50</f>
        <v>-14370</v>
      </c>
      <c r="E15" s="70">
        <f>+C15-D15</f>
        <v>-124809.9523809524</v>
      </c>
      <c r="F15" s="365">
        <f>+'NS Steel'!A41</f>
        <v>37282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-549480.09000000008</v>
      </c>
      <c r="C16" s="370">
        <f>+B16/$G$4</f>
        <v>-261657.18571428573</v>
      </c>
      <c r="D16" s="350">
        <f>+Citizens!D24</f>
        <v>-42436</v>
      </c>
      <c r="E16" s="72">
        <f>+C16-D16</f>
        <v>-219221.18571428573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-872549.03000000014</v>
      </c>
      <c r="C17" s="393">
        <f>SUBTOTAL(9,C12:C16)</f>
        <v>-415499.53809523815</v>
      </c>
      <c r="D17" s="394">
        <f>SUBTOTAL(9,D12:D16)</f>
        <v>33327</v>
      </c>
      <c r="E17" s="395">
        <f>SUBTOTAL(9,E12:E16)</f>
        <v>-448826.53809523815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30918.799999999999</v>
      </c>
      <c r="C20" s="368">
        <f>+B20/$G$4</f>
        <v>14723.238095238094</v>
      </c>
      <c r="D20" s="14">
        <f>+transcol!D50</f>
        <v>-41164</v>
      </c>
      <c r="E20" s="70">
        <f>+C20-D20</f>
        <v>55887.238095238092</v>
      </c>
      <c r="F20" s="365">
        <f>+transcol!A43</f>
        <v>37282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62100.480000000003</v>
      </c>
      <c r="C21" s="368">
        <f>+williams!J40</f>
        <v>29856</v>
      </c>
      <c r="D21" s="14">
        <f>+C21</f>
        <v>29856</v>
      </c>
      <c r="E21" s="70">
        <f>+C21-D21</f>
        <v>0</v>
      </c>
      <c r="F21" s="365">
        <f>+williams!A40</f>
        <v>37282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-10100.099999999999</v>
      </c>
      <c r="C22" s="372">
        <f>+B22/$G$3</f>
        <v>-4855.8173076923067</v>
      </c>
      <c r="D22" s="350">
        <f>+burlington!D49</f>
        <v>-7327</v>
      </c>
      <c r="E22" s="72">
        <f>+C22-D22</f>
        <v>2471.1826923076933</v>
      </c>
      <c r="F22" s="364">
        <f>+burlington!A42</f>
        <v>37282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82919.179999999993</v>
      </c>
      <c r="C23" s="389">
        <f>SUBTOTAL(9,C20:C22)</f>
        <v>39723.420787545787</v>
      </c>
      <c r="D23" s="394">
        <f>SUBTOTAL(9,D20:D22)</f>
        <v>-18635</v>
      </c>
      <c r="E23" s="395">
        <f>SUBTOTAL(9,E20:E22)</f>
        <v>58358.420787545787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22736.7</v>
      </c>
      <c r="C26" s="368">
        <f>+B26/$G$4</f>
        <v>10827</v>
      </c>
      <c r="D26" s="14">
        <f>+NNG!D34</f>
        <v>9392</v>
      </c>
      <c r="E26" s="70">
        <f t="shared" ref="E26:E50" si="0">+C26-D26</f>
        <v>1435</v>
      </c>
      <c r="F26" s="364">
        <f>+NNG!A24</f>
        <v>37282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452547.49</v>
      </c>
      <c r="C27" s="368">
        <f>+B27/$G$4</f>
        <v>215498.80476190476</v>
      </c>
      <c r="D27" s="14">
        <f>+Conoco!D48</f>
        <v>14215</v>
      </c>
      <c r="E27" s="70">
        <f t="shared" si="0"/>
        <v>201283.80476190476</v>
      </c>
      <c r="F27" s="364">
        <f>+Conoco!A41</f>
        <v>37283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169918.72999999998</v>
      </c>
      <c r="C28" s="368">
        <f>+B28/$G$4</f>
        <v>80913.680952380935</v>
      </c>
      <c r="D28" s="14">
        <f>+'Amoco Abo'!D49</f>
        <v>-359810</v>
      </c>
      <c r="E28" s="70">
        <f t="shared" si="0"/>
        <v>440723.68095238094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303914.19</v>
      </c>
      <c r="C29" s="368">
        <f>+B29/$G$4</f>
        <v>144721.04285714286</v>
      </c>
      <c r="D29" s="14">
        <f>+KN_Westar!D48</f>
        <v>-49188</v>
      </c>
      <c r="E29" s="70">
        <f t="shared" si="0"/>
        <v>193909.04285714286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1226348.72</v>
      </c>
      <c r="C30" s="369">
        <f>+B30/$G$5</f>
        <v>581207.92417061608</v>
      </c>
      <c r="D30" s="14">
        <f>+Duke!$G$40+Duke!$H$40+Duke!$I$53+Duke!$I$54</f>
        <v>365664</v>
      </c>
      <c r="E30" s="70">
        <f t="shared" si="0"/>
        <v>215543.92417061608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1513239.61</v>
      </c>
      <c r="C31" s="369">
        <f>+B31/$G$5</f>
        <v>717175.17061611381</v>
      </c>
      <c r="D31" s="14">
        <f>+Duke!$F$40</f>
        <v>370017</v>
      </c>
      <c r="E31" s="70">
        <f t="shared" si="0"/>
        <v>347158.17061611381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+summary!B41</f>
        <v>-2806071.0700000003</v>
      </c>
      <c r="C32" s="369">
        <f>+B32/$G$5</f>
        <v>-1329891.5023696686</v>
      </c>
      <c r="D32" s="14">
        <f>+DEFS!$I$36+DEFS!$J$36+DEFS!$K$45+DEFS!$K$46+DEFS!$K$47+DEFS!$K$48</f>
        <v>-438490</v>
      </c>
      <c r="E32" s="70">
        <f t="shared" si="0"/>
        <v>-891401.50236966857</v>
      </c>
      <c r="F32" s="365">
        <f>+DEFS!A40</f>
        <v>37283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358326.92</v>
      </c>
      <c r="C33" s="368">
        <f>+B33/$G$4</f>
        <v>170631.86666666664</v>
      </c>
      <c r="D33" s="14">
        <f>+mewborne!D49</f>
        <v>143838</v>
      </c>
      <c r="E33" s="70">
        <f t="shared" si="0"/>
        <v>26793.86666666664</v>
      </c>
      <c r="F33" s="365">
        <f>+mewborne!A43</f>
        <v>37282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-8905.6999999999971</v>
      </c>
      <c r="C34" s="368">
        <f>+B34/$G$4</f>
        <v>-4240.809523809522</v>
      </c>
      <c r="D34" s="14">
        <f>+PGETX!E48</f>
        <v>23179</v>
      </c>
      <c r="E34" s="70">
        <f t="shared" si="0"/>
        <v>-27419.809523809523</v>
      </c>
      <c r="F34" s="365">
        <f>+PGETX!E39</f>
        <v>37282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741008.72</v>
      </c>
      <c r="C35" s="368">
        <f>+B35/$G$4</f>
        <v>352861.29523809522</v>
      </c>
      <c r="D35" s="14">
        <f>+PNM!D30</f>
        <v>294986</v>
      </c>
      <c r="E35" s="70">
        <f t="shared" si="0"/>
        <v>57875.295238095219</v>
      </c>
      <c r="F35" s="365">
        <f>+PNM!A23</f>
        <v>37282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26619.81</v>
      </c>
      <c r="C36" s="368">
        <f>+B36/$G$4</f>
        <v>12676.1</v>
      </c>
      <c r="D36" s="14">
        <f>+EOG!D48</f>
        <v>-115022</v>
      </c>
      <c r="E36" s="70">
        <f t="shared" si="0"/>
        <v>127698.1</v>
      </c>
      <c r="F36" s="364">
        <f>+EOG!A41</f>
        <v>37282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-63931.360000000001</v>
      </c>
      <c r="C37" s="368">
        <f>+B37/G5</f>
        <v>-30299.222748815169</v>
      </c>
      <c r="D37" s="14">
        <f>+Oasis!D47</f>
        <v>-32624</v>
      </c>
      <c r="E37" s="70">
        <f>+C37-D37</f>
        <v>2324.7772511848307</v>
      </c>
      <c r="F37" s="364">
        <f>+Oasis!A40</f>
        <v>37282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38982.14</v>
      </c>
      <c r="C38" s="368">
        <f>+B38/$G$5</f>
        <v>18474.947867298579</v>
      </c>
      <c r="D38" s="14">
        <f>+SidR!D48</f>
        <v>18425</v>
      </c>
      <c r="E38" s="70">
        <f t="shared" si="0"/>
        <v>49.947867298578785</v>
      </c>
      <c r="F38" s="365">
        <f>+SidR!A41</f>
        <v>37282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+summary!$B$44</f>
        <v>-203736.06</v>
      </c>
      <c r="C39" s="368">
        <f>+summary!$C$44</f>
        <v>-96557.374407582945</v>
      </c>
      <c r="D39" s="14">
        <f>+MiVida_Rich!D48</f>
        <v>-51454</v>
      </c>
      <c r="E39" s="70">
        <f>+C39-D39</f>
        <v>-45103.374407582945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175198.09000000003</v>
      </c>
      <c r="C40" s="368">
        <f>+B40/$G$5</f>
        <v>83032.270142180118</v>
      </c>
      <c r="D40" s="14">
        <f>+Dominion!D48</f>
        <v>76714</v>
      </c>
      <c r="E40" s="70">
        <f t="shared" si="0"/>
        <v>6318.2701421801175</v>
      </c>
      <c r="F40" s="365">
        <f>+Dominion!A41</f>
        <v>37282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-35819.630000000005</v>
      </c>
      <c r="C41" s="368">
        <f>+B41/$G$4</f>
        <v>-17056.966666666667</v>
      </c>
      <c r="D41" s="14">
        <f>+WTGmktg!D50</f>
        <v>-3567</v>
      </c>
      <c r="E41" s="70">
        <f t="shared" si="0"/>
        <v>-13489.966666666667</v>
      </c>
      <c r="F41" s="365">
        <f>+WTGmktg!A43</f>
        <v>37282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34195.89</v>
      </c>
      <c r="C42" s="368">
        <f>+B42/G4</f>
        <v>16283.757142857143</v>
      </c>
      <c r="D42" s="14">
        <f>+'WTG inc'!D50</f>
        <v>12875</v>
      </c>
      <c r="E42" s="70">
        <f>+C42-D42</f>
        <v>3408.7571428571428</v>
      </c>
      <c r="F42" s="365">
        <f>+'WTG inc'!A43</f>
        <v>37282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151909.31999999998</v>
      </c>
      <c r="C43" s="368">
        <f>+B43/$G$5</f>
        <v>71994.938388625582</v>
      </c>
      <c r="D43" s="14">
        <f>+Devon!D48</f>
        <v>29524</v>
      </c>
      <c r="E43" s="70">
        <f t="shared" si="0"/>
        <v>42470.938388625582</v>
      </c>
      <c r="F43" s="365">
        <f>+Devon!A41</f>
        <v>37282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-116026.13999999998</v>
      </c>
      <c r="C44" s="368">
        <f>+B44/$G$4</f>
        <v>-55250.542857142849</v>
      </c>
      <c r="D44" s="14">
        <f>+crosstex!D48</f>
        <v>-35141</v>
      </c>
      <c r="E44" s="70">
        <f t="shared" si="0"/>
        <v>-20109.542857142849</v>
      </c>
      <c r="F44" s="365">
        <f>+crosstex!A41</f>
        <v>37282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92004.9</v>
      </c>
      <c r="C45" s="368">
        <f>+B45/$G$4</f>
        <v>43811.857142857138</v>
      </c>
      <c r="D45" s="14">
        <f>+Amarillo!D48</f>
        <v>38125</v>
      </c>
      <c r="E45" s="70">
        <f t="shared" si="0"/>
        <v>5686.8571428571377</v>
      </c>
      <c r="F45" s="365">
        <f>+Amarillo!A41</f>
        <v>37282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42593.49</v>
      </c>
      <c r="C46" s="369">
        <f>+B46/$G$4</f>
        <v>20282.614285714284</v>
      </c>
      <c r="D46" s="14">
        <f>+Stratland!D48</f>
        <v>14572</v>
      </c>
      <c r="E46" s="70">
        <f>+C46-D46</f>
        <v>5710.6142857142841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51403.942857142858</v>
      </c>
      <c r="D47" s="14">
        <f>+Plains!D50</f>
        <v>36315</v>
      </c>
      <c r="E47" s="70">
        <f>+C47-D47</f>
        <v>15088.942857142858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46490.3</v>
      </c>
      <c r="C48" s="369">
        <f>+B48/$G$4</f>
        <v>22138.238095238095</v>
      </c>
      <c r="D48" s="14">
        <f>+Continental!D50</f>
        <v>6571</v>
      </c>
      <c r="E48" s="70">
        <f t="shared" si="0"/>
        <v>15567.238095238095</v>
      </c>
      <c r="F48" s="365">
        <f>+Continental!A43</f>
        <v>37283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75928.929999999993</v>
      </c>
      <c r="C49" s="369">
        <f>+B49/$G$5</f>
        <v>35985.274881516583</v>
      </c>
      <c r="D49" s="14">
        <f>+EPFS!D47</f>
        <v>50281</v>
      </c>
      <c r="E49" s="70">
        <f t="shared" si="0"/>
        <v>-14295.725118483417</v>
      </c>
      <c r="F49" s="364">
        <f>+EPFS!A41</f>
        <v>37283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104552.81</v>
      </c>
      <c r="C50" s="370">
        <f>+B50/$G$4</f>
        <v>49787.05238095238</v>
      </c>
      <c r="D50" s="350">
        <f>+Agave!D31</f>
        <v>62011</v>
      </c>
      <c r="E50" s="72">
        <f t="shared" si="0"/>
        <v>-12223.94761904762</v>
      </c>
      <c r="F50" s="364">
        <f>+Agave!A24</f>
        <v>37282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2449975.0799999996</v>
      </c>
      <c r="C51" s="393">
        <f>SUBTOTAL(9,C26:C50)</f>
        <v>1166411.3598736173</v>
      </c>
      <c r="D51" s="394">
        <f>SUBTOTAL(9,D26:D50)</f>
        <v>481408</v>
      </c>
      <c r="E51" s="395">
        <f>SUBTOTAL(9,E26:E50)</f>
        <v>685003.35987361753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1660345.2299999993</v>
      </c>
      <c r="C53" s="393">
        <f>SUBTOTAL(9,C12:C50)</f>
        <v>790635.24256592523</v>
      </c>
      <c r="D53" s="394">
        <f>SUBTOTAL(9,D12:D50)</f>
        <v>496100</v>
      </c>
      <c r="E53" s="395">
        <f>SUBTOTAL(9,E12:E50)</f>
        <v>294535.242565925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2.08</v>
      </c>
      <c r="H59" s="402">
        <f ca="1">NOW()</f>
        <v>41885.682653935182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2.11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179360</v>
      </c>
      <c r="C68" s="346">
        <f>+B68*$G$4</f>
        <v>376656</v>
      </c>
      <c r="D68" s="47">
        <f>+Mojave!D47</f>
        <v>184140.7</v>
      </c>
      <c r="E68" s="47">
        <f>+C68-D68</f>
        <v>192515.3</v>
      </c>
      <c r="F68" s="365">
        <f>+Mojave!A40</f>
        <v>37282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77856</v>
      </c>
      <c r="C69" s="346">
        <f>+B69*$G$4</f>
        <v>163497.60000000001</v>
      </c>
      <c r="D69" s="47">
        <f>+SoCal!D47</f>
        <v>276132.59999999998</v>
      </c>
      <c r="E69" s="47">
        <f>+C69-D69</f>
        <v>-112634.99999999997</v>
      </c>
      <c r="F69" s="365">
        <f>+SoCal!A40</f>
        <v>37283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134964.9</v>
      </c>
      <c r="D70" s="47">
        <f>+'El Paso'!C46</f>
        <v>-1582961.01</v>
      </c>
      <c r="E70" s="47">
        <f>+C70-D70</f>
        <v>1717925.91</v>
      </c>
      <c r="F70" s="365">
        <f>+'El Paso'!A39</f>
        <v>37283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26148</v>
      </c>
      <c r="C71" s="349">
        <f>+B71*$G$4</f>
        <v>54910.8</v>
      </c>
      <c r="D71" s="349">
        <f>+'PG&amp;E'!D47</f>
        <v>-149681.45000000001</v>
      </c>
      <c r="E71" s="349">
        <f>+C71-D71</f>
        <v>204592.25</v>
      </c>
      <c r="F71" s="365">
        <f>+'PG&amp;E'!A40</f>
        <v>37283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347633</v>
      </c>
      <c r="C72" s="388">
        <f>SUBTOTAL(9,C68:C71)</f>
        <v>730029.3</v>
      </c>
      <c r="D72" s="388">
        <f>SUBTOTAL(9,D68:D71)</f>
        <v>-1272369.1599999999</v>
      </c>
      <c r="E72" s="388">
        <f>SUBTOTAL(9,E68:E71)</f>
        <v>2002398.46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15071</v>
      </c>
      <c r="C75" s="347">
        <f>+B75*G59</f>
        <v>31347.68</v>
      </c>
      <c r="D75" s="200">
        <f>+'Red C'!D52</f>
        <v>403035.98000000004</v>
      </c>
      <c r="E75" s="47">
        <f>+C75-D75</f>
        <v>-371688.30000000005</v>
      </c>
      <c r="F75" s="364">
        <f>+'Red C'!A45</f>
        <v>37283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-167</v>
      </c>
      <c r="C76" s="346">
        <f>+B76*$G$3</f>
        <v>-347.36</v>
      </c>
      <c r="D76" s="47">
        <f>+Amoco!D47</f>
        <v>335071.44</v>
      </c>
      <c r="E76" s="47">
        <f>+C76-D76</f>
        <v>-335418.8</v>
      </c>
      <c r="F76" s="365">
        <f>+Amoco!A40</f>
        <v>37283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-61586</v>
      </c>
      <c r="C77" s="346">
        <f>+B77*$G$3</f>
        <v>-128098.88</v>
      </c>
      <c r="D77" s="47">
        <f>+'El Paso'!F46</f>
        <v>-657254.01</v>
      </c>
      <c r="E77" s="47">
        <f>+C77-D77</f>
        <v>529155.13</v>
      </c>
      <c r="F77" s="365">
        <f>+'El Paso'!A39</f>
        <v>37283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-17437</v>
      </c>
      <c r="C78" s="349">
        <f>+B78*$G$3</f>
        <v>-36268.959999999999</v>
      </c>
      <c r="D78" s="349">
        <f>+NW!E49</f>
        <v>-497307.84</v>
      </c>
      <c r="E78" s="349">
        <f>+C78-D78</f>
        <v>461038.88</v>
      </c>
      <c r="F78" s="364">
        <f>+NW!B41</f>
        <v>37282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-64119</v>
      </c>
      <c r="C79" s="388">
        <f>SUBTOTAL(9,C75:C78)</f>
        <v>-133367.51999999999</v>
      </c>
      <c r="D79" s="388">
        <f>SUBTOTAL(9,D75:D78)</f>
        <v>-416454.43</v>
      </c>
      <c r="E79" s="388">
        <f>SUBTOTAL(9,E75:E78)</f>
        <v>283086.90999999992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135677</v>
      </c>
      <c r="C82" s="480">
        <f>+B82*$G$5</f>
        <v>286278.46999999997</v>
      </c>
      <c r="D82" s="47">
        <f>+NGPL!D45</f>
        <v>339291.6</v>
      </c>
      <c r="E82" s="47">
        <f>+C82-D82</f>
        <v>-53013.130000000005</v>
      </c>
      <c r="F82" s="365">
        <f>+NGPL!A38</f>
        <v>37283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-13754</v>
      </c>
      <c r="C83" s="481">
        <f>+B83*$G$4</f>
        <v>-28883.4</v>
      </c>
      <c r="D83" s="47">
        <f>+PEPL!D47</f>
        <v>164413.1</v>
      </c>
      <c r="E83" s="47">
        <f>+C83-D83</f>
        <v>-193296.5</v>
      </c>
      <c r="F83" s="365">
        <f>+PEPL!A41</f>
        <v>37283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36932.700000000004</v>
      </c>
      <c r="D84" s="200">
        <f>+CIG!D49</f>
        <v>385921.9</v>
      </c>
      <c r="E84" s="70">
        <f>+C84-D84</f>
        <v>-348989.2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39962.94</v>
      </c>
      <c r="C85" s="498">
        <f>+B85*G61</f>
        <v>84321.803400000004</v>
      </c>
      <c r="D85" s="349">
        <f>+Lonestar!D50</f>
        <v>34297.240000000005</v>
      </c>
      <c r="E85" s="349">
        <f>+C85-D85</f>
        <v>50024.563399999999</v>
      </c>
      <c r="F85" s="364">
        <f>+Lonestar!A43</f>
        <v>37282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179472.94</v>
      </c>
      <c r="C86" s="388">
        <f>SUBTOTAL(9,C82:C85)</f>
        <v>378649.57339999999</v>
      </c>
      <c r="D86" s="388">
        <f>SUBTOTAL(9,D82:D85)</f>
        <v>923923.84</v>
      </c>
      <c r="E86" s="388">
        <f>SUBTOTAL(9,E82:E85)</f>
        <v>-545274.26660000009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462986.94</v>
      </c>
      <c r="C88" s="388">
        <f>SUBTOTAL(9,C68:C85)</f>
        <v>975311.35340000002</v>
      </c>
      <c r="D88" s="388">
        <f>SUBTOTAL(9,D68:D85)</f>
        <v>-764899.75000000012</v>
      </c>
      <c r="E88" s="388">
        <f>SUBTOTAL(9,E68:E85)</f>
        <v>1740211.1033999999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2635656.5833999994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1253622.1825659252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3" sqref="C33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4125257</v>
      </c>
      <c r="C37" s="411">
        <f>SUM(C6:C36)</f>
        <v>4155300</v>
      </c>
      <c r="D37" s="411">
        <f>SUM(D6:D36)</f>
        <v>30043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37283</v>
      </c>
      <c r="B40" s="285"/>
      <c r="C40" s="436"/>
      <c r="D40" s="307">
        <f>+D39+D37</f>
        <v>-167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37283</v>
      </c>
      <c r="B46" s="32"/>
      <c r="C46" s="32"/>
      <c r="D46" s="375">
        <f>+D37*'by type_area'!G3</f>
        <v>62489.440000000002</v>
      </c>
      <c r="H46">
        <v>500</v>
      </c>
    </row>
    <row r="47" spans="1:16" x14ac:dyDescent="0.2">
      <c r="A47" s="32"/>
      <c r="B47" s="32"/>
      <c r="C47" s="32"/>
      <c r="D47" s="200">
        <f>+D46+D45</f>
        <v>335071.44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B29" sqref="B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-915047</v>
      </c>
      <c r="C36" s="24">
        <f>SUM(C5:C35)</f>
        <v>-929592</v>
      </c>
      <c r="D36" s="24">
        <f t="shared" si="0"/>
        <v>-14545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-30689.949999999997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37282</v>
      </c>
      <c r="B40"/>
      <c r="C40" s="48"/>
      <c r="D40" s="138">
        <f>+D39+D38</f>
        <v>-63931.360000000001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37282</v>
      </c>
      <c r="B46" s="32"/>
      <c r="C46" s="32"/>
      <c r="D46" s="350">
        <f>+D36</f>
        <v>-14545</v>
      </c>
    </row>
    <row r="47" spans="1:65" x14ac:dyDescent="0.2">
      <c r="A47" s="32"/>
      <c r="B47" s="32"/>
      <c r="C47" s="32"/>
      <c r="D47" s="14">
        <f>+D46+D45</f>
        <v>-32624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833804</v>
      </c>
      <c r="C5" s="90">
        <v>824102</v>
      </c>
      <c r="D5" s="90">
        <f>+C5-B5</f>
        <v>-9702</v>
      </c>
      <c r="E5" s="275"/>
      <c r="F5" s="273"/>
    </row>
    <row r="6" spans="1:13" x14ac:dyDescent="0.2">
      <c r="A6" s="87">
        <v>78311</v>
      </c>
      <c r="B6" s="90">
        <v>317848</v>
      </c>
      <c r="C6" s="90">
        <v>301052</v>
      </c>
      <c r="D6" s="90">
        <f t="shared" ref="D6:D17" si="0">+C6-B6</f>
        <v>-16796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695191</v>
      </c>
      <c r="C7" s="90">
        <v>758677</v>
      </c>
      <c r="D7" s="90">
        <f t="shared" si="0"/>
        <v>63486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738933+24604</f>
        <v>763537</v>
      </c>
      <c r="C8" s="90">
        <v>706099</v>
      </c>
      <c r="D8" s="90">
        <f t="shared" si="0"/>
        <v>-57438</v>
      </c>
      <c r="E8" s="456"/>
      <c r="F8" s="273"/>
    </row>
    <row r="9" spans="1:13" x14ac:dyDescent="0.2">
      <c r="A9" s="87">
        <v>500293</v>
      </c>
      <c r="B9" s="90">
        <v>468794</v>
      </c>
      <c r="C9" s="90">
        <v>519991</v>
      </c>
      <c r="D9" s="90">
        <f t="shared" si="0"/>
        <v>51197</v>
      </c>
      <c r="E9" s="275"/>
      <c r="F9" s="273"/>
    </row>
    <row r="10" spans="1:13" x14ac:dyDescent="0.2">
      <c r="A10" s="87">
        <v>500302</v>
      </c>
      <c r="B10" s="90"/>
      <c r="C10" s="90">
        <v>7860</v>
      </c>
      <c r="D10" s="90">
        <f t="shared" si="0"/>
        <v>7860</v>
      </c>
      <c r="E10" s="275"/>
      <c r="F10" s="273"/>
    </row>
    <row r="11" spans="1:13" x14ac:dyDescent="0.2">
      <c r="A11" s="87">
        <v>500303</v>
      </c>
      <c r="B11" s="90"/>
      <c r="C11" s="90">
        <v>266334</v>
      </c>
      <c r="D11" s="90">
        <f t="shared" si="0"/>
        <v>266334</v>
      </c>
      <c r="E11" s="275"/>
      <c r="F11" s="273"/>
    </row>
    <row r="12" spans="1:13" x14ac:dyDescent="0.2">
      <c r="A12" s="91">
        <v>500305</v>
      </c>
      <c r="B12" s="90">
        <v>1339912</v>
      </c>
      <c r="C12" s="90">
        <v>1259489</v>
      </c>
      <c r="D12" s="90">
        <f t="shared" si="0"/>
        <v>-80423</v>
      </c>
      <c r="E12" s="276"/>
      <c r="F12" s="467"/>
      <c r="G12" s="90"/>
    </row>
    <row r="13" spans="1:13" x14ac:dyDescent="0.2">
      <c r="A13" s="87">
        <v>500307</v>
      </c>
      <c r="B13" s="90">
        <v>76180</v>
      </c>
      <c r="C13" s="90">
        <v>34048</v>
      </c>
      <c r="D13" s="90">
        <f t="shared" si="0"/>
        <v>-42132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191466</v>
      </c>
      <c r="C16" s="90"/>
      <c r="D16" s="90">
        <f t="shared" si="0"/>
        <v>-191466</v>
      </c>
      <c r="E16" s="275"/>
      <c r="F16" s="273"/>
    </row>
    <row r="17" spans="1:7" x14ac:dyDescent="0.2">
      <c r="A17" s="87">
        <v>500657</v>
      </c>
      <c r="B17" s="88">
        <v>142219</v>
      </c>
      <c r="C17" s="88">
        <v>179988</v>
      </c>
      <c r="D17" s="94">
        <f t="shared" si="0"/>
        <v>37769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30305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2.11</v>
      </c>
      <c r="E19" s="277"/>
      <c r="F19" s="273"/>
    </row>
    <row r="20" spans="1:7" x14ac:dyDescent="0.2">
      <c r="A20" s="87"/>
      <c r="B20" s="88"/>
      <c r="C20" s="88"/>
      <c r="D20" s="96">
        <f>+D19*D18</f>
        <v>63943.549999999996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37282</v>
      </c>
      <c r="B24" s="88"/>
      <c r="C24" s="88"/>
      <c r="D24" s="318">
        <f>+D22+D20</f>
        <v>104552.81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37282</v>
      </c>
      <c r="B30" s="32"/>
      <c r="C30" s="32"/>
      <c r="D30" s="350">
        <f>+D18</f>
        <v>30305</v>
      </c>
    </row>
    <row r="31" spans="1:7" x14ac:dyDescent="0.2">
      <c r="A31" s="32"/>
      <c r="B31" s="32"/>
      <c r="C31" s="32"/>
      <c r="D31" s="14">
        <f>+D30+D29</f>
        <v>62011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31" sqref="E3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30023</v>
      </c>
      <c r="E30" s="11">
        <v>33000</v>
      </c>
      <c r="F30" s="25">
        <f t="shared" si="2"/>
        <v>-1490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882721</v>
      </c>
      <c r="C35" s="11">
        <f>SUM(C4:C34)</f>
        <v>891964</v>
      </c>
      <c r="D35" s="11">
        <f>SUM(D4:D34)</f>
        <v>880116</v>
      </c>
      <c r="E35" s="11">
        <f>SUM(E4:E34)</f>
        <v>867121</v>
      </c>
      <c r="F35" s="11">
        <f>+E35-D35+C35-B35</f>
        <v>-3752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</v>
      </c>
    </row>
    <row r="38" spans="1:7" x14ac:dyDescent="0.2">
      <c r="C38" s="48"/>
      <c r="D38" s="47"/>
      <c r="E38" s="48"/>
      <c r="F38" s="46">
        <f>+F37*F35</f>
        <v>-7879.2000000000007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37283</v>
      </c>
      <c r="C41" s="106"/>
      <c r="D41" s="106"/>
      <c r="E41" s="106"/>
      <c r="F41" s="106">
        <f>+F38+F40</f>
        <v>452547.49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37283</v>
      </c>
      <c r="D47" s="350">
        <f>+F35</f>
        <v>-3752</v>
      </c>
      <c r="E47" s="11"/>
      <c r="F47" s="11"/>
      <c r="G47" s="25"/>
    </row>
    <row r="48" spans="1:7" x14ac:dyDescent="0.2">
      <c r="D48" s="14">
        <f>+D47+D46</f>
        <v>14215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4518019</v>
      </c>
      <c r="C36" s="11">
        <f>SUM(C5:C35)</f>
        <v>4543189</v>
      </c>
      <c r="D36" s="11">
        <f>SUM(D5:D35)</f>
        <v>0</v>
      </c>
      <c r="E36" s="11">
        <f>SUM(E5:E35)</f>
        <v>-20218</v>
      </c>
      <c r="F36" s="11">
        <f>SUM(F5:F35)</f>
        <v>4952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37282</v>
      </c>
      <c r="F41" s="333">
        <f>+F39+F36</f>
        <v>-17437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37282</v>
      </c>
      <c r="C48" s="32"/>
      <c r="D48" s="32"/>
      <c r="E48" s="375">
        <f>+F36*'by type_area'!G3</f>
        <v>10300.16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-497307.84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I36" sqref="I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">
      <c r="A31" s="10">
        <v>24</v>
      </c>
      <c r="B31" s="11">
        <v>91683</v>
      </c>
      <c r="C31" s="11">
        <v>98507</v>
      </c>
      <c r="D31" s="11">
        <f t="shared" si="0"/>
        <v>6824</v>
      </c>
      <c r="E31" s="10"/>
      <c r="F31" s="11"/>
      <c r="G31" s="11"/>
      <c r="H31" s="11"/>
    </row>
    <row r="32" spans="1:8" x14ac:dyDescent="0.2">
      <c r="A32" s="10">
        <v>25</v>
      </c>
      <c r="B32" s="11">
        <v>88263</v>
      </c>
      <c r="C32" s="11">
        <v>87822</v>
      </c>
      <c r="D32" s="11">
        <f t="shared" si="0"/>
        <v>-441</v>
      </c>
      <c r="E32" s="10"/>
      <c r="F32" s="11"/>
      <c r="G32" s="11"/>
      <c r="H32" s="11"/>
    </row>
    <row r="33" spans="1:8" x14ac:dyDescent="0.2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2429121</v>
      </c>
      <c r="C39" s="11">
        <f>SUM(C8:C38)</f>
        <v>2437739</v>
      </c>
      <c r="D39" s="11">
        <f>SUM(D8:D38)</f>
        <v>8618</v>
      </c>
      <c r="E39" s="10"/>
      <c r="F39" s="11"/>
      <c r="G39" s="11"/>
      <c r="H39" s="11"/>
    </row>
    <row r="40" spans="1:8" x14ac:dyDescent="0.2">
      <c r="A40" s="26"/>
      <c r="D40" s="75">
        <f>+summary!G4</f>
        <v>2.1</v>
      </c>
      <c r="E40" s="26"/>
      <c r="H40" s="75"/>
    </row>
    <row r="41" spans="1:8" x14ac:dyDescent="0.2">
      <c r="D41" s="195">
        <f>+D40*D39</f>
        <v>18097.8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37282</v>
      </c>
      <c r="D43" s="196">
        <f>+D42+D41</f>
        <v>30918.799999999999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37282</v>
      </c>
      <c r="B49" s="32"/>
      <c r="C49" s="32"/>
      <c r="D49" s="350">
        <f>+D39</f>
        <v>8618</v>
      </c>
    </row>
    <row r="50" spans="1:4" x14ac:dyDescent="0.2">
      <c r="A50" s="32"/>
      <c r="B50" s="32"/>
      <c r="C50" s="32"/>
      <c r="D50" s="14">
        <f>+D49+D48</f>
        <v>-41164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37283</v>
      </c>
      <c r="I7" s="3" t="s">
        <v>258</v>
      </c>
      <c r="J7" s="15"/>
    </row>
    <row r="8" spans="1:14" x14ac:dyDescent="0.2">
      <c r="A8" s="248">
        <v>50895</v>
      </c>
      <c r="B8" s="340">
        <f>6210-5507-261</f>
        <v>442</v>
      </c>
      <c r="J8" s="15"/>
    </row>
    <row r="9" spans="1:14" x14ac:dyDescent="0.2">
      <c r="A9" s="248">
        <v>60874</v>
      </c>
      <c r="B9" s="340">
        <f>3038+101</f>
        <v>3139</v>
      </c>
      <c r="J9" s="15"/>
    </row>
    <row r="10" spans="1:14" x14ac:dyDescent="0.2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2.11</v>
      </c>
      <c r="C19" s="199">
        <f>+B19*B18</f>
        <v>-18029.95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1513239.61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">
      <c r="G41" s="32"/>
      <c r="H41" s="15"/>
      <c r="I41" s="32"/>
    </row>
    <row r="42" spans="1:9" x14ac:dyDescent="0.2">
      <c r="A42" s="245">
        <v>37283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2865+92</f>
        <v>2957</v>
      </c>
      <c r="G44" s="32"/>
      <c r="H44" s="381"/>
      <c r="I44" s="14"/>
    </row>
    <row r="45" spans="1:9" x14ac:dyDescent="0.2">
      <c r="A45" s="32">
        <v>500392</v>
      </c>
      <c r="B45" s="250">
        <f>2447+94</f>
        <v>2541</v>
      </c>
      <c r="G45" s="32"/>
      <c r="H45" s="381"/>
      <c r="I45" s="14"/>
    </row>
    <row r="46" spans="1:9" x14ac:dyDescent="0.2">
      <c r="B46" s="14">
        <f>SUM(B43:B45)</f>
        <v>5498</v>
      </c>
      <c r="G46" s="32"/>
      <c r="H46" s="381"/>
      <c r="I46" s="14"/>
    </row>
    <row r="47" spans="1:9" x14ac:dyDescent="0.2">
      <c r="B47" s="199">
        <f>+summary!G5</f>
        <v>2.11</v>
      </c>
      <c r="C47" s="199">
        <f>+B47*B46</f>
        <v>11600.779999999999</v>
      </c>
      <c r="H47" s="381"/>
      <c r="I47" s="14"/>
    </row>
    <row r="48" spans="1:9" x14ac:dyDescent="0.2">
      <c r="C48" s="321">
        <f>+C47+C40</f>
        <v>853977.57000000007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2739588.33</v>
      </c>
      <c r="I57" s="14">
        <f>SUM(I40:I54)</f>
        <v>735681</v>
      </c>
    </row>
    <row r="61" spans="1:9" x14ac:dyDescent="0.2">
      <c r="C61" s="15">
        <f>+DEFS!F49</f>
        <v>-2806071.0700000003</v>
      </c>
    </row>
    <row r="62" spans="1:9" x14ac:dyDescent="0.2">
      <c r="C62" s="15">
        <f>+C61+C57</f>
        <v>-66482.740000000224</v>
      </c>
      <c r="I62" s="31">
        <f>+I57+DEFS!K49</f>
        <v>297191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">
      <c r="A29" s="10">
        <v>26</v>
      </c>
      <c r="B29" s="11"/>
      <c r="C29" s="11"/>
      <c r="D29" s="11">
        <v>24672</v>
      </c>
      <c r="E29" s="11">
        <v>24000</v>
      </c>
      <c r="F29" s="11">
        <f t="shared" si="0"/>
        <v>-672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638961</v>
      </c>
      <c r="E35" s="11">
        <f>SUM(E4:E34)</f>
        <v>623812</v>
      </c>
      <c r="F35" s="11">
        <f>SUM(F4:F34)</f>
        <v>-15149</v>
      </c>
      <c r="G35" s="11"/>
      <c r="H35" s="49">
        <f>+A40</f>
        <v>37283</v>
      </c>
      <c r="I35" s="350">
        <f>+C36</f>
        <v>0</v>
      </c>
      <c r="J35" s="350">
        <f>+E36</f>
        <v>-15149</v>
      </c>
      <c r="K35" s="206"/>
      <c r="L35" s="14"/>
    </row>
    <row r="36" spans="1:13" x14ac:dyDescent="0.2">
      <c r="C36" s="25">
        <f>+C35-B35</f>
        <v>0</v>
      </c>
      <c r="E36" s="25">
        <f>+E35-D35</f>
        <v>-15149</v>
      </c>
      <c r="F36" s="25">
        <f>+E36+C36</f>
        <v>-15149</v>
      </c>
      <c r="H36" s="32"/>
      <c r="I36" s="14">
        <f>+I35+I34</f>
        <v>-183022</v>
      </c>
      <c r="J36" s="14">
        <f>+J35+J34</f>
        <v>-143746</v>
      </c>
      <c r="K36" s="14">
        <f>+J36+I36</f>
        <v>-326768</v>
      </c>
      <c r="L36" s="14"/>
    </row>
    <row r="37" spans="1:13" x14ac:dyDescent="0.2">
      <c r="C37" s="313">
        <f>+summary!G5</f>
        <v>2.11</v>
      </c>
      <c r="E37" s="104">
        <f>+C37</f>
        <v>2.11</v>
      </c>
      <c r="F37" s="138">
        <f>+F36*E37</f>
        <v>-31964.39</v>
      </c>
    </row>
    <row r="38" spans="1:13" x14ac:dyDescent="0.2">
      <c r="C38" s="138">
        <f>+C37*C36</f>
        <v>0</v>
      </c>
      <c r="E38" s="136">
        <f>+E37*E36</f>
        <v>-31964.39</v>
      </c>
      <c r="F38" s="138">
        <f>+E38+C38</f>
        <v>-31964.39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37283</v>
      </c>
      <c r="B40" s="2" t="s">
        <v>45</v>
      </c>
      <c r="C40" s="314">
        <f>+C39+C38</f>
        <v>-1033420.01</v>
      </c>
      <c r="D40" s="252"/>
      <c r="E40" s="314">
        <f>+E39+E38</f>
        <v>-603814.73</v>
      </c>
      <c r="F40" s="314">
        <f>+E40+C40</f>
        <v>-1637234.74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-2806071.0700000003</v>
      </c>
      <c r="G49" s="246"/>
      <c r="K49" s="14">
        <f>SUM(K36:K48)</f>
        <v>-438490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2739588.33</v>
      </c>
      <c r="M51" s="14">
        <f>+Duke!I57</f>
        <v>735681</v>
      </c>
    </row>
    <row r="53" spans="3:13" x14ac:dyDescent="0.2">
      <c r="F53" s="104">
        <f>+F51+F49</f>
        <v>-66482.740000000224</v>
      </c>
      <c r="M53" s="16">
        <f>+M51+K49</f>
        <v>297191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-143746</v>
      </c>
      <c r="C74" s="247">
        <f>+E40</f>
        <v>-603814.73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192474</v>
      </c>
      <c r="C77" s="259">
        <f>+Duke!C48</f>
        <v>853977.57000000007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370017</v>
      </c>
      <c r="C79" s="259">
        <f>+Duke!C20</f>
        <v>1513239.61</v>
      </c>
    </row>
    <row r="81" spans="2:3" x14ac:dyDescent="0.2">
      <c r="B81" s="31">
        <f>SUM(B68:B80)</f>
        <v>297191</v>
      </c>
      <c r="C81" s="259">
        <f>SUM(C68:C80)</f>
        <v>-66482.739999999991</v>
      </c>
    </row>
    <row r="82" spans="2:3" x14ac:dyDescent="0.2">
      <c r="C82">
        <f>+C81/B81</f>
        <v>-0.22370374607575597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B34" sqref="B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978</v>
      </c>
      <c r="H31" s="11">
        <v>1509</v>
      </c>
      <c r="I31" s="11">
        <v>1123</v>
      </c>
      <c r="J31" s="25">
        <f t="shared" si="0"/>
        <v>-2843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952</v>
      </c>
      <c r="H32" s="11">
        <v>1429</v>
      </c>
      <c r="I32" s="11">
        <v>1123</v>
      </c>
      <c r="J32" s="25">
        <f t="shared" si="0"/>
        <v>-2577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6076</v>
      </c>
      <c r="C33" s="11">
        <v>4241</v>
      </c>
      <c r="D33" s="11">
        <v>337</v>
      </c>
      <c r="E33" s="11">
        <v>125</v>
      </c>
      <c r="F33" s="129">
        <v>929</v>
      </c>
      <c r="G33" s="11">
        <v>929</v>
      </c>
      <c r="H33" s="11">
        <v>1410</v>
      </c>
      <c r="I33" s="11">
        <v>1123</v>
      </c>
      <c r="J33" s="25">
        <f t="shared" si="0"/>
        <v>-2334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143970</v>
      </c>
      <c r="C39" s="11">
        <f t="shared" si="1"/>
        <v>134263</v>
      </c>
      <c r="D39" s="11">
        <f t="shared" si="1"/>
        <v>15282</v>
      </c>
      <c r="E39" s="11">
        <f t="shared" si="1"/>
        <v>13219</v>
      </c>
      <c r="F39" s="129">
        <f t="shared" si="1"/>
        <v>24793</v>
      </c>
      <c r="G39" s="11">
        <f t="shared" si="1"/>
        <v>22705</v>
      </c>
      <c r="H39" s="11">
        <f t="shared" si="1"/>
        <v>38470</v>
      </c>
      <c r="I39" s="11">
        <f t="shared" si="1"/>
        <v>29198</v>
      </c>
      <c r="J39" s="25">
        <f t="shared" si="1"/>
        <v>-23130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-48573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37282</v>
      </c>
      <c r="C43" s="48"/>
      <c r="J43" s="138">
        <f>+J42+J41</f>
        <v>358326.92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37282</v>
      </c>
      <c r="B48" s="32"/>
      <c r="C48" s="32"/>
      <c r="D48" s="350">
        <f>+J39</f>
        <v>-23130</v>
      </c>
      <c r="L48"/>
    </row>
    <row r="49" spans="1:12" x14ac:dyDescent="0.2">
      <c r="A49" s="32"/>
      <c r="B49" s="32"/>
      <c r="C49" s="32"/>
      <c r="D49" s="14">
        <f>+D48+D47</f>
        <v>143838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-10271.1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169918.72999999998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5" workbookViewId="0">
      <selection activeCell="E52" sqref="E52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2.08</v>
      </c>
      <c r="J3" s="374">
        <f ca="1">NOW()</f>
        <v>41885.682653935182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</v>
      </c>
    </row>
    <row r="5" spans="1:33" ht="15" customHeight="1" x14ac:dyDescent="0.2">
      <c r="B5" s="592"/>
      <c r="F5" s="588" t="s">
        <v>117</v>
      </c>
      <c r="G5" s="589">
        <f>+'[3]1001'!$E$39</f>
        <v>2.11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1513239.61</v>
      </c>
      <c r="C8" s="206">
        <f>+B8/$G$5</f>
        <v>717175.17061611381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1226348.72</v>
      </c>
      <c r="C9" s="206">
        <f>+B9/$G$5</f>
        <v>581207.92417061608</v>
      </c>
      <c r="D9" s="364">
        <f>+DEFS!A40</f>
        <v>37283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741008.72</v>
      </c>
      <c r="C10" s="275">
        <f>+B10/$G$4</f>
        <v>352861.29523809522</v>
      </c>
      <c r="D10" s="365">
        <f>+PNM!A23</f>
        <v>37282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452547.49</v>
      </c>
      <c r="C11" s="275">
        <f>+B11/$G$4</f>
        <v>215498.80476190476</v>
      </c>
      <c r="D11" s="364">
        <f>+Conoco!A41</f>
        <v>37283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376656</v>
      </c>
      <c r="C12" s="275">
        <f>+Mojave!D40</f>
        <v>179360</v>
      </c>
      <c r="D12" s="365">
        <f>+Mojave!A40</f>
        <v>37282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358326.92</v>
      </c>
      <c r="C13" s="275">
        <f>+B13/$G$4</f>
        <v>170631.86666666664</v>
      </c>
      <c r="D13" s="365">
        <f>+mewborne!A43</f>
        <v>37282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303914.19</v>
      </c>
      <c r="C14" s="275">
        <f>+B14/$G$4</f>
        <v>144721.04285714286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286278.46999999997</v>
      </c>
      <c r="C15" s="275">
        <f>+NGPL!F38</f>
        <v>135677</v>
      </c>
      <c r="D15" s="365">
        <f>+NGPL!A38</f>
        <v>37283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-66482.740000000224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175198.09000000003</v>
      </c>
      <c r="C16" s="275">
        <f>+B16/$G$5</f>
        <v>83032.270142180118</v>
      </c>
      <c r="D16" s="365">
        <f>+Dominion!A41</f>
        <v>37282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6">
        <f>+'Amoco Abo'!$F$43</f>
        <v>169918.72999999998</v>
      </c>
      <c r="C17" s="275">
        <f>+B17/$G$4</f>
        <v>80913.680952380935</v>
      </c>
      <c r="D17" s="365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32</v>
      </c>
      <c r="B18" s="346">
        <f>+C18*$G$4</f>
        <v>163497.60000000001</v>
      </c>
      <c r="C18" s="206">
        <f>+SoCal!F40</f>
        <v>77856</v>
      </c>
      <c r="D18" s="364">
        <f>+SoCal!A40</f>
        <v>37283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151909.31999999998</v>
      </c>
      <c r="C19" s="275">
        <f>+B19/$G$5</f>
        <v>71994.938388625582</v>
      </c>
      <c r="D19" s="365">
        <f>+Devon!A41</f>
        <v>37282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330</v>
      </c>
      <c r="B20" s="346">
        <f>+Plains!$N$43</f>
        <v>107948.28</v>
      </c>
      <c r="C20" s="206">
        <f>+B20/$G$4</f>
        <v>51403.942857142858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443" t="s">
        <v>79</v>
      </c>
      <c r="B21" s="510">
        <f>+Agave!$D$24</f>
        <v>104552.81</v>
      </c>
      <c r="C21" s="464">
        <f>+B21/$G$4</f>
        <v>49787.05238095238</v>
      </c>
      <c r="D21" s="463">
        <f>+Agave!A24</f>
        <v>37282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218</v>
      </c>
      <c r="B22" s="346">
        <f>+Amarillo!P41</f>
        <v>92004.9</v>
      </c>
      <c r="C22" s="275">
        <f>+B22/$G$4</f>
        <v>43811.857142857138</v>
      </c>
      <c r="D22" s="365">
        <f>+Amarillo!A41</f>
        <v>37282</v>
      </c>
      <c r="E22" s="32" t="s">
        <v>85</v>
      </c>
      <c r="F22" s="32" t="s">
        <v>324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31</v>
      </c>
      <c r="B23" s="346">
        <f>+C23*$G$5</f>
        <v>84321.803400000004</v>
      </c>
      <c r="C23" s="275">
        <f>+Lonestar!F43</f>
        <v>39962.94</v>
      </c>
      <c r="D23" s="364">
        <f>+Lonestar!A43</f>
        <v>37282</v>
      </c>
      <c r="E23" s="32" t="s">
        <v>84</v>
      </c>
      <c r="F23" s="32" t="s">
        <v>324</v>
      </c>
      <c r="G23" s="32" t="s">
        <v>102</v>
      </c>
      <c r="H23" s="32" t="s">
        <v>309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129</v>
      </c>
      <c r="B24" s="346">
        <f>+EPFS!D41</f>
        <v>75928.929999999993</v>
      </c>
      <c r="C24" s="206">
        <f>+B24/$G$5</f>
        <v>35985.274881516583</v>
      </c>
      <c r="D24" s="364">
        <f>+EPFS!A41</f>
        <v>37283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28</v>
      </c>
      <c r="B25" s="346">
        <f>+C25*$G$3</f>
        <v>62100.480000000003</v>
      </c>
      <c r="C25" s="275">
        <f>+williams!J40</f>
        <v>29856</v>
      </c>
      <c r="D25" s="364">
        <f>+williams!A40</f>
        <v>37282</v>
      </c>
      <c r="E25" s="204" t="s">
        <v>85</v>
      </c>
      <c r="F25" s="204" t="s">
        <v>154</v>
      </c>
      <c r="G25" s="204" t="s">
        <v>313</v>
      </c>
      <c r="H25" s="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54910.8</v>
      </c>
      <c r="C26" s="206">
        <f>+'PG&amp;E'!D40</f>
        <v>26148</v>
      </c>
      <c r="D26" s="365">
        <f>+'PG&amp;E'!A40</f>
        <v>37283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204" t="s">
        <v>109</v>
      </c>
      <c r="B27" s="346">
        <f>+Continental!F43</f>
        <v>46490.3</v>
      </c>
      <c r="C27" s="206">
        <f>+B27/$G$4</f>
        <v>22138.238095238095</v>
      </c>
      <c r="D27" s="364">
        <f>+Continental!A43</f>
        <v>37283</v>
      </c>
      <c r="E27" s="204" t="s">
        <v>85</v>
      </c>
      <c r="F27" s="204" t="s">
        <v>154</v>
      </c>
      <c r="G27" s="204" t="s">
        <v>115</v>
      </c>
      <c r="H27" s="204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320</v>
      </c>
      <c r="B28" s="346">
        <f>+Stratland!$D$41</f>
        <v>42593.49</v>
      </c>
      <c r="C28" s="275">
        <f>+B28/$G$4</f>
        <v>20282.614285714284</v>
      </c>
      <c r="D28" s="364">
        <f>+Stratland!A41</f>
        <v>37257</v>
      </c>
      <c r="E28" s="32" t="s">
        <v>85</v>
      </c>
      <c r="F28" s="32" t="s">
        <v>323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131</v>
      </c>
      <c r="B29" s="346">
        <f>+SidR!D41</f>
        <v>38982.14</v>
      </c>
      <c r="C29" s="275">
        <f>+B29/$G$5</f>
        <v>18474.947867298579</v>
      </c>
      <c r="D29" s="365">
        <f>+SidR!A41</f>
        <v>37282</v>
      </c>
      <c r="E29" s="32" t="s">
        <v>85</v>
      </c>
      <c r="F29" s="32" t="s">
        <v>152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110</v>
      </c>
      <c r="B30" s="346">
        <f>+C30*$G$4</f>
        <v>36932.700000000004</v>
      </c>
      <c r="C30" s="275">
        <f>+CIG!D42</f>
        <v>17587</v>
      </c>
      <c r="D30" s="365">
        <f>+CIG!A42</f>
        <v>37278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302</v>
      </c>
      <c r="B31" s="346">
        <f>+'WTG inc'!N43</f>
        <v>34195.89</v>
      </c>
      <c r="C31" s="275">
        <f>+B31/$G$4</f>
        <v>16283.757142857143</v>
      </c>
      <c r="D31" s="365">
        <f>+'WTG inc'!A43</f>
        <v>37282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23</v>
      </c>
      <c r="B32" s="346">
        <f>+C32*$G$3</f>
        <v>31347.68</v>
      </c>
      <c r="C32" s="348">
        <f>+'Red C'!$F$45</f>
        <v>15071</v>
      </c>
      <c r="D32" s="364">
        <f>+'Red C'!A45</f>
        <v>37283</v>
      </c>
      <c r="E32" s="204" t="s">
        <v>84</v>
      </c>
      <c r="F32" s="32" t="s">
        <v>153</v>
      </c>
      <c r="G32" s="32" t="s">
        <v>115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93" customFormat="1" ht="13.5" customHeight="1" x14ac:dyDescent="0.2">
      <c r="A33" s="204" t="s">
        <v>71</v>
      </c>
      <c r="B33" s="347">
        <f>+transcol!$D$43</f>
        <v>30918.799999999999</v>
      </c>
      <c r="C33" s="348">
        <f>+B33/$G$4</f>
        <v>14723.238095238094</v>
      </c>
      <c r="D33" s="364">
        <f>+transcol!A43</f>
        <v>37282</v>
      </c>
      <c r="E33" s="204" t="s">
        <v>85</v>
      </c>
      <c r="F33" s="204" t="s">
        <v>153</v>
      </c>
      <c r="G33" s="204" t="s">
        <v>115</v>
      </c>
      <c r="H33" s="32"/>
      <c r="I33" s="204"/>
      <c r="J33" s="204"/>
      <c r="K33" s="204"/>
      <c r="L33" s="204"/>
      <c r="M33" s="204"/>
      <c r="N33" s="471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5" customHeight="1" x14ac:dyDescent="0.2">
      <c r="A34" s="32" t="s">
        <v>103</v>
      </c>
      <c r="B34" s="346">
        <f>+EOG!$J$41</f>
        <v>26619.81</v>
      </c>
      <c r="C34" s="275">
        <f>+B34/$G$4</f>
        <v>12676.1</v>
      </c>
      <c r="D34" s="364">
        <f>+EOG!A41</f>
        <v>37282</v>
      </c>
      <c r="E34" s="32" t="s">
        <v>85</v>
      </c>
      <c r="F34" s="32" t="s">
        <v>323</v>
      </c>
      <c r="G34" s="32" t="s">
        <v>102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3" customFormat="1" ht="13.5" customHeight="1" x14ac:dyDescent="0.2">
      <c r="A35" s="204" t="s">
        <v>87</v>
      </c>
      <c r="B35" s="346">
        <f>+NNG!$D$24</f>
        <v>22736.7</v>
      </c>
      <c r="C35" s="275">
        <f>+B35/$G$4</f>
        <v>10827</v>
      </c>
      <c r="D35" s="364">
        <f>+NNG!A24</f>
        <v>37282</v>
      </c>
      <c r="E35" s="204" t="s">
        <v>85</v>
      </c>
      <c r="F35" s="204" t="s">
        <v>323</v>
      </c>
      <c r="G35" s="204" t="s">
        <v>100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139</v>
      </c>
      <c r="B36" s="346">
        <f>+'Citizens-Griffith'!D41</f>
        <v>12296.220000000001</v>
      </c>
      <c r="C36" s="275">
        <f>+B36/$G$4</f>
        <v>5855.3428571428576</v>
      </c>
      <c r="D36" s="364">
        <f>+'Citizens-Griffith'!A41</f>
        <v>37283</v>
      </c>
      <c r="E36" s="204" t="s">
        <v>85</v>
      </c>
      <c r="F36" s="204" t="s">
        <v>324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">
      <c r="A37" s="204" t="s">
        <v>33</v>
      </c>
      <c r="B37" s="349">
        <f>+'El Paso'!C39*summary!G4+'El Paso'!E39*summary!G3</f>
        <v>6866.0199999999895</v>
      </c>
      <c r="C37" s="71">
        <f>+'El Paso'!H39</f>
        <v>2683</v>
      </c>
      <c r="D37" s="364">
        <f>+'El Paso'!A39</f>
        <v>37283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6830591.6133999974</v>
      </c>
      <c r="C38" s="69">
        <f>SUM(C8:C37)</f>
        <v>3244487.2993996842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248</v>
      </c>
      <c r="B41" s="347">
        <f>+DEFS!$C$40+DEFS!$E$40+DEFS!$F$44+DEFS!$F$45+DEFS!$F$46+DEFS!$F$47+DEFS!$F$48</f>
        <v>-2806071.0700000003</v>
      </c>
      <c r="C41" s="348">
        <f>+B41/$G$5</f>
        <v>-1329891.5023696686</v>
      </c>
      <c r="D41" s="364">
        <f>+DEFS!A40</f>
        <v>37283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135</v>
      </c>
      <c r="B42" s="346">
        <f>+Citizens!D18</f>
        <v>-549480.09000000008</v>
      </c>
      <c r="C42" s="206">
        <f>+B42/$G$4</f>
        <v>-261657.18571428573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6">
        <f>+'NS Steel'!D41</f>
        <v>-292277.90000000002</v>
      </c>
      <c r="C43" s="206">
        <f>+B43/$G$4</f>
        <v>-139179.9523809524</v>
      </c>
      <c r="D43" s="365">
        <f>+'NS Steel'!A41</f>
        <v>37282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260</v>
      </c>
      <c r="B44" s="346">
        <f>+MiVida_Rich!D41</f>
        <v>-203736.06</v>
      </c>
      <c r="C44" s="206">
        <f>+B44/$G$5</f>
        <v>-96557.374407582945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216</v>
      </c>
      <c r="B45" s="346">
        <f>+crosstex!F41</f>
        <v>-116026.13999999998</v>
      </c>
      <c r="C45" s="206">
        <f>+B45/$G$4</f>
        <v>-55250.542857142849</v>
      </c>
      <c r="D45" s="365">
        <f>+crosstex!A41</f>
        <v>37282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">
      <c r="A46" s="32" t="s">
        <v>6</v>
      </c>
      <c r="B46" s="346">
        <f>+Oasis!$D$40</f>
        <v>-63931.360000000001</v>
      </c>
      <c r="C46" s="206">
        <f>+B46/$G$5</f>
        <v>-30299.222748815169</v>
      </c>
      <c r="D46" s="365">
        <f>+Oasis!A40</f>
        <v>37282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32" t="s">
        <v>1</v>
      </c>
      <c r="B47" s="346">
        <f>+C47*$G$3</f>
        <v>-36268.959999999999</v>
      </c>
      <c r="C47" s="206">
        <f>+NW!$F$41</f>
        <v>-17437</v>
      </c>
      <c r="D47" s="364">
        <f>+NW!B41</f>
        <v>37282</v>
      </c>
      <c r="E47" s="32" t="s">
        <v>84</v>
      </c>
      <c r="F47" s="32" t="s">
        <v>153</v>
      </c>
      <c r="G47" s="32" t="s">
        <v>115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04" t="s">
        <v>204</v>
      </c>
      <c r="B48" s="347">
        <f>+WTGmktg!J43</f>
        <v>-35819.630000000005</v>
      </c>
      <c r="C48" s="206">
        <f>+B48/$G$4</f>
        <v>-17056.966666666667</v>
      </c>
      <c r="D48" s="364">
        <f>+WTGmktg!A43</f>
        <v>37282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204" t="s">
        <v>142</v>
      </c>
      <c r="B49" s="347">
        <f>+C49*$G$4</f>
        <v>-28883.4</v>
      </c>
      <c r="C49" s="348">
        <f>+PEPL!D41</f>
        <v>-13754</v>
      </c>
      <c r="D49" s="364">
        <f>+PEPL!A41</f>
        <v>37283</v>
      </c>
      <c r="E49" s="204" t="s">
        <v>84</v>
      </c>
      <c r="F49" s="204" t="s">
        <v>324</v>
      </c>
      <c r="G49" s="204" t="s">
        <v>100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127</v>
      </c>
      <c r="B50" s="346">
        <f>+Calpine!D41</f>
        <v>-22618.830000000016</v>
      </c>
      <c r="C50" s="206">
        <f>+B50/$G$4</f>
        <v>-10770.871428571436</v>
      </c>
      <c r="D50" s="364">
        <f>+Calpine!A41</f>
        <v>37283</v>
      </c>
      <c r="E50" s="204" t="s">
        <v>85</v>
      </c>
      <c r="F50" s="204" t="s">
        <v>153</v>
      </c>
      <c r="G50" s="204" t="s">
        <v>99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32" t="s">
        <v>297</v>
      </c>
      <c r="B51" s="346">
        <f>+SWGasTrans!$D$41</f>
        <v>-20468.43</v>
      </c>
      <c r="C51" s="275">
        <f>+B51/$G$4</f>
        <v>-9746.8714285714286</v>
      </c>
      <c r="D51" s="364">
        <f>+SWGasTrans!A41</f>
        <v>37282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204" t="s">
        <v>95</v>
      </c>
      <c r="B52" s="346">
        <f>+burlington!D42</f>
        <v>-10100.099999999999</v>
      </c>
      <c r="C52" s="275">
        <f>+B52/$G$3</f>
        <v>-4855.8173076923067</v>
      </c>
      <c r="D52" s="364">
        <f>+burlington!A42</f>
        <v>37282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32" t="s">
        <v>147</v>
      </c>
      <c r="B53" s="346">
        <f>+PGETX!$H$39</f>
        <v>-8905.6999999999971</v>
      </c>
      <c r="C53" s="275">
        <f>+B53/$G$4</f>
        <v>-4240.809523809522</v>
      </c>
      <c r="D53" s="365">
        <f>+PGETX!E39</f>
        <v>37282</v>
      </c>
      <c r="E53" s="32" t="s">
        <v>85</v>
      </c>
      <c r="F53" s="32" t="s">
        <v>154</v>
      </c>
      <c r="G53" s="32" t="s">
        <v>102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311</v>
      </c>
      <c r="B54" s="349">
        <f>+C54*$G$3</f>
        <v>-347.36</v>
      </c>
      <c r="C54" s="71">
        <f>+Amoco!D40</f>
        <v>-167</v>
      </c>
      <c r="D54" s="365">
        <f>+Amoco!A40</f>
        <v>37283</v>
      </c>
      <c r="E54" s="32" t="s">
        <v>84</v>
      </c>
      <c r="F54" s="32" t="s">
        <v>153</v>
      </c>
      <c r="G54" s="32" t="s">
        <v>115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SUM(B41:B54)</f>
        <v>-4194935.03</v>
      </c>
      <c r="C55" s="206">
        <f>SUM(C41:C54)</f>
        <v>-1990865.1168337588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+B55+B38</f>
        <v>2635656.5833999971</v>
      </c>
      <c r="C57" s="355">
        <f>+C55+C38</f>
        <v>1253622.1825659254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-846060</v>
      </c>
      <c r="C7" s="80">
        <v>-303334</v>
      </c>
      <c r="D7" s="80">
        <f t="shared" si="0"/>
        <v>542726</v>
      </c>
    </row>
    <row r="8" spans="1:4" x14ac:dyDescent="0.2">
      <c r="A8" s="32">
        <v>60667</v>
      </c>
      <c r="B8" s="309">
        <v>-147643</v>
      </c>
      <c r="C8" s="80">
        <v>-991729</v>
      </c>
      <c r="D8" s="80">
        <f t="shared" si="0"/>
        <v>-844086</v>
      </c>
    </row>
    <row r="9" spans="1:4" x14ac:dyDescent="0.2">
      <c r="A9" s="32">
        <v>60749</v>
      </c>
      <c r="B9" s="309">
        <v>91003</v>
      </c>
      <c r="C9" s="80">
        <v>-193229</v>
      </c>
      <c r="D9" s="80">
        <f t="shared" si="0"/>
        <v>-284232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-285679</v>
      </c>
      <c r="C11" s="80"/>
      <c r="D11" s="80">
        <f t="shared" si="0"/>
        <v>285679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-10698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-22465.8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37282</v>
      </c>
      <c r="B24" s="69"/>
      <c r="C24" s="69"/>
      <c r="D24" s="332">
        <f>+D22+D20</f>
        <v>22736.7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37282</v>
      </c>
      <c r="D33" s="350">
        <f>+D18</f>
        <v>-10698</v>
      </c>
    </row>
    <row r="34" spans="1:4" x14ac:dyDescent="0.2">
      <c r="D34" s="14">
        <f>+D33+D32</f>
        <v>9392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-87913-4569</f>
        <v>-92482</v>
      </c>
      <c r="C5" s="90">
        <v>-62044</v>
      </c>
      <c r="D5" s="90">
        <f t="shared" ref="D5:D13" si="0">+C5-B5</f>
        <v>30438</v>
      </c>
      <c r="E5" s="69"/>
      <c r="F5" s="201"/>
    </row>
    <row r="6" spans="1:13" x14ac:dyDescent="0.2">
      <c r="A6" s="87">
        <v>9238</v>
      </c>
      <c r="B6" s="90">
        <v>-12650</v>
      </c>
      <c r="C6" s="90">
        <v>-26000</v>
      </c>
      <c r="D6" s="90">
        <f t="shared" si="0"/>
        <v>-13350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-2578525</v>
      </c>
      <c r="C7" s="90">
        <v>-2557482</v>
      </c>
      <c r="D7" s="90">
        <f t="shared" si="0"/>
        <v>21043</v>
      </c>
      <c r="E7" s="275"/>
      <c r="F7" s="201"/>
    </row>
    <row r="8" spans="1:13" x14ac:dyDescent="0.2">
      <c r="A8" s="87">
        <v>58710</v>
      </c>
      <c r="B8" s="90">
        <v>-173607</v>
      </c>
      <c r="C8" s="90">
        <v>-196736</v>
      </c>
      <c r="D8" s="90">
        <f t="shared" si="0"/>
        <v>-23129</v>
      </c>
      <c r="E8" s="275"/>
      <c r="F8" s="201"/>
    </row>
    <row r="9" spans="1:13" x14ac:dyDescent="0.2">
      <c r="A9" s="87">
        <v>60921</v>
      </c>
      <c r="B9" s="90">
        <v>-1185333</v>
      </c>
      <c r="C9" s="90">
        <v>-1193898</v>
      </c>
      <c r="D9" s="90">
        <f t="shared" si="0"/>
        <v>-8565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-61956</v>
      </c>
      <c r="C11" s="90">
        <v>-78000</v>
      </c>
      <c r="D11" s="90">
        <f t="shared" si="0"/>
        <v>-16044</v>
      </c>
      <c r="E11" s="276"/>
      <c r="F11" s="467"/>
    </row>
    <row r="12" spans="1:13" x14ac:dyDescent="0.2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">
      <c r="A13" s="87">
        <v>500097</v>
      </c>
      <c r="B13" s="90">
        <v>-88284</v>
      </c>
      <c r="C13" s="90">
        <v>-104000</v>
      </c>
      <c r="D13" s="90">
        <f t="shared" si="0"/>
        <v>-15716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-12336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</v>
      </c>
      <c r="E18" s="277"/>
      <c r="F18" s="467"/>
    </row>
    <row r="19" spans="1:7" x14ac:dyDescent="0.2">
      <c r="A19" s="87"/>
      <c r="B19" s="88"/>
      <c r="C19" s="88"/>
      <c r="D19" s="96">
        <f>+D18*D17</f>
        <v>-25905.600000000002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37282</v>
      </c>
      <c r="B23" s="88"/>
      <c r="C23" s="88"/>
      <c r="D23" s="318">
        <f>+D21+D19</f>
        <v>741008.72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37282</v>
      </c>
      <c r="B29" s="32"/>
      <c r="C29" s="32"/>
      <c r="D29" s="350">
        <f>+D17</f>
        <v>-12336</v>
      </c>
    </row>
    <row r="30" spans="1:7" x14ac:dyDescent="0.2">
      <c r="A30" s="32"/>
      <c r="B30" s="32"/>
      <c r="C30" s="32"/>
      <c r="D30" s="14">
        <f>+D29+D28</f>
        <v>294986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8" workbookViewId="0">
      <selection activeCell="E29" sqref="E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597">
        <v>32338</v>
      </c>
      <c r="C25" s="327">
        <v>32338</v>
      </c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1229087</v>
      </c>
      <c r="C34" s="287">
        <f>SUM(C3:C33)</f>
        <v>1239998</v>
      </c>
      <c r="D34" s="14">
        <f>SUM(D3:D33)</f>
        <v>-199425</v>
      </c>
      <c r="E34" s="14">
        <f>SUM(E3:E33)</f>
        <v>-189900</v>
      </c>
      <c r="F34" s="14">
        <f>SUM(F3:F33)</f>
        <v>20436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37283</v>
      </c>
      <c r="B38" s="14"/>
      <c r="C38" s="14"/>
      <c r="D38" s="14"/>
      <c r="E38" s="14"/>
      <c r="F38" s="150">
        <f>+F37+F34</f>
        <v>135677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37283</v>
      </c>
      <c r="B44" s="32"/>
      <c r="C44" s="32"/>
      <c r="D44" s="375">
        <f>+F34*'by type_area'!G4</f>
        <v>42915.6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339291.6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0" workbookViewId="0">
      <selection activeCell="C30" sqref="C3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-480023</v>
      </c>
      <c r="C35" s="11">
        <f>SUM(C4:C34)</f>
        <v>-487486</v>
      </c>
      <c r="D35" s="11">
        <f>SUM(D4:D34)</f>
        <v>-7463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37282</v>
      </c>
      <c r="D40" s="51">
        <f>+D38+D35</f>
        <v>179360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37282</v>
      </c>
      <c r="B46" s="32"/>
      <c r="C46" s="32"/>
      <c r="D46" s="375">
        <f>+D35*'by type_area'!G4</f>
        <v>-15672.300000000001</v>
      </c>
    </row>
    <row r="47" spans="1:4" x14ac:dyDescent="0.2">
      <c r="A47" s="32"/>
      <c r="B47" s="32"/>
      <c r="C47" s="32"/>
      <c r="D47" s="200">
        <f>+D46+D45</f>
        <v>184140.7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30" sqref="G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252088</v>
      </c>
      <c r="C35" s="11">
        <f t="shared" ref="C35:I35" si="1">SUM(C4:C34)</f>
        <v>260590</v>
      </c>
      <c r="D35" s="11">
        <f t="shared" si="1"/>
        <v>211293</v>
      </c>
      <c r="E35" s="11">
        <f t="shared" si="1"/>
        <v>206752</v>
      </c>
      <c r="F35" s="11">
        <f t="shared" si="1"/>
        <v>187155</v>
      </c>
      <c r="G35" s="11">
        <f t="shared" si="1"/>
        <v>193710</v>
      </c>
      <c r="H35" s="11">
        <f t="shared" si="1"/>
        <v>0</v>
      </c>
      <c r="I35" s="11">
        <f t="shared" si="1"/>
        <v>0</v>
      </c>
      <c r="J35" s="11">
        <f>SUM(J4:J34)</f>
        <v>10516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22083.600000000002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37282</v>
      </c>
      <c r="J41" s="319">
        <f>+J39+J37</f>
        <v>26619.81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37282</v>
      </c>
      <c r="B47" s="32"/>
      <c r="C47" s="32"/>
      <c r="D47" s="350">
        <f>+J35</f>
        <v>10516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-115022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-114055.20000000001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303914.19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151201.08955223882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5" sqref="E35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">
      <c r="A34" s="10">
        <v>27</v>
      </c>
      <c r="B34" s="11"/>
      <c r="C34" s="11"/>
      <c r="D34" s="11">
        <v>5499</v>
      </c>
      <c r="E34" s="11">
        <v>3000</v>
      </c>
      <c r="F34" s="25">
        <f t="shared" si="0"/>
        <v>-2499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27377</v>
      </c>
      <c r="E39" s="11">
        <f>SUM(E8:E38)</f>
        <v>33200</v>
      </c>
      <c r="F39" s="25">
        <f>SUM(F8:F38)</f>
        <v>5823</v>
      </c>
    </row>
    <row r="40" spans="1:6" x14ac:dyDescent="0.2">
      <c r="A40" s="26"/>
      <c r="C40" s="14"/>
      <c r="F40" s="253">
        <f>+summary!G4</f>
        <v>2.1</v>
      </c>
    </row>
    <row r="41" spans="1:6" x14ac:dyDescent="0.2">
      <c r="F41" s="138">
        <f>+F40*F39</f>
        <v>12228.300000000001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37283</v>
      </c>
      <c r="C43" s="48"/>
      <c r="F43" s="138">
        <f>+F42+F41</f>
        <v>46490.3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37283</v>
      </c>
      <c r="B49" s="32"/>
      <c r="C49" s="32"/>
      <c r="D49" s="350">
        <f>+F39</f>
        <v>5823</v>
      </c>
    </row>
    <row r="50" spans="1:4" x14ac:dyDescent="0.2">
      <c r="A50" s="32"/>
      <c r="B50" s="32"/>
      <c r="C50" s="32"/>
      <c r="D50" s="14">
        <f>+D49+D48</f>
        <v>6571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2643.9</v>
      </c>
    </row>
    <row r="49" spans="1:4" x14ac:dyDescent="0.2">
      <c r="A49" s="32"/>
      <c r="B49" s="32"/>
      <c r="C49" s="32"/>
      <c r="D49" s="200">
        <f>+D48+D47</f>
        <v>385921.9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-1877486</v>
      </c>
      <c r="I19" s="119">
        <f>+C37</f>
        <v>-1973484</v>
      </c>
      <c r="J19" s="119">
        <f>+I19-H19</f>
        <v>-95998</v>
      </c>
      <c r="K19" s="412">
        <f>+D38</f>
        <v>2.1</v>
      </c>
      <c r="L19" s="417">
        <f>+K19*J19</f>
        <v>-201595.80000000002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34494</v>
      </c>
      <c r="K24" s="408"/>
      <c r="L24" s="110">
        <f>+L19+L17</f>
        <v>-119910.70000000019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-57100.333333333423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-1877486</v>
      </c>
      <c r="C37" s="11">
        <f>SUM(C6:C36)</f>
        <v>-1973484</v>
      </c>
      <c r="D37" s="25">
        <f>SUM(D6:D36)</f>
        <v>-95998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-201595.80000000002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37283</v>
      </c>
      <c r="C41" s="48"/>
      <c r="D41" s="138">
        <f>+D40+D39</f>
        <v>-22618.830000000016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37283</v>
      </c>
      <c r="B46" s="32"/>
      <c r="C46" s="32"/>
      <c r="D46" s="350">
        <f>+D37</f>
        <v>-95998</v>
      </c>
    </row>
    <row r="47" spans="1:4" x14ac:dyDescent="0.2">
      <c r="A47" s="32"/>
      <c r="B47" s="32"/>
      <c r="C47" s="32"/>
      <c r="D47" s="14">
        <f>+D46+D45</f>
        <v>77148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3" sqref="C33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">
      <c r="A32" s="10">
        <v>27</v>
      </c>
      <c r="B32" s="11">
        <v>28541</v>
      </c>
      <c r="C32" s="11">
        <v>28600</v>
      </c>
      <c r="D32" s="25">
        <f t="shared" si="0"/>
        <v>59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828102</v>
      </c>
      <c r="C37" s="11">
        <f>SUM(C6:C36)</f>
        <v>823802</v>
      </c>
      <c r="D37" s="25">
        <f>SUM(D6:D36)</f>
        <v>-4300</v>
      </c>
    </row>
    <row r="38" spans="1:4" x14ac:dyDescent="0.2">
      <c r="A38" s="26"/>
      <c r="B38" s="31"/>
      <c r="C38" s="14"/>
      <c r="D38" s="326">
        <f>+summary!G5</f>
        <v>2.11</v>
      </c>
    </row>
    <row r="39" spans="1:4" x14ac:dyDescent="0.2">
      <c r="D39" s="138">
        <f>+D38*D37</f>
        <v>-9073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37283</v>
      </c>
      <c r="C41" s="48"/>
      <c r="D41" s="138">
        <f>+D40+D39</f>
        <v>75928.929999999993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37283</v>
      </c>
      <c r="B46" s="32"/>
      <c r="C46" s="32"/>
      <c r="D46" s="350">
        <f>+D37</f>
        <v>-4300</v>
      </c>
    </row>
    <row r="47" spans="1:4" x14ac:dyDescent="0.2">
      <c r="A47" s="32"/>
      <c r="B47" s="32"/>
      <c r="C47" s="32"/>
      <c r="D47" s="14">
        <f>+D46+D45</f>
        <v>50281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0" workbookViewId="0">
      <selection activeCell="F30" sqref="F3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7804156</v>
      </c>
      <c r="C35" s="11">
        <f t="shared" ref="C35:I35" si="3">SUM(C4:C34)</f>
        <v>7804521</v>
      </c>
      <c r="D35" s="11">
        <f t="shared" si="3"/>
        <v>1018423</v>
      </c>
      <c r="E35" s="11">
        <f t="shared" si="3"/>
        <v>1023232</v>
      </c>
      <c r="F35" s="11">
        <f t="shared" si="3"/>
        <v>1095078</v>
      </c>
      <c r="G35" s="11">
        <f t="shared" si="3"/>
        <v>1197247</v>
      </c>
      <c r="H35" s="11">
        <f t="shared" si="3"/>
        <v>3376078</v>
      </c>
      <c r="I35" s="11">
        <f t="shared" si="3"/>
        <v>3298591</v>
      </c>
      <c r="J35" s="11">
        <f>SUM(J4:J34)</f>
        <v>29856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37282</v>
      </c>
      <c r="J40" s="51">
        <f>+J38+J35</f>
        <v>29856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37282</v>
      </c>
      <c r="B47" s="32"/>
      <c r="C47" s="32"/>
      <c r="D47" s="375">
        <f>+J35*'by type_area'!G3</f>
        <v>62100.480000000003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62100.480000000003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C38" sqref="C3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1219482</v>
      </c>
      <c r="C37" s="11">
        <f>SUM(C6:C36)</f>
        <v>1218651</v>
      </c>
      <c r="D37" s="25">
        <f>SUM(D6:D36)</f>
        <v>-831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-1753.4099999999999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37282</v>
      </c>
      <c r="C41" s="48"/>
      <c r="D41" s="138">
        <f>+D40+D39</f>
        <v>38982.14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37282</v>
      </c>
      <c r="B47" s="32"/>
      <c r="C47" s="32"/>
      <c r="D47" s="350">
        <f>+D37</f>
        <v>-831</v>
      </c>
    </row>
    <row r="48" spans="1:4" x14ac:dyDescent="0.2">
      <c r="A48" s="32"/>
      <c r="B48" s="32"/>
      <c r="C48" s="32"/>
      <c r="D48" s="14">
        <f>+D47+D46</f>
        <v>18425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32" sqref="B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63527.100000000006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37282</v>
      </c>
      <c r="C41" s="48"/>
      <c r="D41" s="138">
        <f>+D40+D39</f>
        <v>-292277.90000000002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37282</v>
      </c>
      <c r="B49" s="32"/>
      <c r="C49" s="32"/>
      <c r="D49" s="350">
        <f>+D37</f>
        <v>30251</v>
      </c>
    </row>
    <row r="50" spans="1:4" x14ac:dyDescent="0.2">
      <c r="A50" s="32"/>
      <c r="B50" s="32"/>
      <c r="C50" s="32"/>
      <c r="D50" s="14">
        <f>+D49+D48</f>
        <v>-14370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>
        <v>-6727</v>
      </c>
      <c r="C32" s="11">
        <v>-9500</v>
      </c>
      <c r="D32" s="25">
        <f t="shared" si="0"/>
        <v>-2773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-362308</v>
      </c>
      <c r="C37" s="11">
        <f>SUM(C6:C36)</f>
        <v>-388711</v>
      </c>
      <c r="D37" s="25">
        <f>SUM(D6:D36)</f>
        <v>-26403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-55446.3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37283</v>
      </c>
      <c r="C41" s="48"/>
      <c r="D41" s="138">
        <f>+D40+D39</f>
        <v>12296.220000000001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37283</v>
      </c>
      <c r="B47" s="32"/>
      <c r="C47" s="32"/>
      <c r="D47" s="350">
        <f>+D37</f>
        <v>-26403</v>
      </c>
    </row>
    <row r="48" spans="1:4" x14ac:dyDescent="0.2">
      <c r="A48" s="32"/>
      <c r="B48" s="32"/>
      <c r="C48" s="32"/>
      <c r="D48" s="14">
        <f>+D47+D46</f>
        <v>9748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-5613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">
      <c r="A14" s="87"/>
      <c r="B14" s="88"/>
      <c r="C14" s="88"/>
      <c r="D14" s="96">
        <f>+D13*D12</f>
        <v>-11787.300000000001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37282</v>
      </c>
      <c r="B18" s="88"/>
      <c r="C18" s="88"/>
      <c r="D18" s="318">
        <f>+D16+D14</f>
        <v>-549480.09000000008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-5613</v>
      </c>
    </row>
    <row r="24" spans="1:7" x14ac:dyDescent="0.2">
      <c r="A24" s="49">
        <f>+A18</f>
        <v>37282</v>
      </c>
      <c r="B24" s="32"/>
      <c r="C24" s="32"/>
      <c r="D24" s="14">
        <f>+D23+D22</f>
        <v>-42436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-617701</v>
      </c>
      <c r="C37" s="11">
        <f>SUM(C6:C36)</f>
        <v>-617140</v>
      </c>
      <c r="D37" s="25">
        <f>SUM(D6:D36)</f>
        <v>561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37283</v>
      </c>
      <c r="C41" s="48"/>
      <c r="D41" s="25">
        <f>+D40+D37</f>
        <v>-13754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37283</v>
      </c>
      <c r="B46" s="32"/>
      <c r="C46" s="32"/>
      <c r="D46" s="375">
        <f>+D37*'by type_area'!G4</f>
        <v>1178.1000000000001</v>
      </c>
    </row>
    <row r="47" spans="1:4" x14ac:dyDescent="0.2">
      <c r="A47" s="32"/>
      <c r="B47" s="32"/>
      <c r="C47" s="32"/>
      <c r="D47" s="200">
        <f>+D46+D45</f>
        <v>164413.1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-4023</v>
      </c>
      <c r="C37" s="11">
        <f t="shared" ref="C37:I37" si="1">SUM(C6:C36)</f>
        <v>-4420</v>
      </c>
      <c r="D37" s="11">
        <f t="shared" si="1"/>
        <v>0</v>
      </c>
      <c r="E37" s="11">
        <f t="shared" si="1"/>
        <v>0</v>
      </c>
      <c r="F37" s="11">
        <f t="shared" si="1"/>
        <v>-27564</v>
      </c>
      <c r="G37" s="11">
        <f t="shared" si="1"/>
        <v>-27300</v>
      </c>
      <c r="H37" s="11">
        <f t="shared" si="1"/>
        <v>0</v>
      </c>
      <c r="I37" s="11">
        <f t="shared" si="1"/>
        <v>0</v>
      </c>
      <c r="J37" s="11">
        <f>SUM(J6:J36)</f>
        <v>-133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-279.3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37282</v>
      </c>
      <c r="J43" s="319">
        <f>+J41+J39</f>
        <v>-35819.630000000005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37282</v>
      </c>
      <c r="B49" s="32"/>
      <c r="C49" s="32"/>
      <c r="D49" s="350">
        <f>+J37</f>
        <v>-133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-3567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-23045</v>
      </c>
      <c r="M37" s="11">
        <f>SUM(M6:M36)</f>
        <v>-21851</v>
      </c>
      <c r="N37" s="11">
        <f t="shared" si="1"/>
        <v>1194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2507.4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37282</v>
      </c>
      <c r="N43" s="319">
        <f>+N41+N39</f>
        <v>34195.89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37282</v>
      </c>
      <c r="B49" s="32"/>
      <c r="C49" s="32"/>
      <c r="D49" s="350">
        <f>+N37</f>
        <v>1194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6199</v>
      </c>
      <c r="C37" s="11">
        <f>SUM(C6:C36)</f>
        <v>3900</v>
      </c>
      <c r="D37" s="25">
        <f>SUM(D6:D36)</f>
        <v>-2299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-4850.8899999999994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37282</v>
      </c>
      <c r="C41" s="48"/>
      <c r="D41" s="138">
        <f>+D40+D39</f>
        <v>175198.09000000003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37282</v>
      </c>
      <c r="B47" s="32"/>
      <c r="C47" s="32"/>
      <c r="D47" s="350">
        <f>+D37</f>
        <v>-2299</v>
      </c>
    </row>
    <row r="48" spans="1:4" x14ac:dyDescent="0.2">
      <c r="A48" s="32"/>
      <c r="B48" s="32"/>
      <c r="C48" s="32"/>
      <c r="D48" s="14">
        <f>+D47+D46</f>
        <v>76714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10265</v>
      </c>
      <c r="C37" s="11">
        <f>SUM(C6:C36)</f>
        <v>5818</v>
      </c>
      <c r="D37" s="25">
        <f>SUM(D6:D36)</f>
        <v>-4447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-9383.17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37282</v>
      </c>
      <c r="C41" s="48"/>
      <c r="D41" s="138">
        <f>+D40+D39</f>
        <v>151909.31999999998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37282</v>
      </c>
      <c r="B47" s="32"/>
      <c r="C47" s="32"/>
      <c r="D47" s="350">
        <f>+D37</f>
        <v>-4447</v>
      </c>
    </row>
    <row r="48" spans="1:4" x14ac:dyDescent="0.2">
      <c r="A48" s="32"/>
      <c r="B48" s="32"/>
      <c r="C48" s="32"/>
      <c r="D48" s="14">
        <f>+D47+D46</f>
        <v>29524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2" sqref="F4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>
        <v>-10509</v>
      </c>
      <c r="C30" s="11">
        <v>-10000</v>
      </c>
      <c r="D30" s="11">
        <v>-37432</v>
      </c>
      <c r="E30" s="11">
        <v>-36900</v>
      </c>
      <c r="F30" s="11">
        <f t="shared" si="0"/>
        <v>1041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-247165</v>
      </c>
      <c r="C36" s="44">
        <f>SUM(C5:C35)</f>
        <v>-241068</v>
      </c>
      <c r="D36" s="43">
        <f>SUM(D5:D35)</f>
        <v>-1712166</v>
      </c>
      <c r="E36" s="43">
        <f>SUM(E5:E35)</f>
        <v>-1703909</v>
      </c>
      <c r="F36" s="11">
        <f>SUM(F5:F35)</f>
        <v>14354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2.11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30286.94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37282</v>
      </c>
      <c r="B43" s="32"/>
      <c r="C43" s="106"/>
      <c r="D43" s="106"/>
      <c r="E43" s="106"/>
      <c r="F43" s="24">
        <f>+F40+F42</f>
        <v>39962.94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37282</v>
      </c>
      <c r="B49" s="32"/>
      <c r="C49" s="32"/>
      <c r="D49" s="76">
        <f>+F36</f>
        <v>14354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34297.240000000005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-55113</v>
      </c>
      <c r="C37" s="24">
        <f>SUM(C6:C36)</f>
        <v>-49938</v>
      </c>
      <c r="D37" s="24">
        <f>SUM(D6:D36)</f>
        <v>-53096</v>
      </c>
      <c r="E37" s="24">
        <f>SUM(E6:E36)</f>
        <v>-50000</v>
      </c>
      <c r="F37" s="24">
        <f>SUM(F6:F36)</f>
        <v>8271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17369.100000000002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37282</v>
      </c>
      <c r="C41" s="319"/>
      <c r="D41" s="262"/>
      <c r="E41" s="262"/>
      <c r="F41" s="104">
        <f>+F40+F39</f>
        <v>-116026.13999999998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37282</v>
      </c>
      <c r="B47" s="32"/>
      <c r="C47" s="32"/>
      <c r="D47" s="350">
        <f>+F37</f>
        <v>8271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-35141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-55200</v>
      </c>
      <c r="C37" s="24">
        <f t="shared" si="1"/>
        <v>-55510</v>
      </c>
      <c r="D37" s="24">
        <f t="shared" si="1"/>
        <v>-15</v>
      </c>
      <c r="E37" s="24">
        <f t="shared" si="1"/>
        <v>-650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-945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-1984.5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37282</v>
      </c>
      <c r="E41" s="14"/>
      <c r="O41" s="442"/>
      <c r="P41" s="104">
        <f>+P40+P39</f>
        <v>92004.9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37282</v>
      </c>
      <c r="B47" s="32"/>
      <c r="C47" s="32"/>
      <c r="D47" s="350">
        <f>+P37</f>
        <v>-945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38125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28" sqref="B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08">
        <v>-14000</v>
      </c>
      <c r="C28" s="11">
        <v>-14000</v>
      </c>
      <c r="D28" s="25">
        <f t="shared" si="0"/>
        <v>0</v>
      </c>
    </row>
    <row r="29" spans="1:4" x14ac:dyDescent="0.2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-373569</v>
      </c>
      <c r="C37" s="11">
        <f>SUM(C6:C36)</f>
        <v>-375928</v>
      </c>
      <c r="D37" s="25">
        <f>SUM(D6:D36)</f>
        <v>-2359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-4953.9000000000005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37282</v>
      </c>
      <c r="C41" s="48"/>
      <c r="D41" s="138">
        <f>+D40+D39</f>
        <v>-20468.43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37282</v>
      </c>
      <c r="B47" s="32"/>
      <c r="C47" s="32"/>
      <c r="D47" s="350">
        <f>+D37</f>
        <v>-2359</v>
      </c>
    </row>
    <row r="48" spans="1:4" x14ac:dyDescent="0.2">
      <c r="A48" s="32"/>
      <c r="B48" s="32"/>
      <c r="C48" s="32"/>
      <c r="D48" s="14">
        <f>+D47+D46</f>
        <v>3237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-586.57999999999993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42593.49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41" sqref="C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3580442</v>
      </c>
      <c r="C38" s="11">
        <f>SUM(C7:C37)</f>
        <v>3552704</v>
      </c>
      <c r="D38" s="11">
        <f>SUM(D7:D37)</f>
        <v>-27738</v>
      </c>
    </row>
    <row r="39" spans="1:8" x14ac:dyDescent="0.2">
      <c r="A39" s="26"/>
      <c r="C39" s="14"/>
      <c r="D39" s="106">
        <f>+summary!G3</f>
        <v>2.08</v>
      </c>
    </row>
    <row r="40" spans="1:8" x14ac:dyDescent="0.2">
      <c r="D40" s="138">
        <f>+D39*D38</f>
        <v>-57695.040000000001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37282</v>
      </c>
      <c r="D42" s="319">
        <f>+D41+D40</f>
        <v>-10100.099999999999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37282</v>
      </c>
      <c r="B48" s="32"/>
      <c r="C48" s="32"/>
      <c r="D48" s="350">
        <f>+D38</f>
        <v>-27738</v>
      </c>
    </row>
    <row r="49" spans="1:4" x14ac:dyDescent="0.2">
      <c r="A49" s="32"/>
      <c r="B49" s="32"/>
      <c r="C49" s="32"/>
      <c r="D49" s="14">
        <f>+D48+D47</f>
        <v>-7327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1" sqref="C3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-4986173</v>
      </c>
      <c r="C35" s="11">
        <f>SUM(C4:C34)</f>
        <v>-5019096</v>
      </c>
      <c r="D35" s="11">
        <f>SUM(D4:D34)</f>
        <v>-32923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37283</v>
      </c>
      <c r="D40" s="51">
        <f>+D38+D35</f>
        <v>26148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37283</v>
      </c>
      <c r="B46" s="32"/>
      <c r="C46" s="32"/>
      <c r="D46" s="375">
        <f>+D35*'by type_area'!G4</f>
        <v>-69138.3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-149681.45000000001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C31" sqref="C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-15436269</v>
      </c>
      <c r="C35" s="11">
        <f>SUM(C4:C34)</f>
        <v>-15462833</v>
      </c>
      <c r="D35" s="11">
        <f>SUM(D4:D34)</f>
        <v>0</v>
      </c>
      <c r="E35" s="11">
        <f>SUM(E4:E34)</f>
        <v>0</v>
      </c>
      <c r="F35" s="11">
        <f>SUM(F4:F34)</f>
        <v>-26564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37283</v>
      </c>
      <c r="D40" s="246"/>
      <c r="E40" s="246"/>
      <c r="F40" s="51">
        <f>+F38+F35</f>
        <v>77856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37283</v>
      </c>
      <c r="B46" s="32"/>
      <c r="C46" s="32"/>
      <c r="D46" s="474">
        <f>+F35*'by type_area'!G4</f>
        <v>-55784.4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276132.59999999998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K1" workbookViewId="0">
      <selection activeCell="N13" sqref="N1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-2466765</v>
      </c>
      <c r="C35" s="44">
        <f t="shared" si="3"/>
        <v>-671892</v>
      </c>
      <c r="D35" s="11">
        <f t="shared" si="3"/>
        <v>-25</v>
      </c>
      <c r="E35" s="44">
        <f t="shared" si="3"/>
        <v>-1766635</v>
      </c>
      <c r="F35" s="11">
        <f t="shared" si="3"/>
        <v>0</v>
      </c>
      <c r="G35" s="11">
        <f t="shared" si="3"/>
        <v>0</v>
      </c>
      <c r="H35" s="11">
        <f t="shared" si="3"/>
        <v>28263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59352.3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37282</v>
      </c>
      <c r="F39" s="473"/>
      <c r="G39" s="473"/>
      <c r="H39" s="319">
        <f>+H38+H37</f>
        <v>-8905.6999999999971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37282</v>
      </c>
      <c r="E47" s="459">
        <f>+H35</f>
        <v>28263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23179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32" sqref="E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-7835979</v>
      </c>
      <c r="E36" s="11">
        <f t="shared" si="15"/>
        <v>-7875406</v>
      </c>
      <c r="F36" s="11">
        <f t="shared" si="15"/>
        <v>0</v>
      </c>
      <c r="G36" s="11">
        <f t="shared" si="15"/>
        <v>0</v>
      </c>
      <c r="H36" s="11">
        <f t="shared" si="15"/>
        <v>-39427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-39427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37283</v>
      </c>
      <c r="B39" s="2" t="s">
        <v>45</v>
      </c>
      <c r="C39" s="131">
        <f>+C38+C37</f>
        <v>64269</v>
      </c>
      <c r="D39" s="252"/>
      <c r="E39" s="131">
        <f>+E38+E37</f>
        <v>-61586</v>
      </c>
      <c r="F39" s="252"/>
      <c r="G39" s="131"/>
      <c r="H39" s="131">
        <f>+H38+H36</f>
        <v>2683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37283</v>
      </c>
      <c r="B45" s="32"/>
      <c r="C45" s="47">
        <f>+C37*summary!G4</f>
        <v>0</v>
      </c>
      <c r="D45" s="205"/>
      <c r="E45" s="377">
        <f>+E37*summary!G3</f>
        <v>-82008.160000000003</v>
      </c>
      <c r="F45" s="47">
        <f>+E45+C45</f>
        <v>-82008.160000000003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A45" sqref="A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37283</v>
      </c>
      <c r="I23" s="11">
        <f>+B39</f>
        <v>3946490</v>
      </c>
      <c r="J23" s="11">
        <f>+C39</f>
        <v>3929197</v>
      </c>
      <c r="K23" s="11">
        <f>+D39</f>
        <v>349658</v>
      </c>
      <c r="L23" s="11">
        <f>+E39</f>
        <v>351891</v>
      </c>
      <c r="M23" s="42">
        <f>+J23-I23+L23-K23</f>
        <v>-15060</v>
      </c>
      <c r="N23" s="102">
        <f>+summary!G3</f>
        <v>2.08</v>
      </c>
      <c r="O23" s="503">
        <f>+N23*M23</f>
        <v>-31324.799999999999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74740</v>
      </c>
      <c r="N24" s="102"/>
      <c r="O24" s="102">
        <f>SUM(O9:O23)</f>
        <v>536791.53999999992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147150</v>
      </c>
      <c r="C34" s="150">
        <v>146889</v>
      </c>
      <c r="D34" s="150">
        <v>12734</v>
      </c>
      <c r="E34" s="150">
        <v>13033</v>
      </c>
      <c r="F34" s="11">
        <f t="shared" si="5"/>
        <v>38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3946490</v>
      </c>
      <c r="C39" s="150">
        <f>SUM(C8:C38)</f>
        <v>3929197</v>
      </c>
      <c r="D39" s="150">
        <f>SUM(D8:D38)</f>
        <v>349658</v>
      </c>
      <c r="E39" s="150">
        <f>SUM(E8:E38)</f>
        <v>351891</v>
      </c>
      <c r="F39" s="11">
        <f t="shared" si="5"/>
        <v>-15060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37283</v>
      </c>
      <c r="B45" s="32"/>
      <c r="C45" s="106"/>
      <c r="D45" s="106"/>
      <c r="E45" s="106"/>
      <c r="F45" s="24">
        <f>+F44+F39</f>
        <v>15071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37283</v>
      </c>
      <c r="B51" s="32"/>
      <c r="C51" s="32"/>
      <c r="D51" s="350">
        <f>+F39*summary!G3</f>
        <v>-31324.799999999999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403035.98000000004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2002-01-29T03:24:39Z</cp:lastPrinted>
  <dcterms:created xsi:type="dcterms:W3CDTF">2000-03-28T16:52:23Z</dcterms:created>
  <dcterms:modified xsi:type="dcterms:W3CDTF">2014-09-03T14:23:01Z</dcterms:modified>
</cp:coreProperties>
</file>