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/>
  <c r="B7" i="8"/>
  <c r="D7" i="8" s="1"/>
  <c r="B8" i="8"/>
  <c r="D8" i="8" s="1"/>
  <c r="B9" i="8"/>
  <c r="D9" i="8" s="1"/>
  <c r="D10" i="8"/>
  <c r="D11" i="8"/>
  <c r="B12" i="8"/>
  <c r="D12" i="8" s="1"/>
  <c r="B13" i="8"/>
  <c r="D13" i="8" s="1"/>
  <c r="D14" i="8"/>
  <c r="D15" i="8"/>
  <c r="B16" i="8"/>
  <c r="D16" i="8" s="1"/>
  <c r="B17" i="8"/>
  <c r="D17" i="8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2" i="80" s="1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37" i="74" s="1"/>
  <c r="D46" i="74" s="1"/>
  <c r="D47" i="74" s="1"/>
  <c r="D12" i="80" s="1"/>
  <c r="D8" i="74"/>
  <c r="J8" i="74"/>
  <c r="L8" i="74" s="1"/>
  <c r="D9" i="74"/>
  <c r="J9" i="74"/>
  <c r="L9" i="74" s="1"/>
  <c r="M9" i="74" s="1"/>
  <c r="D10" i="74"/>
  <c r="J10" i="74"/>
  <c r="L10" i="74"/>
  <c r="D11" i="74"/>
  <c r="H11" i="74"/>
  <c r="J11" i="74" s="1"/>
  <c r="L11" i="74" s="1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J17" i="74"/>
  <c r="D18" i="74"/>
  <c r="D19" i="74"/>
  <c r="H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39" i="72" s="1"/>
  <c r="D48" i="72" s="1"/>
  <c r="D49" i="72" s="1"/>
  <c r="D82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N6" i="13"/>
  <c r="F7" i="13"/>
  <c r="I7" i="13"/>
  <c r="J7" i="13"/>
  <c r="K7" i="13" s="1"/>
  <c r="M7" i="13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J35" i="73"/>
  <c r="J36" i="73" s="1"/>
  <c r="E36" i="73"/>
  <c r="F39" i="73"/>
  <c r="F46" i="73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B77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10" i="20"/>
  <c r="J11" i="20"/>
  <c r="J15" i="20" s="1"/>
  <c r="B13" i="20"/>
  <c r="B14" i="20"/>
  <c r="B15" i="20"/>
  <c r="B17" i="20"/>
  <c r="B31" i="20"/>
  <c r="E38" i="20"/>
  <c r="E39" i="20"/>
  <c r="G39" i="20"/>
  <c r="G40" i="20" s="1"/>
  <c r="B46" i="20"/>
  <c r="H39" i="20" s="1"/>
  <c r="H40" i="20" s="1"/>
  <c r="B75" i="20"/>
  <c r="C75" i="20"/>
  <c r="B76" i="20"/>
  <c r="C76" i="20"/>
  <c r="B79" i="20"/>
  <c r="C79" i="20"/>
  <c r="C80" i="20"/>
  <c r="B81" i="20"/>
  <c r="C81" i="20"/>
  <c r="B82" i="20"/>
  <c r="C82" i="20"/>
  <c r="H5" i="11"/>
  <c r="H36" i="11" s="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45" i="11" s="1"/>
  <c r="C46" i="11" s="1"/>
  <c r="C36" i="11"/>
  <c r="D36" i="11"/>
  <c r="E36" i="11"/>
  <c r="E37" i="11" s="1"/>
  <c r="F36" i="11"/>
  <c r="G36" i="11"/>
  <c r="AC36" i="11"/>
  <c r="AE36" i="11"/>
  <c r="AF36" i="11" s="1"/>
  <c r="AI36" i="11"/>
  <c r="AL36" i="11"/>
  <c r="AM36" i="11"/>
  <c r="AN36" i="11"/>
  <c r="AO36" i="11"/>
  <c r="AP36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C39" i="11"/>
  <c r="B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37" i="75" s="1"/>
  <c r="D46" i="75" s="1"/>
  <c r="D47" i="75" s="1"/>
  <c r="D47" i="80" s="1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 s="1"/>
  <c r="F12" i="5"/>
  <c r="O12" i="5"/>
  <c r="P12" i="5"/>
  <c r="P13" i="5" s="1"/>
  <c r="P14" i="5" s="1"/>
  <c r="P15" i="5" s="1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7" i="80" s="1"/>
  <c r="A46" i="89"/>
  <c r="A47" i="89"/>
  <c r="D4" i="68"/>
  <c r="D5" i="68"/>
  <c r="D6" i="68"/>
  <c r="D7" i="68"/>
  <c r="D8" i="68"/>
  <c r="D9" i="68"/>
  <c r="D35" i="68" s="1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34" i="67" s="1"/>
  <c r="H4" i="67"/>
  <c r="H5" i="67"/>
  <c r="H6" i="67"/>
  <c r="H7" i="67"/>
  <c r="H8" i="67"/>
  <c r="H9" i="67"/>
  <c r="H10" i="67"/>
  <c r="N10" i="67"/>
  <c r="U10" i="67"/>
  <c r="H11" i="67"/>
  <c r="L11" i="67"/>
  <c r="N11" i="67" s="1"/>
  <c r="P11" i="67" s="1"/>
  <c r="U11" i="67"/>
  <c r="W11" i="67" s="1"/>
  <c r="H12" i="67"/>
  <c r="L12" i="67"/>
  <c r="N12" i="67"/>
  <c r="P12" i="67" s="1"/>
  <c r="U12" i="67"/>
  <c r="W12" i="67" s="1"/>
  <c r="H13" i="67"/>
  <c r="L13" i="67"/>
  <c r="N13" i="67" s="1"/>
  <c r="P13" i="67" s="1"/>
  <c r="U13" i="67"/>
  <c r="W13" i="67" s="1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D43" i="67"/>
  <c r="A44" i="67"/>
  <c r="F44" i="67"/>
  <c r="F45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M23" i="77" s="1"/>
  <c r="D17" i="77"/>
  <c r="K17" i="77"/>
  <c r="M17" i="77"/>
  <c r="D18" i="77"/>
  <c r="K18" i="77"/>
  <c r="M18" i="77" s="1"/>
  <c r="D19" i="77"/>
  <c r="K19" i="77"/>
  <c r="M19" i="77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F5" i="7" s="1"/>
  <c r="AH5" i="7" s="1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 s="1"/>
  <c r="F13" i="7"/>
  <c r="Z13" i="7"/>
  <c r="AD13" i="7" s="1"/>
  <c r="AF13" i="7"/>
  <c r="F14" i="7"/>
  <c r="Z14" i="7"/>
  <c r="AD14" i="7" s="1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 s="1"/>
  <c r="AF19" i="7" s="1"/>
  <c r="AH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A45" i="16"/>
  <c r="A46" i="16"/>
  <c r="D47" i="16"/>
  <c r="D35" i="80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P5" i="9"/>
  <c r="R5" i="9"/>
  <c r="H6" i="9"/>
  <c r="P6" i="9"/>
  <c r="R6" i="9" s="1"/>
  <c r="H7" i="9"/>
  <c r="N7" i="9"/>
  <c r="P7" i="9" s="1"/>
  <c r="R7" i="9" s="1"/>
  <c r="H8" i="9"/>
  <c r="P8" i="9"/>
  <c r="R8" i="9" s="1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 s="1"/>
  <c r="H13" i="9"/>
  <c r="P13" i="9"/>
  <c r="R13" i="9" s="1"/>
  <c r="H14" i="9"/>
  <c r="P14" i="9"/>
  <c r="R14" i="9" s="1"/>
  <c r="H15" i="9"/>
  <c r="P15" i="9"/>
  <c r="R15" i="9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41" i="93"/>
  <c r="A48" i="93"/>
  <c r="D48" i="93"/>
  <c r="A49" i="93"/>
  <c r="D49" i="93"/>
  <c r="D50" i="93" s="1"/>
  <c r="D45" i="80" s="1"/>
  <c r="B5" i="64"/>
  <c r="D5" i="64" s="1"/>
  <c r="B6" i="64"/>
  <c r="D6" i="64" s="1"/>
  <c r="B7" i="64"/>
  <c r="D7" i="64" s="1"/>
  <c r="D8" i="64"/>
  <c r="B9" i="64"/>
  <c r="D9" i="64" s="1"/>
  <c r="D10" i="64"/>
  <c r="B11" i="64"/>
  <c r="D11" i="64"/>
  <c r="D12" i="64"/>
  <c r="B13" i="64"/>
  <c r="D13" i="64"/>
  <c r="A28" i="64"/>
  <c r="A29" i="64"/>
  <c r="F8" i="15"/>
  <c r="AF8" i="15"/>
  <c r="AJ8" i="15"/>
  <c r="AN8" i="15"/>
  <c r="AR8" i="15"/>
  <c r="AV8" i="15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U16" i="15"/>
  <c r="AV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D39" i="15"/>
  <c r="K23" i="15" s="1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C166" i="15"/>
  <c r="C168" i="15"/>
  <c r="C174" i="15" s="1"/>
  <c r="F169" i="15"/>
  <c r="F170" i="15"/>
  <c r="F171" i="15"/>
  <c r="F172" i="15"/>
  <c r="F173" i="15"/>
  <c r="C175" i="15"/>
  <c r="B176" i="15"/>
  <c r="B178" i="15"/>
  <c r="C178" i="15"/>
  <c r="B180" i="15"/>
  <c r="D6" i="76"/>
  <c r="D7" i="76"/>
  <c r="D8" i="76"/>
  <c r="D9" i="76"/>
  <c r="D10" i="76"/>
  <c r="D37" i="76" s="1"/>
  <c r="D47" i="76" s="1"/>
  <c r="D48" i="76" s="1"/>
  <c r="D36" i="80" s="1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F38" i="87" s="1"/>
  <c r="G5" i="63"/>
  <c r="B19" i="2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P49" i="63"/>
  <c r="D50" i="63"/>
  <c r="D51" i="63"/>
  <c r="D52" i="63"/>
  <c r="B84" i="63"/>
  <c r="B85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J35" i="2" s="1"/>
  <c r="P6" i="2"/>
  <c r="R6" i="2" s="1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S12" i="2"/>
  <c r="J13" i="2"/>
  <c r="P13" i="2"/>
  <c r="R13" i="2" s="1"/>
  <c r="J14" i="2"/>
  <c r="P14" i="2"/>
  <c r="R14" i="2" s="1"/>
  <c r="J15" i="2"/>
  <c r="P15" i="2"/>
  <c r="R15" i="2"/>
  <c r="J16" i="2"/>
  <c r="P16" i="2"/>
  <c r="R16" i="2" s="1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/>
  <c r="D75" i="2" s="1"/>
  <c r="D112" i="2"/>
  <c r="N6" i="91"/>
  <c r="N7" i="91"/>
  <c r="N37" i="91" s="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37" i="83" s="1"/>
  <c r="D49" i="83" s="1"/>
  <c r="D50" i="83" s="1"/>
  <c r="D39" i="80" s="1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J39" i="83" s="1"/>
  <c r="J43" i="83" s="1"/>
  <c r="A48" i="83"/>
  <c r="A49" i="83"/>
  <c r="D40" i="68" l="1"/>
  <c r="D46" i="68"/>
  <c r="D47" i="68" s="1"/>
  <c r="D66" i="80" s="1"/>
  <c r="F46" i="11"/>
  <c r="D75" i="80" s="1"/>
  <c r="D68" i="80"/>
  <c r="B73" i="73"/>
  <c r="C77" i="20"/>
  <c r="D47" i="2"/>
  <c r="D48" i="2" s="1"/>
  <c r="J40" i="2"/>
  <c r="N39" i="91"/>
  <c r="N43" i="91" s="1"/>
  <c r="D49" i="91"/>
  <c r="D50" i="91" s="1"/>
  <c r="D40" i="80" s="1"/>
  <c r="P17" i="2"/>
  <c r="F40" i="6"/>
  <c r="D46" i="6"/>
  <c r="D47" i="6" s="1"/>
  <c r="D67" i="80" s="1"/>
  <c r="AR39" i="15"/>
  <c r="AR45" i="15" s="1"/>
  <c r="B39" i="80"/>
  <c r="C39" i="80" s="1"/>
  <c r="E39" i="80" s="1"/>
  <c r="B46" i="63"/>
  <c r="C46" i="63" s="1"/>
  <c r="AH6" i="7"/>
  <c r="AL48" i="11"/>
  <c r="D17" i="64"/>
  <c r="D29" i="64" s="1"/>
  <c r="D30" i="64" s="1"/>
  <c r="D33" i="80" s="1"/>
  <c r="B95" i="63"/>
  <c r="D37" i="92"/>
  <c r="D47" i="92" s="1"/>
  <c r="D48" i="92" s="1"/>
  <c r="D44" i="80" s="1"/>
  <c r="AQ39" i="15"/>
  <c r="AR16" i="15"/>
  <c r="D35" i="28"/>
  <c r="D37" i="77"/>
  <c r="D49" i="77" s="1"/>
  <c r="D50" i="77" s="1"/>
  <c r="D15" i="80" s="1"/>
  <c r="J39" i="17"/>
  <c r="D48" i="17" s="1"/>
  <c r="D49" i="17" s="1"/>
  <c r="D31" i="80" s="1"/>
  <c r="F37" i="22"/>
  <c r="D47" i="22" s="1"/>
  <c r="D48" i="22" s="1"/>
  <c r="D29" i="80" s="1"/>
  <c r="AF34" i="11"/>
  <c r="D37" i="86"/>
  <c r="D47" i="86" s="1"/>
  <c r="D48" i="86" s="1"/>
  <c r="D41" i="80" s="1"/>
  <c r="G4" i="80"/>
  <c r="G58" i="80" s="1"/>
  <c r="B78" i="73"/>
  <c r="C73" i="20"/>
  <c r="D39" i="90"/>
  <c r="D41" i="90" s="1"/>
  <c r="AN39" i="15"/>
  <c r="F36" i="7"/>
  <c r="H38" i="67"/>
  <c r="C68" i="80"/>
  <c r="E68" i="80" s="1"/>
  <c r="D40" i="19"/>
  <c r="D41" i="19" s="1"/>
  <c r="D43" i="19" s="1"/>
  <c r="M23" i="15"/>
  <c r="M24" i="15" s="1"/>
  <c r="AJ39" i="15"/>
  <c r="AJ45" i="15" s="1"/>
  <c r="H35" i="9"/>
  <c r="E47" i="9" s="1"/>
  <c r="E48" i="9" s="1"/>
  <c r="D32" i="80" s="1"/>
  <c r="H39" i="11"/>
  <c r="C28" i="63" s="1"/>
  <c r="F39" i="71"/>
  <c r="D49" i="71" s="1"/>
  <c r="D50" i="71" s="1"/>
  <c r="D46" i="80" s="1"/>
  <c r="M4" i="13"/>
  <c r="F133" i="15"/>
  <c r="C133" i="15" s="1"/>
  <c r="AF39" i="15"/>
  <c r="AF45" i="15" s="1"/>
  <c r="P19" i="9"/>
  <c r="R4" i="9"/>
  <c r="R19" i="9" s="1"/>
  <c r="R22" i="9" s="1"/>
  <c r="D37" i="81"/>
  <c r="D18" i="65"/>
  <c r="D33" i="65" s="1"/>
  <c r="D34" i="65" s="1"/>
  <c r="D26" i="80" s="1"/>
  <c r="J35" i="70"/>
  <c r="D47" i="70" s="1"/>
  <c r="D48" i="70" s="1"/>
  <c r="D34" i="80" s="1"/>
  <c r="H41" i="73"/>
  <c r="B80" i="20"/>
  <c r="K6" i="13"/>
  <c r="M6" i="13" s="1"/>
  <c r="N11" i="13" s="1"/>
  <c r="D42" i="72"/>
  <c r="F39" i="18"/>
  <c r="D48" i="18" s="1"/>
  <c r="D49" i="18" s="1"/>
  <c r="D28" i="80" s="1"/>
  <c r="D38" i="75"/>
  <c r="D39" i="75" s="1"/>
  <c r="D41" i="75" s="1"/>
  <c r="C37" i="73"/>
  <c r="D38" i="86"/>
  <c r="D39" i="86" s="1"/>
  <c r="D41" i="86" s="1"/>
  <c r="D19" i="8"/>
  <c r="D20" i="8" s="1"/>
  <c r="D24" i="8" s="1"/>
  <c r="D37" i="16"/>
  <c r="D38" i="16" s="1"/>
  <c r="D40" i="16" s="1"/>
  <c r="B47" i="20"/>
  <c r="C47" i="20" s="1"/>
  <c r="C48" i="20" s="1"/>
  <c r="D38" i="89"/>
  <c r="D39" i="89" s="1"/>
  <c r="D41" i="89" s="1"/>
  <c r="F39" i="5"/>
  <c r="K113" i="15"/>
  <c r="K114" i="15" s="1"/>
  <c r="I114" i="15"/>
  <c r="O9" i="15"/>
  <c r="P16" i="5"/>
  <c r="P17" i="5" s="1"/>
  <c r="P18" i="5" s="1"/>
  <c r="P19" i="5" s="1"/>
  <c r="P20" i="5" s="1"/>
  <c r="P21" i="5" s="1"/>
  <c r="P22" i="5" s="1"/>
  <c r="P23" i="5" s="1"/>
  <c r="D18" i="8"/>
  <c r="D30" i="8" s="1"/>
  <c r="D31" i="8" s="1"/>
  <c r="D48" i="80" s="1"/>
  <c r="D13" i="78"/>
  <c r="D19" i="65"/>
  <c r="D20" i="65" s="1"/>
  <c r="D24" i="65" s="1"/>
  <c r="F40" i="71"/>
  <c r="F41" i="71" s="1"/>
  <c r="F43" i="71" s="1"/>
  <c r="D38" i="74"/>
  <c r="J36" i="70"/>
  <c r="J37" i="70" s="1"/>
  <c r="J41" i="70" s="1"/>
  <c r="D18" i="64"/>
  <c r="P38" i="88"/>
  <c r="P39" i="88" s="1"/>
  <c r="P41" i="88" s="1"/>
  <c r="D38" i="77"/>
  <c r="F37" i="13"/>
  <c r="F38" i="13" s="1"/>
  <c r="F41" i="13" s="1"/>
  <c r="F40" i="18"/>
  <c r="F41" i="18" s="1"/>
  <c r="F43" i="18" s="1"/>
  <c r="D38" i="79"/>
  <c r="J40" i="17"/>
  <c r="F38" i="22"/>
  <c r="N38" i="93"/>
  <c r="N39" i="93" s="1"/>
  <c r="N43" i="93" s="1"/>
  <c r="D38" i="76"/>
  <c r="D39" i="76" s="1"/>
  <c r="D41" i="76" s="1"/>
  <c r="AH57" i="15"/>
  <c r="AU39" i="15"/>
  <c r="AV35" i="15"/>
  <c r="AV39" i="15" s="1"/>
  <c r="AG19" i="7"/>
  <c r="AG20" i="7" s="1"/>
  <c r="AG21" i="7" s="1"/>
  <c r="F35" i="73"/>
  <c r="D37" i="12"/>
  <c r="P37" i="88"/>
  <c r="D47" i="88" s="1"/>
  <c r="D48" i="88" s="1"/>
  <c r="D43" i="80" s="1"/>
  <c r="C180" i="15"/>
  <c r="C176" i="15"/>
  <c r="F176" i="15" s="1"/>
  <c r="D38" i="92"/>
  <c r="D39" i="92" s="1"/>
  <c r="D41" i="92" s="1"/>
  <c r="F39" i="15"/>
  <c r="AH20" i="7"/>
  <c r="AI19" i="7"/>
  <c r="P10" i="67"/>
  <c r="P16" i="67" s="1"/>
  <c r="N16" i="67"/>
  <c r="AP27" i="11"/>
  <c r="AF27" i="11"/>
  <c r="B32" i="20"/>
  <c r="C32" i="20" s="1"/>
  <c r="C33" i="20" s="1"/>
  <c r="D12" i="78"/>
  <c r="D23" i="78" s="1"/>
  <c r="D24" i="78" s="1"/>
  <c r="D16" i="80" s="1"/>
  <c r="G5" i="80"/>
  <c r="G59" i="80" s="1"/>
  <c r="F36" i="5"/>
  <c r="D49" i="5" s="1"/>
  <c r="D50" i="5" s="1"/>
  <c r="D83" i="80" s="1"/>
  <c r="K36" i="73"/>
  <c r="K49" i="73" s="1"/>
  <c r="B74" i="73"/>
  <c r="C78" i="20"/>
  <c r="M10" i="74"/>
  <c r="M11" i="74" s="1"/>
  <c r="M12" i="74" s="1"/>
  <c r="M13" i="74" s="1"/>
  <c r="M14" i="74" s="1"/>
  <c r="G3" i="80"/>
  <c r="G57" i="80" s="1"/>
  <c r="D39" i="69"/>
  <c r="D40" i="69" s="1"/>
  <c r="D42" i="69" s="1"/>
  <c r="E39" i="11"/>
  <c r="B75" i="80" s="1"/>
  <c r="C75" i="80" s="1"/>
  <c r="E75" i="80" s="1"/>
  <c r="E45" i="11"/>
  <c r="F45" i="11" s="1"/>
  <c r="AP20" i="11"/>
  <c r="AF20" i="11"/>
  <c r="D37" i="79"/>
  <c r="D47" i="79" s="1"/>
  <c r="D48" i="79" s="1"/>
  <c r="D13" i="80" s="1"/>
  <c r="L17" i="74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7" i="85"/>
  <c r="D47" i="85" s="1"/>
  <c r="D48" i="85" s="1"/>
  <c r="D38" i="80" s="1"/>
  <c r="F36" i="73"/>
  <c r="N23" i="15"/>
  <c r="U16" i="67"/>
  <c r="W10" i="67"/>
  <c r="W16" i="67" s="1"/>
  <c r="AP47" i="11"/>
  <c r="AL47" i="11"/>
  <c r="C74" i="20"/>
  <c r="B18" i="20"/>
  <c r="F39" i="20" s="1"/>
  <c r="F40" i="20" s="1"/>
  <c r="F37" i="87"/>
  <c r="D47" i="87" s="1"/>
  <c r="D48" i="87" s="1"/>
  <c r="D42" i="80" s="1"/>
  <c r="J24" i="74"/>
  <c r="AM16" i="11"/>
  <c r="AN8" i="11"/>
  <c r="B79" i="73" l="1"/>
  <c r="B81" i="73" s="1"/>
  <c r="C72" i="20"/>
  <c r="C83" i="20" s="1"/>
  <c r="B102" i="15"/>
  <c r="AN45" i="15"/>
  <c r="D70" i="80"/>
  <c r="B24" i="63"/>
  <c r="C24" i="63" s="1"/>
  <c r="B45" i="80"/>
  <c r="C45" i="80" s="1"/>
  <c r="E45" i="80" s="1"/>
  <c r="D19" i="64"/>
  <c r="D23" i="64" s="1"/>
  <c r="B14" i="80"/>
  <c r="C14" i="80" s="1"/>
  <c r="E14" i="80" s="1"/>
  <c r="B45" i="63"/>
  <c r="C45" i="63" s="1"/>
  <c r="D30" i="80"/>
  <c r="F39" i="22"/>
  <c r="F41" i="22" s="1"/>
  <c r="D39" i="79"/>
  <c r="D41" i="79" s="1"/>
  <c r="B46" i="80"/>
  <c r="C46" i="80" s="1"/>
  <c r="E46" i="80" s="1"/>
  <c r="B29" i="63"/>
  <c r="C29" i="63" s="1"/>
  <c r="C38" i="73"/>
  <c r="C40" i="73" s="1"/>
  <c r="E37" i="73"/>
  <c r="E38" i="73" s="1"/>
  <c r="D49" i="80"/>
  <c r="M13" i="13"/>
  <c r="B20" i="80"/>
  <c r="B52" i="63"/>
  <c r="C52" i="63" s="1"/>
  <c r="B36" i="80"/>
  <c r="C36" i="80" s="1"/>
  <c r="E36" i="80" s="1"/>
  <c r="B35" i="63"/>
  <c r="C35" i="63" s="1"/>
  <c r="C77" i="73"/>
  <c r="B74" i="20"/>
  <c r="C78" i="73"/>
  <c r="B73" i="20"/>
  <c r="B28" i="80"/>
  <c r="C28" i="80" s="1"/>
  <c r="E28" i="80" s="1"/>
  <c r="B15" i="63"/>
  <c r="C15" i="63" s="1"/>
  <c r="D41" i="81"/>
  <c r="D46" i="81"/>
  <c r="D47" i="81" s="1"/>
  <c r="D81" i="80" s="1"/>
  <c r="B44" i="80"/>
  <c r="C44" i="80" s="1"/>
  <c r="E44" i="80" s="1"/>
  <c r="B27" i="63"/>
  <c r="C27" i="63" s="1"/>
  <c r="B27" i="80"/>
  <c r="C27" i="80" s="1"/>
  <c r="E27" i="80" s="1"/>
  <c r="B9" i="63"/>
  <c r="C9" i="63" s="1"/>
  <c r="D14" i="78"/>
  <c r="D18" i="78" s="1"/>
  <c r="F40" i="5"/>
  <c r="B80" i="80"/>
  <c r="C13" i="63"/>
  <c r="B13" i="63" s="1"/>
  <c r="D39" i="85"/>
  <c r="D41" i="85" s="1"/>
  <c r="H37" i="9"/>
  <c r="H39" i="9" s="1"/>
  <c r="D44" i="67"/>
  <c r="D45" i="67" s="1"/>
  <c r="D80" i="80" s="1"/>
  <c r="F37" i="73"/>
  <c r="B43" i="80"/>
  <c r="C43" i="80" s="1"/>
  <c r="E43" i="80" s="1"/>
  <c r="B20" i="63"/>
  <c r="C20" i="63" s="1"/>
  <c r="B35" i="80"/>
  <c r="C35" i="80" s="1"/>
  <c r="E35" i="80" s="1"/>
  <c r="B33" i="63"/>
  <c r="C33" i="63" s="1"/>
  <c r="F45" i="15"/>
  <c r="D51" i="15"/>
  <c r="D52" i="15" s="1"/>
  <c r="D73" i="80" s="1"/>
  <c r="B26" i="80"/>
  <c r="B31" i="63"/>
  <c r="C31" i="63" s="1"/>
  <c r="B47" i="80"/>
  <c r="C47" i="80" s="1"/>
  <c r="E47" i="80" s="1"/>
  <c r="B17" i="63"/>
  <c r="C17" i="63" s="1"/>
  <c r="K13" i="13"/>
  <c r="B40" i="80"/>
  <c r="C40" i="80" s="1"/>
  <c r="E40" i="80" s="1"/>
  <c r="B32" i="63"/>
  <c r="C32" i="63" s="1"/>
  <c r="O23" i="15"/>
  <c r="O24" i="15" s="1"/>
  <c r="D39" i="77"/>
  <c r="D41" i="77" s="1"/>
  <c r="B41" i="63"/>
  <c r="C41" i="63" s="1"/>
  <c r="B37" i="80"/>
  <c r="C37" i="80" s="1"/>
  <c r="E37" i="80" s="1"/>
  <c r="B82" i="80"/>
  <c r="C82" i="80" s="1"/>
  <c r="E82" i="80" s="1"/>
  <c r="C30" i="63"/>
  <c r="B30" i="63" s="1"/>
  <c r="F41" i="7"/>
  <c r="E48" i="7"/>
  <c r="E49" i="7" s="1"/>
  <c r="D76" i="80" s="1"/>
  <c r="C21" i="80"/>
  <c r="C48" i="63"/>
  <c r="B48" i="63" s="1"/>
  <c r="F39" i="87"/>
  <c r="F41" i="87" s="1"/>
  <c r="AR51" i="15"/>
  <c r="AR48" i="15"/>
  <c r="I40" i="20"/>
  <c r="I57" i="20" s="1"/>
  <c r="B66" i="80"/>
  <c r="C10" i="63"/>
  <c r="B10" i="63" s="1"/>
  <c r="F43" i="5"/>
  <c r="D46" i="12"/>
  <c r="D47" i="12" s="1"/>
  <c r="D74" i="80" s="1"/>
  <c r="D40" i="12"/>
  <c r="B34" i="80"/>
  <c r="C34" i="80" s="1"/>
  <c r="E34" i="80" s="1"/>
  <c r="B49" i="63"/>
  <c r="C49" i="63" s="1"/>
  <c r="B48" i="80"/>
  <c r="C48" i="80" s="1"/>
  <c r="E48" i="80" s="1"/>
  <c r="B19" i="63"/>
  <c r="C19" i="63" s="1"/>
  <c r="D17" i="80"/>
  <c r="AI6" i="7"/>
  <c r="AH7" i="7"/>
  <c r="B67" i="80"/>
  <c r="C67" i="80" s="1"/>
  <c r="E67" i="80" s="1"/>
  <c r="C16" i="63"/>
  <c r="B16" i="63" s="1"/>
  <c r="C19" i="20"/>
  <c r="C20" i="20" s="1"/>
  <c r="C57" i="20" s="1"/>
  <c r="F51" i="73" s="1"/>
  <c r="B22" i="80"/>
  <c r="C22" i="80" s="1"/>
  <c r="E22" i="80" s="1"/>
  <c r="B44" i="63"/>
  <c r="C44" i="63" s="1"/>
  <c r="AH21" i="7"/>
  <c r="AI21" i="7" s="1"/>
  <c r="AI20" i="7"/>
  <c r="J41" i="17"/>
  <c r="J43" i="17" s="1"/>
  <c r="K19" i="74"/>
  <c r="L19" i="74" s="1"/>
  <c r="L24" i="74" s="1"/>
  <c r="L26" i="74" s="1"/>
  <c r="D39" i="74"/>
  <c r="D41" i="74" s="1"/>
  <c r="B41" i="80"/>
  <c r="C41" i="80" s="1"/>
  <c r="E41" i="80" s="1"/>
  <c r="B50" i="63"/>
  <c r="C50" i="63" s="1"/>
  <c r="B28" i="63"/>
  <c r="D40" i="28"/>
  <c r="D46" i="28"/>
  <c r="D47" i="28" s="1"/>
  <c r="D69" i="80" s="1"/>
  <c r="AI5" i="7"/>
  <c r="P21" i="2"/>
  <c r="P23" i="2" s="1"/>
  <c r="R17" i="2"/>
  <c r="R21" i="2" s="1"/>
  <c r="B77" i="20" l="1"/>
  <c r="C73" i="73"/>
  <c r="M51" i="73"/>
  <c r="M53" i="73" s="1"/>
  <c r="I62" i="20"/>
  <c r="B81" i="80"/>
  <c r="C81" i="80" s="1"/>
  <c r="E81" i="80" s="1"/>
  <c r="C26" i="63"/>
  <c r="B26" i="63" s="1"/>
  <c r="B74" i="80"/>
  <c r="C74" i="80" s="1"/>
  <c r="E74" i="80" s="1"/>
  <c r="C51" i="63"/>
  <c r="B51" i="63" s="1"/>
  <c r="B42" i="80"/>
  <c r="C42" i="80" s="1"/>
  <c r="E42" i="80" s="1"/>
  <c r="B42" i="63"/>
  <c r="C42" i="63" s="1"/>
  <c r="B23" i="80"/>
  <c r="C20" i="80"/>
  <c r="C66" i="80"/>
  <c r="C80" i="80"/>
  <c r="B33" i="80"/>
  <c r="C33" i="80" s="1"/>
  <c r="E33" i="80" s="1"/>
  <c r="B8" i="63"/>
  <c r="B31" i="80"/>
  <c r="C31" i="80" s="1"/>
  <c r="E31" i="80" s="1"/>
  <c r="B12" i="63"/>
  <c r="C12" i="63" s="1"/>
  <c r="B15" i="80"/>
  <c r="C15" i="80" s="1"/>
  <c r="E15" i="80" s="1"/>
  <c r="B40" i="63"/>
  <c r="C40" i="63" s="1"/>
  <c r="C26" i="80"/>
  <c r="B29" i="80"/>
  <c r="C29" i="80" s="1"/>
  <c r="E29" i="80" s="1"/>
  <c r="B11" i="63"/>
  <c r="C11" i="63" s="1"/>
  <c r="C22" i="63"/>
  <c r="B22" i="63" s="1"/>
  <c r="B83" i="80"/>
  <c r="C83" i="80" s="1"/>
  <c r="E83" i="80" s="1"/>
  <c r="D21" i="80"/>
  <c r="D23" i="80" s="1"/>
  <c r="B21" i="80"/>
  <c r="D77" i="80"/>
  <c r="D86" i="80" s="1"/>
  <c r="B32" i="80"/>
  <c r="C32" i="80" s="1"/>
  <c r="E32" i="80" s="1"/>
  <c r="B34" i="63"/>
  <c r="C34" i="63" s="1"/>
  <c r="C47" i="63"/>
  <c r="B47" i="63" s="1"/>
  <c r="B76" i="80"/>
  <c r="C76" i="80" s="1"/>
  <c r="E76" i="80" s="1"/>
  <c r="AH8" i="7"/>
  <c r="AI7" i="7"/>
  <c r="D84" i="80"/>
  <c r="C23" i="63"/>
  <c r="B23" i="63" s="1"/>
  <c r="B69" i="80"/>
  <c r="C69" i="80" s="1"/>
  <c r="E69" i="80" s="1"/>
  <c r="C18" i="63"/>
  <c r="B18" i="63" s="1"/>
  <c r="B73" i="80"/>
  <c r="B38" i="80"/>
  <c r="C38" i="80" s="1"/>
  <c r="E38" i="80" s="1"/>
  <c r="B14" i="63"/>
  <c r="C14" i="63" s="1"/>
  <c r="E40" i="73"/>
  <c r="F38" i="73"/>
  <c r="F102" i="15"/>
  <c r="F103" i="15" s="1"/>
  <c r="C103" i="15" s="1"/>
  <c r="B103" i="15"/>
  <c r="B105" i="15" s="1"/>
  <c r="F105" i="15" s="1"/>
  <c r="C79" i="73"/>
  <c r="B72" i="20"/>
  <c r="B12" i="80"/>
  <c r="B25" i="63"/>
  <c r="C25" i="63" s="1"/>
  <c r="B16" i="80"/>
  <c r="C16" i="80" s="1"/>
  <c r="E16" i="80" s="1"/>
  <c r="B39" i="63"/>
  <c r="B13" i="80"/>
  <c r="C13" i="80" s="1"/>
  <c r="E13" i="80" s="1"/>
  <c r="B21" i="63"/>
  <c r="C21" i="63" s="1"/>
  <c r="AH9" i="7" l="1"/>
  <c r="AI8" i="7"/>
  <c r="C12" i="80"/>
  <c r="B17" i="80"/>
  <c r="B70" i="80"/>
  <c r="B77" i="80"/>
  <c r="C73" i="80"/>
  <c r="C23" i="80"/>
  <c r="E20" i="80"/>
  <c r="B36" i="63"/>
  <c r="C8" i="63"/>
  <c r="C36" i="63" s="1"/>
  <c r="C84" i="80"/>
  <c r="E80" i="80"/>
  <c r="E84" i="80" s="1"/>
  <c r="C39" i="63"/>
  <c r="N13" i="63"/>
  <c r="E26" i="80"/>
  <c r="B84" i="80"/>
  <c r="C74" i="73"/>
  <c r="C81" i="73" s="1"/>
  <c r="C82" i="73" s="1"/>
  <c r="B78" i="20"/>
  <c r="B83" i="20" s="1"/>
  <c r="B43" i="63" s="1"/>
  <c r="F40" i="73"/>
  <c r="F49" i="73" s="1"/>
  <c r="E21" i="80"/>
  <c r="C70" i="80"/>
  <c r="E66" i="80"/>
  <c r="D51" i="80"/>
  <c r="B51" i="80" l="1"/>
  <c r="B30" i="80"/>
  <c r="C43" i="63"/>
  <c r="B53" i="63"/>
  <c r="B55" i="63" s="1"/>
  <c r="C77" i="80"/>
  <c r="C86" i="80" s="1"/>
  <c r="B89" i="80" s="1"/>
  <c r="E73" i="80"/>
  <c r="E77" i="80" s="1"/>
  <c r="B86" i="80"/>
  <c r="E86" i="80"/>
  <c r="E70" i="80"/>
  <c r="E23" i="80"/>
  <c r="E12" i="80"/>
  <c r="C17" i="80"/>
  <c r="C61" i="20"/>
  <c r="C62" i="20" s="1"/>
  <c r="F53" i="73"/>
  <c r="C53" i="63"/>
  <c r="C55" i="63" s="1"/>
  <c r="AI9" i="7"/>
  <c r="AH10" i="7"/>
  <c r="C51" i="80" l="1"/>
  <c r="B90" i="80" s="1"/>
  <c r="E17" i="80"/>
  <c r="AH11" i="7"/>
  <c r="AI10" i="7"/>
  <c r="C30" i="80"/>
  <c r="B49" i="80"/>
  <c r="E30" i="80" l="1"/>
  <c r="C49" i="80"/>
  <c r="AH12" i="7"/>
  <c r="AI11" i="7"/>
  <c r="E49" i="80" l="1"/>
  <c r="E51" i="80"/>
  <c r="AH13" i="7"/>
  <c r="AI12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<sst xmlns="http://schemas.openxmlformats.org/spreadsheetml/2006/main" count="1013" uniqueCount="315">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</sst>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2.09</v>
      </c>
      <c r="H3" s="401">
        <f ca="1">NOW()</f>
        <v>41885.682810995371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6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6">
        <f>+'Citizens-Griffith'!D41</f>
        <v>96384.12000000001</v>
      </c>
      <c r="C13" s="367">
        <f>+B13/$G$4</f>
        <v>46338.519230769234</v>
      </c>
      <c r="D13" s="14">
        <f>+'Citizens-Griffith'!D48</f>
        <v>49921</v>
      </c>
      <c r="E13" s="70">
        <f>+C13-D13</f>
        <v>-3582.4807692307659</v>
      </c>
      <c r="F13" s="363">
        <f>+'Citizens-Griffith'!A41</f>
        <v>37306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2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-714091.08000000007</v>
      </c>
      <c r="C17" s="392">
        <f>SUBTOTAL(9,C12:C16)</f>
        <v>-343313.01923076925</v>
      </c>
      <c r="D17" s="393">
        <f>SUBTOTAL(9,D12:D16)</f>
        <v>108546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1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1">
        <f>+C21*G3</f>
        <v>-18950.03</v>
      </c>
      <c r="C21" s="367">
        <f>+williams!J40</f>
        <v>-9067</v>
      </c>
      <c r="D21" s="14">
        <f>+C21</f>
        <v>-9067</v>
      </c>
      <c r="E21" s="70">
        <f>+C21-D21</f>
        <v>0</v>
      </c>
      <c r="F21" s="364">
        <f>+williams!A40</f>
        <v>37306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-76233.53</v>
      </c>
      <c r="C23" s="388">
        <f>SUBTOTAL(9,C20:C22)</f>
        <v>-36476.234173721023</v>
      </c>
      <c r="D23" s="393">
        <f>SUBTOTAL(9,D20:D22)</f>
        <v>-92564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6">
        <f>+Conoco!$F$41</f>
        <v>464068.77</v>
      </c>
      <c r="C27" s="367">
        <f>+B27/$G$4</f>
        <v>223109.98557692309</v>
      </c>
      <c r="D27" s="14">
        <f>+Conoco!D48</f>
        <v>19718</v>
      </c>
      <c r="E27" s="70">
        <f t="shared" si="0"/>
        <v>203391.98557692309</v>
      </c>
      <c r="F27" s="363">
        <f>+Conoco!A41</f>
        <v>37306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6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6">
        <f>+KN_Westar!F41</f>
        <v>328563.40000000002</v>
      </c>
      <c r="C29" s="367">
        <f>+B29/$G$4</f>
        <v>157963.17307692309</v>
      </c>
      <c r="D29" s="14">
        <f>+KN_Westar!D48</f>
        <v>-37442</v>
      </c>
      <c r="E29" s="70">
        <f t="shared" si="0"/>
        <v>195405.17307692309</v>
      </c>
      <c r="F29" s="364">
        <f>+KN_Westar!A41</f>
        <v>37305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6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6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6">
        <f>+PNM!$D$23</f>
        <v>879575.44</v>
      </c>
      <c r="C33" s="367">
        <f>+B33/$G$4</f>
        <v>422872.80769230763</v>
      </c>
      <c r="D33" s="14">
        <f>+PNM!D30</f>
        <v>361486</v>
      </c>
      <c r="E33" s="70">
        <f t="shared" si="0"/>
        <v>61386.80769230763</v>
      </c>
      <c r="F33" s="364">
        <f>+PNM!A23</f>
        <v>37306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2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2">
        <f>+MiVida_Rich!D41</f>
        <v>-192285.66</v>
      </c>
      <c r="C37" s="367">
        <f>+B37/$G$5</f>
        <v>-92445.028846153844</v>
      </c>
      <c r="D37" s="14">
        <f>+MiVida_Rich!D48</f>
        <v>-45949</v>
      </c>
      <c r="E37" s="70">
        <f>+C37-D37</f>
        <v>-46496.028846153844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6">
        <f>+Dominion!D41</f>
        <v>172974.90000000002</v>
      </c>
      <c r="C38" s="367">
        <f>+B38/$G$5</f>
        <v>83161.009615384624</v>
      </c>
      <c r="D38" s="14">
        <f>+Dominion!D48</f>
        <v>75612</v>
      </c>
      <c r="E38" s="70">
        <f t="shared" si="0"/>
        <v>7549.0096153846243</v>
      </c>
      <c r="F38" s="364">
        <f>+Dominion!A41</f>
        <v>37306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2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2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6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6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6">
        <f>+Plains!$N$43</f>
        <v>63241.56</v>
      </c>
      <c r="C45" s="609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6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6">
        <f>+EPFS!D41</f>
        <v>143000.64000000001</v>
      </c>
      <c r="C47" s="368">
        <f>+B47/$G$5</f>
        <v>68750.307692307702</v>
      </c>
      <c r="D47" s="14">
        <f>+EPFS!D47</f>
        <v>82465</v>
      </c>
      <c r="E47" s="70">
        <f t="shared" si="0"/>
        <v>-13714.692307692298</v>
      </c>
      <c r="F47" s="363">
        <f>+EPFS!A41</f>
        <v>37306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8">
        <f>+Agave!$D$24</f>
        <v>108157.26000000001</v>
      </c>
      <c r="C48" s="369">
        <f>+B48/$G$4</f>
        <v>51998.682692307695</v>
      </c>
      <c r="D48" s="349">
        <f>+Agave!D31</f>
        <v>64181</v>
      </c>
      <c r="E48" s="72">
        <f t="shared" si="0"/>
        <v>-12182.317307692305</v>
      </c>
      <c r="F48" s="363">
        <f>+Agave!A24</f>
        <v>37306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2457095.540000001</v>
      </c>
      <c r="C49" s="392">
        <f>SUBTOTAL(9,C26:C48)</f>
        <v>1181295.932692308</v>
      </c>
      <c r="D49" s="393">
        <f>SUBTOTAL(9,D26:D48)</f>
        <v>539007</v>
      </c>
      <c r="E49" s="394">
        <f>SUBTOTAL(9,E26:E48)</f>
        <v>642288.93269230786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1666770.9300000013</v>
      </c>
      <c r="C51" s="392">
        <f>SUBTOTAL(9,C12:C48)</f>
        <v>801506.67928781768</v>
      </c>
      <c r="D51" s="393">
        <f>SUBTOTAL(9,D12:D48)</f>
        <v>554989</v>
      </c>
      <c r="E51" s="394">
        <f>SUBTOTAL(9,E12:E48)</f>
        <v>246517.6792878175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2.09</v>
      </c>
      <c r="H57" s="401">
        <f ca="1">NOW()</f>
        <v>41885.682810995371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173432</v>
      </c>
      <c r="C66" s="606">
        <f>+B66*$G$4</f>
        <v>360738.56</v>
      </c>
      <c r="D66" s="47">
        <f>+Mojave!D47</f>
        <v>171959.84</v>
      </c>
      <c r="E66" s="47">
        <f>+C66-D66</f>
        <v>188778.72</v>
      </c>
      <c r="F66" s="364">
        <f>+Mojave!A40</f>
        <v>37306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79815</v>
      </c>
      <c r="C67" s="606">
        <f>+B67*$G$4</f>
        <v>166015.20000000001</v>
      </c>
      <c r="D67" s="47">
        <f>+SoCal!D47</f>
        <v>280738.24</v>
      </c>
      <c r="E67" s="47">
        <f>+C67-D67</f>
        <v>-114723.03999999998</v>
      </c>
      <c r="F67" s="364">
        <f>+SoCal!A40</f>
        <v>37306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6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37306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42027</v>
      </c>
      <c r="C69" s="608">
        <f>+B69*$G$4</f>
        <v>87416.16</v>
      </c>
      <c r="D69" s="348">
        <f>+'PG&amp;E'!D47</f>
        <v>-115994.6</v>
      </c>
      <c r="E69" s="348">
        <f>+C69-D69</f>
        <v>203410.76</v>
      </c>
      <c r="F69" s="364">
        <f>+'PG&amp;E'!A40</f>
        <v>37306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359543</v>
      </c>
      <c r="C70" s="387">
        <f>SUBTOTAL(9,C66:C69)</f>
        <v>747849.44000000006</v>
      </c>
      <c r="D70" s="387">
        <f>SUBTOTAL(9,D66:D69)</f>
        <v>-1246257.5300000003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62053</v>
      </c>
      <c r="C73" s="607">
        <f>+B73*G57</f>
        <v>129690.76999999999</v>
      </c>
      <c r="D73" s="200">
        <f>+'Red C'!D52</f>
        <v>476094.29</v>
      </c>
      <c r="E73" s="47">
        <f>+C73-D73</f>
        <v>-346403.52</v>
      </c>
      <c r="F73" s="363">
        <f>+'Red C'!A45</f>
        <v>37306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-4151</v>
      </c>
      <c r="C74" s="612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-40926</v>
      </c>
      <c r="C75" s="606">
        <f>+B75*$G$3</f>
        <v>-85535.34</v>
      </c>
      <c r="D75" s="47">
        <f>+'El Paso'!F46</f>
        <v>-657254.01</v>
      </c>
      <c r="E75" s="47">
        <f>+C75-D75</f>
        <v>571718.67000000004</v>
      </c>
      <c r="F75" s="364">
        <f>+'El Paso'!A39</f>
        <v>37306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-10490</v>
      </c>
      <c r="C76" s="613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6486</v>
      </c>
      <c r="C77" s="387">
        <f>SUBTOTAL(9,C73:C76)</f>
        <v>13555.739999999998</v>
      </c>
      <c r="D77" s="387">
        <f>SUBTOTAL(9,D73:D76)</f>
        <v>-336958.88</v>
      </c>
      <c r="E77" s="387">
        <f>SUBTOTAL(9,E73:E76)</f>
        <v>350514.62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89593</v>
      </c>
      <c r="C80" s="606">
        <f>+B80*$G$5</f>
        <v>186353.44</v>
      </c>
      <c r="D80" s="47">
        <f>+NGPL!D45</f>
        <v>240351.71</v>
      </c>
      <c r="E80" s="47">
        <f>+C80-D80</f>
        <v>-53998.26999999999</v>
      </c>
      <c r="F80" s="364">
        <f>+NGPL!A38</f>
        <v>37306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23751</v>
      </c>
      <c r="C81" s="607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7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42065</v>
      </c>
      <c r="C83" s="608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172996</v>
      </c>
      <c r="C84" s="387">
        <f>SUBTOTAL(9,C80:C83)</f>
        <v>359831.68000000005</v>
      </c>
      <c r="D84" s="387">
        <f>SUBTOTAL(9,D80:D83)</f>
        <v>900846.3899999999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539025</v>
      </c>
      <c r="C86" s="387">
        <f>SUBTOTAL(9,C66:C83)</f>
        <v>1121236.8600000001</v>
      </c>
      <c r="D86" s="387">
        <f>SUBTOTAL(9,D66:D83)</f>
        <v>-682370.02000000025</v>
      </c>
      <c r="E86" s="387">
        <f>SUBTOTAL(9,E66:E83)</f>
        <v>1803606.8799999997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2788007.7900000014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1340531.6792878178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37305</v>
      </c>
      <c r="B46" s="32"/>
      <c r="C46" s="32"/>
      <c r="D46" s="349">
        <f>+D36</f>
        <v>-158</v>
      </c>
    </row>
    <row r="47" spans="1:65" x14ac:dyDescent="0.2">
      <c r="A47" s="32"/>
      <c r="B47" s="32"/>
      <c r="C47" s="32"/>
      <c r="D47" s="14">
        <f>+D46+D45</f>
        <v>7396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585778+30937</f>
        <v>616715</v>
      </c>
      <c r="C5" s="90">
        <v>635781</v>
      </c>
      <c r="D5" s="90">
        <f>+C5-B5</f>
        <v>19066</v>
      </c>
      <c r="E5" s="275"/>
      <c r="F5" s="273"/>
    </row>
    <row r="6" spans="1:13" x14ac:dyDescent="0.2">
      <c r="A6" s="87">
        <v>78311</v>
      </c>
      <c r="B6" s="90">
        <f>212279+10600</f>
        <v>222879</v>
      </c>
      <c r="C6" s="90">
        <v>219800</v>
      </c>
      <c r="D6" s="90">
        <f t="shared" ref="D6:D17" si="0">+C6-B6</f>
        <v>-3079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577690+31991</f>
        <v>609681</v>
      </c>
      <c r="C7" s="90">
        <v>715088</v>
      </c>
      <c r="D7" s="90">
        <f t="shared" si="0"/>
        <v>105407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668836+36966</f>
        <v>705802</v>
      </c>
      <c r="C8" s="90">
        <v>634379</v>
      </c>
      <c r="D8" s="90">
        <f t="shared" si="0"/>
        <v>-71423</v>
      </c>
      <c r="E8" s="455"/>
      <c r="F8" s="273"/>
    </row>
    <row r="9" spans="1:13" x14ac:dyDescent="0.2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">
      <c r="A10" s="87">
        <v>500302</v>
      </c>
      <c r="B10" s="90"/>
      <c r="C10" s="90">
        <v>5757</v>
      </c>
      <c r="D10" s="90">
        <f t="shared" si="0"/>
        <v>5757</v>
      </c>
      <c r="E10" s="275"/>
      <c r="F10" s="273"/>
    </row>
    <row r="11" spans="1:13" x14ac:dyDescent="0.2">
      <c r="A11" s="87">
        <v>500303</v>
      </c>
      <c r="B11" s="90"/>
      <c r="C11" s="90">
        <v>17263</v>
      </c>
      <c r="D11" s="90">
        <f t="shared" si="0"/>
        <v>17263</v>
      </c>
      <c r="E11" s="275"/>
      <c r="F11" s="273"/>
    </row>
    <row r="12" spans="1:13" x14ac:dyDescent="0.2">
      <c r="A12" s="91">
        <v>500305</v>
      </c>
      <c r="B12" s="90">
        <f>844029+46179+47595</f>
        <v>937803</v>
      </c>
      <c r="C12" s="90">
        <v>1001188</v>
      </c>
      <c r="D12" s="90">
        <f t="shared" si="0"/>
        <v>63385</v>
      </c>
      <c r="E12" s="276"/>
      <c r="F12" s="465"/>
      <c r="G12" s="90"/>
    </row>
    <row r="13" spans="1:13" x14ac:dyDescent="0.2">
      <c r="A13" s="87">
        <v>500307</v>
      </c>
      <c r="B13" s="90">
        <f>59494+3199</f>
        <v>62693</v>
      </c>
      <c r="C13" s="90">
        <v>38470</v>
      </c>
      <c r="D13" s="90">
        <f t="shared" si="0"/>
        <v>-24223</v>
      </c>
      <c r="E13" s="275"/>
      <c r="F13" s="273"/>
    </row>
    <row r="14" spans="1:13" x14ac:dyDescent="0.2">
      <c r="A14" s="87">
        <v>500313</v>
      </c>
      <c r="B14" s="90"/>
      <c r="C14" s="90">
        <v>1826</v>
      </c>
      <c r="D14" s="90">
        <f t="shared" si="0"/>
        <v>1826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128849+9000</f>
        <v>137849</v>
      </c>
      <c r="C16" s="90"/>
      <c r="D16" s="90">
        <f t="shared" si="0"/>
        <v>-137849</v>
      </c>
      <c r="E16" s="275"/>
      <c r="F16" s="273"/>
    </row>
    <row r="17" spans="1:7" x14ac:dyDescent="0.2">
      <c r="A17" s="87">
        <v>500657</v>
      </c>
      <c r="B17" s="88">
        <f>66484+4913</f>
        <v>71397</v>
      </c>
      <c r="C17" s="88">
        <v>32848</v>
      </c>
      <c r="D17" s="94">
        <f t="shared" si="0"/>
        <v>-38549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-6471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-13459.68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37306</v>
      </c>
      <c r="B24" s="88"/>
      <c r="C24" s="88"/>
      <c r="D24" s="318">
        <f>+D22+D20</f>
        <v>108157.26000000001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37306</v>
      </c>
      <c r="B30" s="32"/>
      <c r="C30" s="32"/>
      <c r="D30" s="349">
        <f>+D18</f>
        <v>-6471</v>
      </c>
    </row>
    <row r="31" spans="1:7" x14ac:dyDescent="0.2">
      <c r="A31" s="32"/>
      <c r="B31" s="32"/>
      <c r="C31" s="32"/>
      <c r="D31" s="14">
        <f>+D30+D29</f>
        <v>64181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C43" sqref="C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38814</v>
      </c>
      <c r="C22" s="11">
        <v>39089</v>
      </c>
      <c r="D22" s="11">
        <v>29393</v>
      </c>
      <c r="E22" s="11">
        <v>31023</v>
      </c>
      <c r="F22" s="25">
        <f t="shared" si="2"/>
        <v>1905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837411</v>
      </c>
      <c r="C35" s="11">
        <f>SUM(C4:C34)</f>
        <v>843135</v>
      </c>
      <c r="D35" s="11">
        <f>SUM(D4:D34)</f>
        <v>414087</v>
      </c>
      <c r="E35" s="11">
        <f>SUM(E4:E34)</f>
        <v>414397</v>
      </c>
      <c r="F35" s="11">
        <f>+E35-D35+C35-B35</f>
        <v>6034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2.08</v>
      </c>
    </row>
    <row r="38" spans="1:7" x14ac:dyDescent="0.2">
      <c r="C38" s="48"/>
      <c r="D38" s="47"/>
      <c r="E38" s="48"/>
      <c r="F38" s="46">
        <f>+F37*F35</f>
        <v>12550.720000000001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37306</v>
      </c>
      <c r="C41" s="106"/>
      <c r="D41" s="106"/>
      <c r="E41" s="106"/>
      <c r="F41" s="106">
        <f>+F38+F40</f>
        <v>464068.77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37306</v>
      </c>
      <c r="D47" s="349">
        <f>+F35</f>
        <v>6034</v>
      </c>
      <c r="E47" s="11"/>
      <c r="F47" s="11"/>
      <c r="G47" s="25"/>
    </row>
    <row r="48" spans="1:7" x14ac:dyDescent="0.2">
      <c r="D48" s="14">
        <f>+D47+D46</f>
        <v>19718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-29049.280000000002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37305</v>
      </c>
      <c r="D43" s="196">
        <f>+D42+D41</f>
        <v>-374.28000000000247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37305</v>
      </c>
      <c r="B49" s="32"/>
      <c r="C49" s="32"/>
      <c r="D49" s="349">
        <f>+D39</f>
        <v>-13966</v>
      </c>
    </row>
    <row r="50" spans="1:4" x14ac:dyDescent="0.2">
      <c r="A50" s="32"/>
      <c r="B50" s="32"/>
      <c r="C50" s="32"/>
      <c r="D50" s="14">
        <f>+D49+D48</f>
        <v>-56126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37304</v>
      </c>
      <c r="I7" s="3" t="s">
        <v>255</v>
      </c>
      <c r="J7" s="15"/>
    </row>
    <row r="8" spans="1:14" x14ac:dyDescent="0.2">
      <c r="A8" s="248">
        <v>50895</v>
      </c>
      <c r="B8" s="339">
        <f>3531-3455</f>
        <v>76</v>
      </c>
      <c r="J8" s="15"/>
    </row>
    <row r="9" spans="1:14" x14ac:dyDescent="0.2">
      <c r="A9" s="248">
        <v>60874</v>
      </c>
      <c r="B9" s="339">
        <v>1681</v>
      </c>
      <c r="J9" s="15"/>
    </row>
    <row r="10" spans="1:14" x14ac:dyDescent="0.2">
      <c r="A10" s="248">
        <v>78169</v>
      </c>
      <c r="B10" s="339">
        <f>274057-243484-15678-20163</f>
        <v>-5268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">
      <c r="G41" s="32"/>
      <c r="H41" s="15"/>
      <c r="I41" s="32"/>
    </row>
    <row r="42" spans="1:9" x14ac:dyDescent="0.2">
      <c r="A42" s="245">
        <v>37304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1455</v>
      </c>
      <c r="G45" s="32"/>
      <c r="H45" s="380"/>
      <c r="I45" s="14"/>
    </row>
    <row r="46" spans="1:9" x14ac:dyDescent="0.2">
      <c r="B46" s="14">
        <f>SUM(B43:B45)</f>
        <v>2635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">
      <c r="C48" s="321">
        <f>+C47+C40</f>
        <v>861356.9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2710616.0100000002</v>
      </c>
      <c r="I57" s="14">
        <f>SUM(I40:I54)</f>
        <v>721677</v>
      </c>
    </row>
    <row r="61" spans="1:9" x14ac:dyDescent="0.2">
      <c r="C61" s="15">
        <f>+DEFS!F49</f>
        <v>-2839606.16</v>
      </c>
    </row>
    <row r="62" spans="1:9" x14ac:dyDescent="0.2">
      <c r="C62" s="15">
        <f>+C61+C57</f>
        <v>-128990.14999999991</v>
      </c>
      <c r="I62" s="31">
        <f>+I57+DEFS!K49</f>
        <v>267065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861356.9</v>
      </c>
      <c r="C74" s="14">
        <f>+H40</f>
        <v>196070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">
      <c r="F53" s="104">
        <f>+F51+F49</f>
        <v>-128990.14999999991</v>
      </c>
      <c r="M53" s="16">
        <f>+M51+K49</f>
        <v>267065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-157443</v>
      </c>
      <c r="C74" s="247">
        <f>+E40</f>
        <v>-631850.02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196070</v>
      </c>
      <c r="C77" s="259">
        <f>+Duke!C48</f>
        <v>861356.9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">
      <c r="B81" s="31">
        <f>SUM(B68:B80)</f>
        <v>267065</v>
      </c>
      <c r="C81" s="259">
        <f>SUM(C68:C80)</f>
        <v>-128990.14999999991</v>
      </c>
    </row>
    <row r="82" spans="2:3" x14ac:dyDescent="0.2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-14759.68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">
      <c r="A49" s="32"/>
      <c r="B49" s="32"/>
      <c r="C49" s="32"/>
      <c r="D49" s="14">
        <f>+D48+D47</f>
        <v>128323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">
      <c r="A49" s="32"/>
      <c r="B49" s="32"/>
      <c r="C49" s="32"/>
      <c r="D49" s="14">
        <f>+D48+D47</f>
        <v>-360970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C41" sqref="C41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2.09</v>
      </c>
      <c r="J3" s="373">
        <f ca="1">NOW()</f>
        <v>41885.682810995371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2.08</v>
      </c>
    </row>
    <row r="5" spans="1:33" ht="15" customHeight="1" x14ac:dyDescent="0.2">
      <c r="B5" s="553"/>
      <c r="F5" s="549" t="s">
        <v>117</v>
      </c>
      <c r="G5" s="550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879575.44</v>
      </c>
      <c r="C8" s="275">
        <f>+B8/$G$4</f>
        <v>422872.80769230763</v>
      </c>
      <c r="D8" s="364">
        <f>+PNM!A23</f>
        <v>37306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464068.77</v>
      </c>
      <c r="C9" s="275">
        <f>+B9/$G$4</f>
        <v>223109.98557692309</v>
      </c>
      <c r="D9" s="363">
        <f>+Conoco!A41</f>
        <v>37306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360738.56</v>
      </c>
      <c r="C10" s="275">
        <f>+Mojave!D40</f>
        <v>173432</v>
      </c>
      <c r="D10" s="364">
        <f>+Mojave!A40</f>
        <v>37306</v>
      </c>
      <c r="E10" s="32" t="s">
        <v>84</v>
      </c>
      <c r="F10" s="32" t="s">
        <v>153</v>
      </c>
      <c r="G10" s="32" t="s">
        <v>100</v>
      </c>
      <c r="H10" s="610" t="s">
        <v>314</v>
      </c>
      <c r="I10" s="610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328563.40000000002</v>
      </c>
      <c r="C11" s="275">
        <f>+B11/$G$4</f>
        <v>157963.17307692309</v>
      </c>
      <c r="D11" s="364">
        <f>+KN_Westar!A41</f>
        <v>37305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186353.44</v>
      </c>
      <c r="C13" s="275">
        <f>+NGPL!H38</f>
        <v>89593</v>
      </c>
      <c r="D13" s="364">
        <f>+NGPL!A38</f>
        <v>37306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172974.90000000002</v>
      </c>
      <c r="C14" s="275">
        <f>+B14/$G$5</f>
        <v>83161.009615384624</v>
      </c>
      <c r="D14" s="364">
        <f>+Dominion!A41</f>
        <v>37306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3</v>
      </c>
      <c r="B15" s="345">
        <f>+'Amoco Abo'!$F$43</f>
        <v>167603.75</v>
      </c>
      <c r="C15" s="275">
        <f>+B15/$G$4</f>
        <v>80578.725961538454</v>
      </c>
      <c r="D15" s="364">
        <f>+'Amoco Abo'!A43</f>
        <v>37305</v>
      </c>
      <c r="E15" s="32" t="s">
        <v>85</v>
      </c>
      <c r="F15" s="32" t="s">
        <v>152</v>
      </c>
      <c r="G15" s="32" t="s">
        <v>115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166015.20000000001</v>
      </c>
      <c r="C16" s="206">
        <f>+SoCal!F40</f>
        <v>79815</v>
      </c>
      <c r="D16" s="363">
        <f>+SoCal!A40</f>
        <v>37306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143000.64000000001</v>
      </c>
      <c r="C17" s="206">
        <f>+B17/$G$5</f>
        <v>68750.307692307702</v>
      </c>
      <c r="D17" s="363">
        <f>+EPFS!A41</f>
        <v>37306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129690.76999999999</v>
      </c>
      <c r="C18" s="347">
        <f>+'Red C'!$F$45</f>
        <v>62053</v>
      </c>
      <c r="D18" s="363">
        <f>+'Red C'!A45</f>
        <v>37306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+Agave!$D$24</f>
        <v>108157.26000000001</v>
      </c>
      <c r="C19" s="462">
        <f>+B19/$G$4</f>
        <v>51998.682692307695</v>
      </c>
      <c r="D19" s="461">
        <f>+Agave!A24</f>
        <v>37306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139</v>
      </c>
      <c r="B21" s="345">
        <f>+'Citizens-Griffith'!D41</f>
        <v>96384.12000000001</v>
      </c>
      <c r="C21" s="275">
        <f>+B21/$G$4</f>
        <v>46338.519230769234</v>
      </c>
      <c r="D21" s="363">
        <f>+'Citizens-Griffith'!A41</f>
        <v>37306</v>
      </c>
      <c r="E21" s="204" t="s">
        <v>85</v>
      </c>
      <c r="F21" s="204" t="s">
        <v>300</v>
      </c>
      <c r="G21" s="204" t="s">
        <v>99</v>
      </c>
      <c r="H21" s="204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114</v>
      </c>
      <c r="B23" s="345">
        <f>+C23*$G$4</f>
        <v>87416.16</v>
      </c>
      <c r="C23" s="206">
        <f>+'PG&amp;E'!D40</f>
        <v>42027</v>
      </c>
      <c r="D23" s="364">
        <f>+'PG&amp;E'!A40</f>
        <v>37306</v>
      </c>
      <c r="E23" s="32" t="s">
        <v>84</v>
      </c>
      <c r="F23" s="32" t="s">
        <v>153</v>
      </c>
      <c r="G23" s="32" t="s">
        <v>102</v>
      </c>
      <c r="H23" s="32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33</v>
      </c>
      <c r="B28" s="345">
        <f>+'El Paso'!C39*summary!G4+'El Paso'!E39*summary!G3</f>
        <v>48144.180000000022</v>
      </c>
      <c r="C28" s="275">
        <f>+'El Paso'!H39</f>
        <v>23343</v>
      </c>
      <c r="D28" s="363">
        <f>+'El Paso'!A39</f>
        <v>37306</v>
      </c>
      <c r="E28" s="204" t="s">
        <v>84</v>
      </c>
      <c r="F28" s="204" t="s">
        <v>153</v>
      </c>
      <c r="G28" s="204" t="s">
        <v>100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109</v>
      </c>
      <c r="B29" s="345">
        <f>+Continental!F43</f>
        <v>46769.48</v>
      </c>
      <c r="C29" s="206">
        <f>+B29/$G$4</f>
        <v>22485.326923076926</v>
      </c>
      <c r="D29" s="363">
        <f>+Continental!A43</f>
        <v>37305</v>
      </c>
      <c r="E29" s="204" t="s">
        <v>85</v>
      </c>
      <c r="F29" s="204" t="s">
        <v>153</v>
      </c>
      <c r="G29" s="204" t="s">
        <v>115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610" t="s">
        <v>314</v>
      </c>
      <c r="I30" s="610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4" customFormat="1" ht="13.5" customHeight="1" x14ac:dyDescent="0.2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5" customHeight="1" x14ac:dyDescent="0.2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">
      <c r="A36" s="32" t="s">
        <v>96</v>
      </c>
      <c r="B36" s="47">
        <f>SUM(B8:B35)</f>
        <v>4257409.25</v>
      </c>
      <c r="C36" s="69">
        <f>SUM(C8:C35)</f>
        <v>2046729.7980769235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5" customFormat="1" ht="13.5" customHeight="1" x14ac:dyDescent="0.2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4" customFormat="1" ht="13.5" customHeight="1" x14ac:dyDescent="0.2">
      <c r="A45" s="32" t="s">
        <v>277</v>
      </c>
      <c r="B45" s="345">
        <f>+SWGasTrans!$D$41</f>
        <v>-27828.129999999997</v>
      </c>
      <c r="C45" s="275">
        <f>+B45/$G$4</f>
        <v>-13378.908653846152</v>
      </c>
      <c r="D45" s="363">
        <f>+SWGasTrans!A41</f>
        <v>37305</v>
      </c>
      <c r="E45" s="32" t="s">
        <v>85</v>
      </c>
      <c r="F45" s="32" t="s">
        <v>152</v>
      </c>
      <c r="G45" s="32" t="s">
        <v>99</v>
      </c>
      <c r="H45" s="32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">
      <c r="A46" s="204" t="s">
        <v>203</v>
      </c>
      <c r="B46" s="346">
        <f>+WTGmktg!J43</f>
        <v>-24888.649999999994</v>
      </c>
      <c r="C46" s="206">
        <f>+B46/$G$4</f>
        <v>-11965.697115384612</v>
      </c>
      <c r="D46" s="363">
        <f>+WTGmktg!A43</f>
        <v>37305</v>
      </c>
      <c r="E46" s="32" t="s">
        <v>85</v>
      </c>
      <c r="F46" s="204" t="s">
        <v>152</v>
      </c>
      <c r="G46" s="204" t="s">
        <v>115</v>
      </c>
      <c r="H46" s="204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">
      <c r="A47" s="32" t="s">
        <v>1</v>
      </c>
      <c r="B47" s="345">
        <f>+C47*$G$3</f>
        <v>-21924.1</v>
      </c>
      <c r="C47" s="206">
        <f>+NW!$F$41</f>
        <v>-10490</v>
      </c>
      <c r="D47" s="363">
        <f>+NW!B41</f>
        <v>37305</v>
      </c>
      <c r="E47" s="32" t="s">
        <v>84</v>
      </c>
      <c r="F47" s="32" t="s">
        <v>152</v>
      </c>
      <c r="G47" s="32" t="s">
        <v>115</v>
      </c>
      <c r="H47" s="351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28</v>
      </c>
      <c r="B48" s="345">
        <f>+C48*$G$3</f>
        <v>-18950.03</v>
      </c>
      <c r="C48" s="275">
        <f>+williams!J40</f>
        <v>-9067</v>
      </c>
      <c r="D48" s="363">
        <f>+williams!A40</f>
        <v>37306</v>
      </c>
      <c r="E48" s="204" t="s">
        <v>85</v>
      </c>
      <c r="F48" s="204" t="s">
        <v>153</v>
      </c>
      <c r="G48" s="204" t="s">
        <v>290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204" t="s">
        <v>71</v>
      </c>
      <c r="B52" s="605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SUM(B39:B52)</f>
        <v>-1469401.4599999993</v>
      </c>
      <c r="C53" s="206">
        <f>SUM(C39:C52)</f>
        <v>-706198.11878910533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+B53+B36</f>
        <v>2788007.790000001</v>
      </c>
      <c r="C55" s="354">
        <f>+C53+C36</f>
        <v>1340531.6792878183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0" workbookViewId="0">
      <selection activeCell="C32" sqref="C3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-69310-3578</f>
        <v>-72888</v>
      </c>
      <c r="C5" s="90">
        <v>-38202</v>
      </c>
      <c r="D5" s="90">
        <f t="shared" ref="D5:D13" si="0">+C5-B5</f>
        <v>34686</v>
      </c>
      <c r="E5" s="69"/>
      <c r="F5" s="201"/>
    </row>
    <row r="6" spans="1:11" x14ac:dyDescent="0.2">
      <c r="A6" s="87">
        <v>9238</v>
      </c>
      <c r="B6" s="90">
        <f>-16006-327</f>
        <v>-16333</v>
      </c>
      <c r="C6" s="90">
        <v>-19000</v>
      </c>
      <c r="D6" s="90">
        <f t="shared" si="0"/>
        <v>-2667</v>
      </c>
      <c r="E6" s="275"/>
      <c r="F6" s="201"/>
      <c r="K6" s="65"/>
    </row>
    <row r="7" spans="1:11" x14ac:dyDescent="0.2">
      <c r="A7" s="87">
        <v>56422</v>
      </c>
      <c r="B7" s="90">
        <f>-1545820-79636</f>
        <v>-1625456</v>
      </c>
      <c r="C7" s="90">
        <v>-1440522</v>
      </c>
      <c r="D7" s="90">
        <f t="shared" si="0"/>
        <v>184934</v>
      </c>
      <c r="E7" s="275"/>
      <c r="F7" s="201"/>
    </row>
    <row r="8" spans="1:11" x14ac:dyDescent="0.2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1" x14ac:dyDescent="0.2">
      <c r="A9" s="87">
        <v>60921</v>
      </c>
      <c r="B9" s="90">
        <f>-1154600-66220</f>
        <v>-1220820</v>
      </c>
      <c r="C9" s="90">
        <v>-1364036</v>
      </c>
      <c r="D9" s="90">
        <f t="shared" si="0"/>
        <v>-143216</v>
      </c>
      <c r="E9" s="275"/>
      <c r="F9" s="201"/>
    </row>
    <row r="10" spans="1:11" x14ac:dyDescent="0.2">
      <c r="A10" s="87">
        <v>78026</v>
      </c>
      <c r="B10" s="90"/>
      <c r="C10" s="90">
        <v>10450</v>
      </c>
      <c r="D10" s="90">
        <f t="shared" si="0"/>
        <v>10450</v>
      </c>
      <c r="E10" s="275"/>
      <c r="F10" s="465"/>
    </row>
    <row r="11" spans="1:11" x14ac:dyDescent="0.2">
      <c r="A11" s="87">
        <v>500084</v>
      </c>
      <c r="B11" s="90">
        <f>-34486-3231</f>
        <v>-37717</v>
      </c>
      <c r="C11" s="90">
        <v>-57000</v>
      </c>
      <c r="D11" s="90">
        <f t="shared" si="0"/>
        <v>-19283</v>
      </c>
      <c r="E11" s="276"/>
      <c r="F11" s="465"/>
    </row>
    <row r="12" spans="1:11" x14ac:dyDescent="0.2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">
      <c r="A13" s="87">
        <v>500097</v>
      </c>
      <c r="B13" s="90">
        <f>-56495-2000</f>
        <v>-58495</v>
      </c>
      <c r="C13" s="90">
        <v>-78961</v>
      </c>
      <c r="D13" s="90">
        <f t="shared" si="0"/>
        <v>-20466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21265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44231.200000000004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37306</v>
      </c>
      <c r="B23" s="88"/>
      <c r="C23" s="88"/>
      <c r="D23" s="318">
        <f>+D21+D19</f>
        <v>879575.44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37306</v>
      </c>
      <c r="B29" s="32"/>
      <c r="C29" s="32"/>
      <c r="D29" s="349">
        <f>+D17</f>
        <v>21265</v>
      </c>
    </row>
    <row r="30" spans="1:7" x14ac:dyDescent="0.2">
      <c r="A30" s="32"/>
      <c r="B30" s="32"/>
      <c r="C30" s="32"/>
      <c r="D30" s="14">
        <f>+D29+D28</f>
        <v>361486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A40" sqref="A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731238</v>
      </c>
      <c r="C34" s="287">
        <f t="shared" si="2"/>
        <v>723197</v>
      </c>
      <c r="D34" s="14">
        <f t="shared" si="2"/>
        <v>-3456</v>
      </c>
      <c r="E34" s="14">
        <f t="shared" si="2"/>
        <v>-31360</v>
      </c>
      <c r="F34" s="14">
        <f t="shared" si="2"/>
        <v>499929</v>
      </c>
      <c r="G34" s="14">
        <f t="shared" si="2"/>
        <v>490001</v>
      </c>
      <c r="H34" s="14">
        <f t="shared" si="2"/>
        <v>-45873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37306</v>
      </c>
      <c r="B38" s="14"/>
      <c r="C38" s="14"/>
      <c r="D38" s="14"/>
      <c r="E38" s="14"/>
      <c r="F38" s="14"/>
      <c r="G38" s="14"/>
      <c r="H38" s="150">
        <f>+H37+H34</f>
        <v>89593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37306</v>
      </c>
      <c r="B44" s="32"/>
      <c r="C44" s="32"/>
      <c r="D44" s="374">
        <f>+H34*'by type_area'!G4</f>
        <v>-95415.84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240351.71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8" workbookViewId="0">
      <selection activeCell="C36" sqref="C3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-373990</v>
      </c>
      <c r="C35" s="11">
        <f>SUM(C4:C34)</f>
        <v>-378517</v>
      </c>
      <c r="D35" s="11">
        <f>SUM(D4:D34)</f>
        <v>-4527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37306</v>
      </c>
      <c r="D40" s="51">
        <f>+D38+D35</f>
        <v>173432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37306</v>
      </c>
      <c r="B46" s="32"/>
      <c r="C46" s="32"/>
      <c r="D46" s="374">
        <f>+D35*'by type_area'!G4</f>
        <v>-9416.16</v>
      </c>
    </row>
    <row r="47" spans="1:4" x14ac:dyDescent="0.2">
      <c r="A47" s="32"/>
      <c r="B47" s="32"/>
      <c r="C47" s="32"/>
      <c r="D47" s="200">
        <f>+D46+D45</f>
        <v>171959.84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43" workbookViewId="0">
      <selection activeCell="E42" sqref="E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-302614</v>
      </c>
      <c r="E37" s="24">
        <f>SUM(E6:E36)</f>
        <v>-303074</v>
      </c>
      <c r="F37" s="24">
        <f>SUM(F6:F36)</f>
        <v>-460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-956.80000000000007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37305</v>
      </c>
      <c r="E41" s="14"/>
      <c r="F41" s="104">
        <f>+F40+F39</f>
        <v>328563.40000000002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37305</v>
      </c>
      <c r="B47" s="32"/>
      <c r="C47" s="32"/>
      <c r="D47" s="349">
        <f>+F37</f>
        <v>-460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3979.04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37305</v>
      </c>
      <c r="C43" s="48"/>
      <c r="F43" s="138">
        <f>+F42+F41</f>
        <v>46769.48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37305</v>
      </c>
      <c r="B49" s="32"/>
      <c r="C49" s="32"/>
      <c r="D49" s="349">
        <f>+F39</f>
        <v>1913</v>
      </c>
    </row>
    <row r="50" spans="1:4" x14ac:dyDescent="0.2">
      <c r="A50" s="32"/>
      <c r="B50" s="32"/>
      <c r="C50" s="32"/>
      <c r="D50" s="14">
        <f>+D49+D48</f>
        <v>6494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52802.880000000005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37305</v>
      </c>
      <c r="C41" s="48"/>
      <c r="D41" s="138">
        <f>+D40+D39</f>
        <v>50582.880000000005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37305</v>
      </c>
      <c r="B46" s="32"/>
      <c r="C46" s="32"/>
      <c r="D46" s="349">
        <f>+D37</f>
        <v>25386</v>
      </c>
    </row>
    <row r="47" spans="1:4" x14ac:dyDescent="0.2">
      <c r="A47" s="32"/>
      <c r="B47" s="32"/>
      <c r="C47" s="32"/>
      <c r="D47" s="14">
        <f>+D46+D45</f>
        <v>111418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6" sqref="C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41201</v>
      </c>
      <c r="C24" s="11">
        <v>40108</v>
      </c>
      <c r="D24" s="25">
        <f t="shared" si="0"/>
        <v>-1093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685094</v>
      </c>
      <c r="C37" s="11">
        <f>SUM(C6:C36)</f>
        <v>705327</v>
      </c>
      <c r="D37" s="25">
        <f>SUM(D6:D36)</f>
        <v>20233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42084.639999999999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37306</v>
      </c>
      <c r="C41" s="48"/>
      <c r="D41" s="138">
        <f>+D40+D39</f>
        <v>143000.64000000001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37306</v>
      </c>
      <c r="B46" s="32"/>
      <c r="C46" s="32"/>
      <c r="D46" s="349">
        <f>+D37</f>
        <v>20233</v>
      </c>
    </row>
    <row r="47" spans="1:4" x14ac:dyDescent="0.2">
      <c r="A47" s="32"/>
      <c r="B47" s="32"/>
      <c r="C47" s="32"/>
      <c r="D47" s="14">
        <f>+D46+D45</f>
        <v>82465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4" workbookViewId="0">
      <selection activeCell="B22" sqref="B2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301502</v>
      </c>
      <c r="C22" s="11">
        <v>302180</v>
      </c>
      <c r="D22" s="11"/>
      <c r="E22" s="11">
        <v>4734</v>
      </c>
      <c r="F22" s="11">
        <v>35147</v>
      </c>
      <c r="G22" s="11">
        <v>35103</v>
      </c>
      <c r="H22" s="11">
        <v>120094</v>
      </c>
      <c r="I22" s="11">
        <v>125238</v>
      </c>
      <c r="J22" s="11">
        <f t="shared" si="0"/>
        <v>10512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5866000</v>
      </c>
      <c r="C35" s="11">
        <f t="shared" ref="C35:I35" si="3">SUM(C4:C34)</f>
        <v>5903575</v>
      </c>
      <c r="D35" s="11">
        <f t="shared" si="3"/>
        <v>421386</v>
      </c>
      <c r="E35" s="11">
        <f t="shared" si="3"/>
        <v>419512</v>
      </c>
      <c r="F35" s="11">
        <f t="shared" si="3"/>
        <v>725541</v>
      </c>
      <c r="G35" s="11">
        <f t="shared" si="3"/>
        <v>697362</v>
      </c>
      <c r="H35" s="11">
        <f t="shared" si="3"/>
        <v>2366136</v>
      </c>
      <c r="I35" s="11">
        <f t="shared" si="3"/>
        <v>2349547</v>
      </c>
      <c r="J35" s="11">
        <f>SUM(J4:J34)</f>
        <v>-9067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37306</v>
      </c>
      <c r="J40" s="51">
        <f>+J38+J35</f>
        <v>-9067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37306</v>
      </c>
      <c r="B47" s="32"/>
      <c r="C47" s="32"/>
      <c r="D47" s="374">
        <f>+J35*'by type_area'!G3</f>
        <v>-18950.03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-18950.03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11298.56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37305</v>
      </c>
      <c r="C41" s="48"/>
      <c r="D41" s="138">
        <f>+D40+D39</f>
        <v>12824.599999999999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37305</v>
      </c>
      <c r="B47" s="32"/>
      <c r="C47" s="32"/>
      <c r="D47" s="349">
        <f>+D37</f>
        <v>5432</v>
      </c>
    </row>
    <row r="48" spans="1:4" x14ac:dyDescent="0.2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23046.400000000001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37305</v>
      </c>
      <c r="C41" s="48"/>
      <c r="D41" s="138">
        <f>+D40+D39</f>
        <v>-269782.59999999998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37305</v>
      </c>
      <c r="B49" s="32"/>
      <c r="C49" s="32"/>
      <c r="D49" s="349">
        <f>+D37</f>
        <v>11080</v>
      </c>
    </row>
    <row r="50" spans="1:4" x14ac:dyDescent="0.2">
      <c r="A50" s="32"/>
      <c r="B50" s="32"/>
      <c r="C50" s="32"/>
      <c r="D50" s="14">
        <f>+D49+D48</f>
        <v>-3264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-69204</v>
      </c>
      <c r="C24" s="11">
        <v>-54999</v>
      </c>
      <c r="D24" s="25">
        <f t="shared" si="0"/>
        <v>14205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-899147</v>
      </c>
      <c r="C37" s="11">
        <f>SUM(C6:C36)</f>
        <v>-864168</v>
      </c>
      <c r="D37" s="25">
        <f>SUM(D6:D36)</f>
        <v>34979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72756.320000000007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37306</v>
      </c>
      <c r="C41" s="48"/>
      <c r="D41" s="138">
        <f>+D40+D39</f>
        <v>96384.12000000001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37306</v>
      </c>
      <c r="B47" s="32"/>
      <c r="C47" s="32"/>
      <c r="D47" s="349">
        <f>+D37</f>
        <v>34979</v>
      </c>
    </row>
    <row r="48" spans="1:4" x14ac:dyDescent="0.2">
      <c r="A48" s="32"/>
      <c r="B48" s="32"/>
      <c r="C48" s="32"/>
      <c r="D48" s="14">
        <f>+D47+D46</f>
        <v>49921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-7782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-7782</v>
      </c>
    </row>
    <row r="24" spans="1:7" x14ac:dyDescent="0.2">
      <c r="A24" s="49">
        <f>+A18</f>
        <v>37304</v>
      </c>
      <c r="B24" s="32"/>
      <c r="C24" s="32"/>
      <c r="D24" s="14">
        <f>+D23+D22</f>
        <v>-49205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37305</v>
      </c>
      <c r="C41" s="48"/>
      <c r="D41" s="25">
        <f>+D40+D37</f>
        <v>23751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225</v>
      </c>
      <c r="C24" s="11">
        <v>150</v>
      </c>
      <c r="D24" s="25">
        <f t="shared" si="0"/>
        <v>-75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3628</v>
      </c>
      <c r="C37" s="11">
        <f>SUM(C6:C36)</f>
        <v>2850</v>
      </c>
      <c r="D37" s="25">
        <f>SUM(D6:D36)</f>
        <v>-778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-1618.24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37306</v>
      </c>
      <c r="C41" s="48"/>
      <c r="D41" s="138">
        <f>+D40+D39</f>
        <v>172974.90000000002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37306</v>
      </c>
      <c r="B47" s="32"/>
      <c r="C47" s="32"/>
      <c r="D47" s="349">
        <f>+D37</f>
        <v>-778</v>
      </c>
    </row>
    <row r="48" spans="1:4" x14ac:dyDescent="0.2">
      <c r="A48" s="32"/>
      <c r="B48" s="32"/>
      <c r="C48" s="32"/>
      <c r="D48" s="14">
        <f>+D47+D46</f>
        <v>75612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-8941.92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37305</v>
      </c>
      <c r="C41" s="48"/>
      <c r="D41" s="138">
        <f>+D40+D39</f>
        <v>-8941.92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37305</v>
      </c>
      <c r="B47" s="32"/>
      <c r="C47" s="32"/>
      <c r="D47" s="349">
        <f>+D37</f>
        <v>-4299</v>
      </c>
    </row>
    <row r="48" spans="1:4" x14ac:dyDescent="0.2">
      <c r="A48" s="32"/>
      <c r="B48" s="32"/>
      <c r="C48" s="32"/>
      <c r="D48" s="14">
        <f>+D47+D46</f>
        <v>-4299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-648.96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37305</v>
      </c>
      <c r="C41" s="48"/>
      <c r="D41" s="138">
        <f>+D40+D39</f>
        <v>-27828.129999999997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37305</v>
      </c>
      <c r="B47" s="32"/>
      <c r="C47" s="32"/>
      <c r="D47" s="349">
        <f>+D37</f>
        <v>-312</v>
      </c>
    </row>
    <row r="48" spans="1:4" x14ac:dyDescent="0.2">
      <c r="A48" s="32"/>
      <c r="B48" s="32"/>
      <c r="C48" s="32"/>
      <c r="D48" s="14">
        <f>+D47+D46</f>
        <v>-324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2.08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">
      <c r="A39" s="26"/>
      <c r="C39" s="14"/>
      <c r="D39" s="106">
        <f>+summary!G3</f>
        <v>2.09</v>
      </c>
    </row>
    <row r="40" spans="1:8" x14ac:dyDescent="0.2">
      <c r="D40" s="138">
        <f>+D39*D38</f>
        <v>4694.1399999999994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37305</v>
      </c>
      <c r="D42" s="319">
        <f>+D41+D40</f>
        <v>-56909.22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37305</v>
      </c>
      <c r="B48" s="32"/>
      <c r="C48" s="32"/>
      <c r="D48" s="349">
        <f>+D38</f>
        <v>2246</v>
      </c>
    </row>
    <row r="49" spans="1:4" x14ac:dyDescent="0.2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6" sqref="C46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-4646022</v>
      </c>
      <c r="C35" s="11">
        <f>SUM(C4:C34)</f>
        <v>-4632717</v>
      </c>
      <c r="D35" s="11">
        <f>SUM(D4:D34)</f>
        <v>13305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37306</v>
      </c>
      <c r="D40" s="51">
        <f>+D38+D35</f>
        <v>42027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37306</v>
      </c>
      <c r="B46" s="32"/>
      <c r="C46" s="32"/>
      <c r="D46" s="374">
        <f>+D35*'by type_area'!G4</f>
        <v>27674.400000000001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-115994.6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7" sqref="D4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-11550534</v>
      </c>
      <c r="C35" s="11">
        <f>SUM(C4:C34)</f>
        <v>-11564731</v>
      </c>
      <c r="D35" s="11">
        <f>SUM(D4:D34)</f>
        <v>0</v>
      </c>
      <c r="E35" s="11">
        <f>SUM(E4:E34)</f>
        <v>0</v>
      </c>
      <c r="F35" s="11">
        <f>SUM(F4:F34)</f>
        <v>-14197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37306</v>
      </c>
      <c r="D40" s="246"/>
      <c r="E40" s="246"/>
      <c r="F40" s="51">
        <f>+F38+F35</f>
        <v>79815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37306</v>
      </c>
      <c r="B46" s="32"/>
      <c r="C46" s="32"/>
      <c r="D46" s="472">
        <f>+F35*'by type_area'!G4</f>
        <v>-29529.760000000002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280738.24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7" sqref="E4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-6232148</v>
      </c>
      <c r="E36" s="11">
        <f t="shared" si="15"/>
        <v>-6287682</v>
      </c>
      <c r="F36" s="11">
        <f t="shared" si="15"/>
        <v>0</v>
      </c>
      <c r="G36" s="11">
        <f t="shared" si="15"/>
        <v>0</v>
      </c>
      <c r="H36" s="11">
        <f t="shared" si="15"/>
        <v>-55534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-55534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37306</v>
      </c>
      <c r="B39" s="2" t="s">
        <v>45</v>
      </c>
      <c r="C39" s="131">
        <f>+C38+C37</f>
        <v>64269</v>
      </c>
      <c r="D39" s="252"/>
      <c r="E39" s="131">
        <f>+E38+E37</f>
        <v>-40926</v>
      </c>
      <c r="F39" s="252"/>
      <c r="G39" s="131"/>
      <c r="H39" s="131">
        <f>+H38+H36</f>
        <v>23343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37306</v>
      </c>
      <c r="B45" s="32"/>
      <c r="C45" s="47">
        <f>+C37*summary!G4</f>
        <v>0</v>
      </c>
      <c r="D45" s="205"/>
      <c r="E45" s="376">
        <f>+E37*summary!G3</f>
        <v>-116066.06</v>
      </c>
      <c r="F45" s="47">
        <f>+E45+C45</f>
        <v>-116066.06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37306</v>
      </c>
      <c r="I23" s="11">
        <f>+B39</f>
        <v>3503384</v>
      </c>
      <c r="J23" s="11">
        <f>+C39</f>
        <v>3535046</v>
      </c>
      <c r="K23" s="11">
        <f>+D39</f>
        <v>274057</v>
      </c>
      <c r="L23" s="11">
        <f>+E39</f>
        <v>274376</v>
      </c>
      <c r="M23" s="42">
        <f>+J23-I23+L23-K23</f>
        <v>31981</v>
      </c>
      <c r="N23" s="102">
        <f>+summary!G3</f>
        <v>2.09</v>
      </c>
      <c r="O23" s="496">
        <f>+N23*M23</f>
        <v>66840.289999999994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121781</v>
      </c>
      <c r="N24" s="102"/>
      <c r="O24" s="102">
        <f>SUM(O9:O23)</f>
        <v>634956.63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20051</v>
      </c>
      <c r="E26" s="11">
        <v>20372</v>
      </c>
      <c r="F26" s="11">
        <f t="shared" si="5"/>
        <v>-223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3503384</v>
      </c>
      <c r="C39" s="150">
        <f>SUM(C8:C38)</f>
        <v>3535046</v>
      </c>
      <c r="D39" s="150">
        <f>SUM(D8:D38)</f>
        <v>274057</v>
      </c>
      <c r="E39" s="150">
        <f>SUM(E8:E38)</f>
        <v>274376</v>
      </c>
      <c r="F39" s="11">
        <f t="shared" si="5"/>
        <v>31981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37306</v>
      </c>
      <c r="B45" s="32"/>
      <c r="C45" s="106"/>
      <c r="D45" s="106"/>
      <c r="E45" s="106"/>
      <c r="F45" s="24">
        <f>+F44+F39</f>
        <v>62053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37306</v>
      </c>
      <c r="B51" s="32"/>
      <c r="C51" s="32"/>
      <c r="D51" s="349">
        <f>+F39*summary!G3</f>
        <v>66840.289999999994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476094.29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2002-02-13T20:45:31Z</cp:lastPrinted>
  <dcterms:created xsi:type="dcterms:W3CDTF">2000-03-28T16:52:23Z</dcterms:created>
  <dcterms:modified xsi:type="dcterms:W3CDTF">2014-09-03T14:23:15Z</dcterms:modified>
</cp:coreProperties>
</file>