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 s="1"/>
  <c r="B6" i="8"/>
  <c r="D6" i="8" s="1"/>
  <c r="B7" i="8"/>
  <c r="D7" i="8" s="1"/>
  <c r="B8" i="8"/>
  <c r="D8" i="8"/>
  <c r="B9" i="8"/>
  <c r="D9" i="8" s="1"/>
  <c r="D10" i="8"/>
  <c r="D11" i="8"/>
  <c r="B12" i="8"/>
  <c r="D12" i="8" s="1"/>
  <c r="B13" i="8"/>
  <c r="D13" i="8"/>
  <c r="D14" i="8"/>
  <c r="D15" i="8"/>
  <c r="B16" i="8"/>
  <c r="D16" i="8" s="1"/>
  <c r="B17" i="8"/>
  <c r="D17" i="8" s="1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8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D6" i="74"/>
  <c r="D7" i="74"/>
  <c r="D8" i="74"/>
  <c r="J8" i="74"/>
  <c r="D9" i="74"/>
  <c r="J9" i="74"/>
  <c r="L9" i="74" s="1"/>
  <c r="D10" i="74"/>
  <c r="J10" i="74"/>
  <c r="L10" i="74"/>
  <c r="D11" i="74"/>
  <c r="H11" i="74"/>
  <c r="J11" i="74" s="1"/>
  <c r="L11" i="74" s="1"/>
  <c r="D12" i="74"/>
  <c r="H12" i="74"/>
  <c r="J12" i="74" s="1"/>
  <c r="L12" i="74" s="1"/>
  <c r="D13" i="74"/>
  <c r="J13" i="74"/>
  <c r="L13" i="74"/>
  <c r="D14" i="74"/>
  <c r="D37" i="74" s="1"/>
  <c r="D46" i="74" s="1"/>
  <c r="D47" i="74" s="1"/>
  <c r="D12" i="80" s="1"/>
  <c r="J14" i="74"/>
  <c r="L14" i="74" s="1"/>
  <c r="D15" i="74"/>
  <c r="D16" i="74"/>
  <c r="D17" i="74"/>
  <c r="D18" i="74"/>
  <c r="D19" i="74"/>
  <c r="H19" i="74"/>
  <c r="I19" i="74"/>
  <c r="J19" i="74" s="1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A46" i="74"/>
  <c r="D8" i="72"/>
  <c r="D39" i="72" s="1"/>
  <c r="D48" i="72" s="1"/>
  <c r="D49" i="72" s="1"/>
  <c r="D82" i="80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B6" i="78"/>
  <c r="D6" i="78" s="1"/>
  <c r="D7" i="78"/>
  <c r="B8" i="78"/>
  <c r="D8" i="78" s="1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47" i="79" s="1"/>
  <c r="D48" i="79" s="1"/>
  <c r="D13" i="80" s="1"/>
  <c r="A46" i="79"/>
  <c r="A47" i="79"/>
  <c r="F4" i="13"/>
  <c r="K4" i="13"/>
  <c r="M4" i="13" s="1"/>
  <c r="F5" i="13"/>
  <c r="I5" i="13"/>
  <c r="J5" i="13"/>
  <c r="K5" i="13"/>
  <c r="M5" i="13" s="1"/>
  <c r="N5" i="13"/>
  <c r="N10" i="13" s="1"/>
  <c r="F6" i="13"/>
  <c r="I6" i="13"/>
  <c r="J6" i="13"/>
  <c r="K6" i="13" s="1"/>
  <c r="M6" i="13" s="1"/>
  <c r="N6" i="13"/>
  <c r="F7" i="13"/>
  <c r="I7" i="13"/>
  <c r="J7" i="13"/>
  <c r="N7" i="13"/>
  <c r="F8" i="13"/>
  <c r="I8" i="13"/>
  <c r="J8" i="13"/>
  <c r="K8" i="13"/>
  <c r="M8" i="13" s="1"/>
  <c r="N8" i="13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D47" i="87" s="1"/>
  <c r="D48" i="87" s="1"/>
  <c r="D42" i="80" s="1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D35" i="73"/>
  <c r="E35" i="73"/>
  <c r="H35" i="73"/>
  <c r="I35" i="73"/>
  <c r="I36" i="73" s="1"/>
  <c r="E36" i="73"/>
  <c r="F36" i="73" s="1"/>
  <c r="F39" i="73"/>
  <c r="F46" i="73"/>
  <c r="H41" i="73" s="1"/>
  <c r="K46" i="73"/>
  <c r="B71" i="73" s="1"/>
  <c r="B68" i="73"/>
  <c r="C68" i="73"/>
  <c r="B69" i="73"/>
  <c r="C69" i="73"/>
  <c r="B70" i="73"/>
  <c r="C70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8" i="86"/>
  <c r="A46" i="86"/>
  <c r="A47" i="86"/>
  <c r="D6" i="85"/>
  <c r="D7" i="85"/>
  <c r="D8" i="85"/>
  <c r="D9" i="85"/>
  <c r="D10" i="85"/>
  <c r="D37" i="85" s="1"/>
  <c r="D47" i="85" s="1"/>
  <c r="D48" i="85" s="1"/>
  <c r="D38" i="80" s="1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B13" i="20"/>
  <c r="B14" i="20"/>
  <c r="B15" i="20"/>
  <c r="J15" i="20"/>
  <c r="B17" i="20"/>
  <c r="B18" i="20"/>
  <c r="F39" i="20" s="1"/>
  <c r="F40" i="20" s="1"/>
  <c r="B79" i="73" s="1"/>
  <c r="B31" i="20"/>
  <c r="E38" i="20"/>
  <c r="E39" i="20"/>
  <c r="G39" i="20"/>
  <c r="G40" i="20" s="1"/>
  <c r="H39" i="20"/>
  <c r="H40" i="20"/>
  <c r="B77" i="73" s="1"/>
  <c r="B46" i="20"/>
  <c r="C74" i="20"/>
  <c r="B75" i="20"/>
  <c r="C75" i="20"/>
  <c r="B76" i="20"/>
  <c r="C76" i="20"/>
  <c r="B79" i="20"/>
  <c r="C79" i="20"/>
  <c r="C80" i="20"/>
  <c r="B81" i="20"/>
  <c r="C81" i="20"/>
  <c r="B82" i="20"/>
  <c r="C82" i="20"/>
  <c r="H5" i="11"/>
  <c r="H6" i="11"/>
  <c r="H7" i="11"/>
  <c r="H8" i="11"/>
  <c r="AB8" i="11"/>
  <c r="AN8" i="11" s="1"/>
  <c r="AC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7" i="11" s="1"/>
  <c r="E36" i="11"/>
  <c r="F36" i="11"/>
  <c r="G36" i="11"/>
  <c r="AC36" i="11"/>
  <c r="AE36" i="11"/>
  <c r="AP36" i="11" s="1"/>
  <c r="AF36" i="11"/>
  <c r="AI36" i="11"/>
  <c r="AL36" i="11"/>
  <c r="AM36" i="11"/>
  <c r="AN36" i="11"/>
  <c r="AO36" i="11"/>
  <c r="AA37" i="11"/>
  <c r="AF37" i="11"/>
  <c r="AI37" i="11"/>
  <c r="AL37" i="11"/>
  <c r="AN37" i="11"/>
  <c r="AO37" i="11"/>
  <c r="AP37" i="11"/>
  <c r="H38" i="11"/>
  <c r="AC38" i="11"/>
  <c r="AE38" i="11"/>
  <c r="AI38" i="11"/>
  <c r="AL38" i="11"/>
  <c r="AM38" i="11"/>
  <c r="AN38" i="11"/>
  <c r="AO38" i="11"/>
  <c r="C39" i="11"/>
  <c r="B68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F38" i="22"/>
  <c r="I38" i="22"/>
  <c r="A46" i="22"/>
  <c r="A47" i="22"/>
  <c r="F5" i="5"/>
  <c r="F6" i="5"/>
  <c r="F7" i="5"/>
  <c r="F8" i="5"/>
  <c r="F9" i="5"/>
  <c r="F10" i="5"/>
  <c r="F36" i="5" s="1"/>
  <c r="D49" i="5" s="1"/>
  <c r="D50" i="5" s="1"/>
  <c r="D83" i="80" s="1"/>
  <c r="F11" i="5"/>
  <c r="O11" i="5"/>
  <c r="P11" i="5"/>
  <c r="P12" i="5" s="1"/>
  <c r="F12" i="5"/>
  <c r="O12" i="5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A45" i="68"/>
  <c r="A46" i="68"/>
  <c r="H3" i="67"/>
  <c r="H4" i="67"/>
  <c r="H5" i="67"/>
  <c r="H6" i="67"/>
  <c r="H7" i="67"/>
  <c r="H8" i="67"/>
  <c r="H9" i="67"/>
  <c r="H10" i="67"/>
  <c r="H34" i="67" s="1"/>
  <c r="N10" i="67"/>
  <c r="P10" i="67"/>
  <c r="U10" i="67"/>
  <c r="W10" i="67" s="1"/>
  <c r="H11" i="67"/>
  <c r="L11" i="67"/>
  <c r="N11" i="67"/>
  <c r="P11" i="67"/>
  <c r="P16" i="67" s="1"/>
  <c r="U11" i="67"/>
  <c r="W11" i="67"/>
  <c r="H12" i="67"/>
  <c r="L12" i="67"/>
  <c r="N12" i="67" s="1"/>
  <c r="P12" i="67" s="1"/>
  <c r="U12" i="67"/>
  <c r="W12" i="67"/>
  <c r="H13" i="67"/>
  <c r="L13" i="67"/>
  <c r="N13" i="67"/>
  <c r="P13" i="67" s="1"/>
  <c r="U13" i="67"/>
  <c r="W13" i="67"/>
  <c r="H14" i="67"/>
  <c r="N14" i="67"/>
  <c r="P14" i="67" s="1"/>
  <c r="U14" i="67"/>
  <c r="H15" i="67"/>
  <c r="U15" i="67"/>
  <c r="H16" i="67"/>
  <c r="U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T34" i="67"/>
  <c r="H37" i="67"/>
  <c r="A43" i="67"/>
  <c r="D43" i="67"/>
  <c r="A44" i="67"/>
  <c r="F44" i="67"/>
  <c r="F45" i="67" s="1"/>
  <c r="D6" i="65"/>
  <c r="B7" i="65"/>
  <c r="D7" i="65"/>
  <c r="D8" i="65"/>
  <c r="B9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/>
  <c r="D18" i="77"/>
  <c r="K18" i="77"/>
  <c r="M18" i="77"/>
  <c r="D19" i="77"/>
  <c r="K19" i="77"/>
  <c r="M19" i="77" s="1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49" i="77" s="1"/>
  <c r="D50" i="77" s="1"/>
  <c r="D15" i="80" s="1"/>
  <c r="A48" i="77"/>
  <c r="A49" i="77"/>
  <c r="F5" i="7"/>
  <c r="Z5" i="7"/>
  <c r="AD5" i="7"/>
  <c r="AF5" i="7"/>
  <c r="AH5" i="7" s="1"/>
  <c r="AI5" i="7" s="1"/>
  <c r="AG5" i="7"/>
  <c r="F6" i="7"/>
  <c r="Z6" i="7"/>
  <c r="AD6" i="7" s="1"/>
  <c r="AF6" i="7" s="1"/>
  <c r="AG6" i="7"/>
  <c r="F7" i="7"/>
  <c r="F36" i="7" s="1"/>
  <c r="Z7" i="7"/>
  <c r="AD7" i="7" s="1"/>
  <c r="AF7" i="7" s="1"/>
  <c r="F8" i="7"/>
  <c r="Z8" i="7"/>
  <c r="AD8" i="7" s="1"/>
  <c r="AF8" i="7" s="1"/>
  <c r="F9" i="7"/>
  <c r="Z9" i="7"/>
  <c r="AD9" i="7"/>
  <c r="AF9" i="7"/>
  <c r="F10" i="7"/>
  <c r="Z10" i="7"/>
  <c r="AD10" i="7" s="1"/>
  <c r="AF10" i="7" s="1"/>
  <c r="F11" i="7"/>
  <c r="Z11" i="7"/>
  <c r="AD11" i="7"/>
  <c r="AF11" i="7" s="1"/>
  <c r="F12" i="7"/>
  <c r="Z12" i="7"/>
  <c r="AD12" i="7"/>
  <c r="AF12" i="7"/>
  <c r="F13" i="7"/>
  <c r="Z13" i="7"/>
  <c r="AD13" i="7"/>
  <c r="AF13" i="7"/>
  <c r="F14" i="7"/>
  <c r="Z14" i="7"/>
  <c r="AD14" i="7" s="1"/>
  <c r="AF14" i="7" s="1"/>
  <c r="F15" i="7"/>
  <c r="Z15" i="7"/>
  <c r="AD15" i="7" s="1"/>
  <c r="AF15" i="7" s="1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/>
  <c r="AG19" i="7" s="1"/>
  <c r="F20" i="7"/>
  <c r="Z20" i="7"/>
  <c r="AD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5" i="80" s="1"/>
  <c r="A45" i="16"/>
  <c r="A46" i="16"/>
  <c r="D6" i="81"/>
  <c r="D7" i="81"/>
  <c r="D8" i="81"/>
  <c r="D9" i="81"/>
  <c r="D37" i="81" s="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35" i="28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 s="1"/>
  <c r="H5" i="9"/>
  <c r="P5" i="9"/>
  <c r="R5" i="9" s="1"/>
  <c r="H6" i="9"/>
  <c r="H35" i="9" s="1"/>
  <c r="E47" i="9" s="1"/>
  <c r="E48" i="9" s="1"/>
  <c r="D32" i="80" s="1"/>
  <c r="P6" i="9"/>
  <c r="R6" i="9" s="1"/>
  <c r="H7" i="9"/>
  <c r="N7" i="9"/>
  <c r="P7" i="9"/>
  <c r="R7" i="9"/>
  <c r="H8" i="9"/>
  <c r="P8" i="9"/>
  <c r="R8" i="9" s="1"/>
  <c r="H9" i="9"/>
  <c r="N9" i="9"/>
  <c r="P9" i="9" s="1"/>
  <c r="R9" i="9" s="1"/>
  <c r="H10" i="9"/>
  <c r="P10" i="9"/>
  <c r="R10" i="9"/>
  <c r="H11" i="9"/>
  <c r="P11" i="9"/>
  <c r="R11" i="9" s="1"/>
  <c r="H12" i="9"/>
  <c r="P12" i="9"/>
  <c r="R12" i="9"/>
  <c r="H13" i="9"/>
  <c r="P13" i="9"/>
  <c r="R13" i="9" s="1"/>
  <c r="H14" i="9"/>
  <c r="P14" i="9"/>
  <c r="R14" i="9" s="1"/>
  <c r="H15" i="9"/>
  <c r="P15" i="9"/>
  <c r="R15" i="9" s="1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H53" i="9"/>
  <c r="N6" i="93"/>
  <c r="N37" i="93" s="1"/>
  <c r="D49" i="93" s="1"/>
  <c r="D50" i="93" s="1"/>
  <c r="D45" i="80" s="1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41" i="93"/>
  <c r="A48" i="93"/>
  <c r="D48" i="93"/>
  <c r="A49" i="93"/>
  <c r="B5" i="64"/>
  <c r="D5" i="64"/>
  <c r="D17" i="64" s="1"/>
  <c r="D29" i="64" s="1"/>
  <c r="D30" i="64" s="1"/>
  <c r="D33" i="80" s="1"/>
  <c r="B6" i="64"/>
  <c r="D6" i="64"/>
  <c r="B7" i="64"/>
  <c r="D7" i="64" s="1"/>
  <c r="D8" i="64"/>
  <c r="B9" i="64"/>
  <c r="D9" i="64"/>
  <c r="D10" i="64"/>
  <c r="B11" i="64"/>
  <c r="D11" i="64"/>
  <c r="D12" i="64"/>
  <c r="B13" i="64"/>
  <c r="D13" i="64" s="1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 s="1"/>
  <c r="AU16" i="15"/>
  <c r="AV16" i="15" s="1"/>
  <c r="AV39" i="15" s="1"/>
  <c r="F17" i="15"/>
  <c r="M17" i="15"/>
  <c r="O17" i="15"/>
  <c r="AF17" i="15"/>
  <c r="AJ17" i="15"/>
  <c r="AJ39" i="15" s="1"/>
  <c r="AJ45" i="15" s="1"/>
  <c r="AN17" i="15"/>
  <c r="AN39" i="15" s="1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V21" i="15"/>
  <c r="F22" i="15"/>
  <c r="M22" i="15"/>
  <c r="O22" i="15" s="1"/>
  <c r="AF22" i="15"/>
  <c r="AF39" i="15" s="1"/>
  <c r="AF45" i="15" s="1"/>
  <c r="AJ22" i="15"/>
  <c r="AN22" i="15"/>
  <c r="AQ22" i="15"/>
  <c r="AR22" i="15"/>
  <c r="AV22" i="15"/>
  <c r="F23" i="15"/>
  <c r="H23" i="15"/>
  <c r="I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J23" i="15" s="1"/>
  <c r="D39" i="15"/>
  <c r="K23" i="15" s="1"/>
  <c r="E39" i="15"/>
  <c r="L23" i="15" s="1"/>
  <c r="AD39" i="15"/>
  <c r="AE39" i="15"/>
  <c r="AH39" i="15"/>
  <c r="AI39" i="15"/>
  <c r="AL39" i="15"/>
  <c r="AM39" i="15"/>
  <c r="AP39" i="15"/>
  <c r="AT39" i="15"/>
  <c r="AU39" i="15"/>
  <c r="A50" i="15"/>
  <c r="A51" i="15"/>
  <c r="AH52" i="15"/>
  <c r="AH54" i="15"/>
  <c r="AH56" i="15" s="1"/>
  <c r="F86" i="15"/>
  <c r="K86" i="15"/>
  <c r="F87" i="15"/>
  <c r="F101" i="15" s="1"/>
  <c r="C101" i="15" s="1"/>
  <c r="K87" i="15"/>
  <c r="K114" i="15" s="1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F126" i="15"/>
  <c r="F133" i="15" s="1"/>
  <c r="C133" i="15" s="1"/>
  <c r="F127" i="15"/>
  <c r="F128" i="15"/>
  <c r="F129" i="15"/>
  <c r="F130" i="15"/>
  <c r="F131" i="15"/>
  <c r="B132" i="15"/>
  <c r="F132" i="15" s="1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C176" i="15" s="1"/>
  <c r="F176" i="15" s="1"/>
  <c r="B178" i="15"/>
  <c r="C178" i="15"/>
  <c r="B180" i="15"/>
  <c r="D6" i="76"/>
  <c r="D37" i="76" s="1"/>
  <c r="D47" i="76" s="1"/>
  <c r="D48" i="76" s="1"/>
  <c r="D36" i="80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35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37" i="92" s="1"/>
  <c r="D47" i="92" s="1"/>
  <c r="D48" i="92" s="1"/>
  <c r="D44" i="80" s="1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N23" i="15" s="1"/>
  <c r="J3" i="63"/>
  <c r="G4" i="63"/>
  <c r="C45" i="11" s="1"/>
  <c r="C46" i="11" s="1"/>
  <c r="G5" i="63"/>
  <c r="D37" i="16" s="1"/>
  <c r="D38" i="16" s="1"/>
  <c r="D40" i="16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D48" i="63"/>
  <c r="D49" i="63"/>
  <c r="D50" i="63"/>
  <c r="P50" i="63"/>
  <c r="D51" i="63"/>
  <c r="D52" i="63"/>
  <c r="B84" i="63"/>
  <c r="B95" i="63" s="1"/>
  <c r="B85" i="63"/>
  <c r="D6" i="90"/>
  <c r="D37" i="90" s="1"/>
  <c r="D47" i="90" s="1"/>
  <c r="D48" i="90" s="1"/>
  <c r="D14" i="80" s="1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39" i="19" s="1"/>
  <c r="D49" i="19" s="1"/>
  <c r="D50" i="19" s="1"/>
  <c r="D20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R6" i="2" s="1"/>
  <c r="J7" i="2"/>
  <c r="P7" i="2"/>
  <c r="R7" i="2" s="1"/>
  <c r="J8" i="2"/>
  <c r="P8" i="2"/>
  <c r="R8" i="2" s="1"/>
  <c r="J9" i="2"/>
  <c r="P9" i="2"/>
  <c r="R9" i="2"/>
  <c r="J10" i="2"/>
  <c r="J35" i="2" s="1"/>
  <c r="P10" i="2"/>
  <c r="R10" i="2" s="1"/>
  <c r="J11" i="2"/>
  <c r="P11" i="2"/>
  <c r="R11" i="2"/>
  <c r="J12" i="2"/>
  <c r="P12" i="2"/>
  <c r="R12" i="2"/>
  <c r="J13" i="2"/>
  <c r="P13" i="2"/>
  <c r="R13" i="2" s="1"/>
  <c r="J14" i="2"/>
  <c r="P14" i="2"/>
  <c r="R14" i="2"/>
  <c r="J15" i="2"/>
  <c r="P15" i="2"/>
  <c r="R15" i="2" s="1"/>
  <c r="J16" i="2"/>
  <c r="P16" i="2"/>
  <c r="R16" i="2"/>
  <c r="J17" i="2"/>
  <c r="O17" i="2"/>
  <c r="P17" i="2" s="1"/>
  <c r="R17" i="2" s="1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8" i="2"/>
  <c r="J40" i="2" s="1"/>
  <c r="A46" i="2"/>
  <c r="D46" i="2"/>
  <c r="A47" i="2"/>
  <c r="D70" i="2"/>
  <c r="D73" i="2"/>
  <c r="D74" i="2" s="1"/>
  <c r="D112" i="2"/>
  <c r="N6" i="91"/>
  <c r="N7" i="91"/>
  <c r="N8" i="91"/>
  <c r="N9" i="91"/>
  <c r="N10" i="91"/>
  <c r="N11" i="91"/>
  <c r="N12" i="91"/>
  <c r="N13" i="91"/>
  <c r="N37" i="91" s="1"/>
  <c r="D49" i="91" s="1"/>
  <c r="D50" i="91" s="1"/>
  <c r="D40" i="80" s="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N39" i="91" s="1"/>
  <c r="N43" i="91" s="1"/>
  <c r="A48" i="91"/>
  <c r="A49" i="91"/>
  <c r="J6" i="83"/>
  <c r="J7" i="83"/>
  <c r="J8" i="83"/>
  <c r="J9" i="83"/>
  <c r="J10" i="83"/>
  <c r="J37" i="83" s="1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C21" i="80" l="1"/>
  <c r="C23" i="63"/>
  <c r="B23" i="63" s="1"/>
  <c r="R21" i="2"/>
  <c r="D39" i="90"/>
  <c r="D41" i="90" s="1"/>
  <c r="F46" i="11"/>
  <c r="D75" i="80" s="1"/>
  <c r="D68" i="80"/>
  <c r="F41" i="7"/>
  <c r="F40" i="6"/>
  <c r="R19" i="9"/>
  <c r="R22" i="9" s="1"/>
  <c r="D49" i="83"/>
  <c r="D50" i="83" s="1"/>
  <c r="D39" i="80" s="1"/>
  <c r="J39" i="83"/>
  <c r="J43" i="83" s="1"/>
  <c r="D41" i="19"/>
  <c r="D43" i="19" s="1"/>
  <c r="M23" i="15"/>
  <c r="M24" i="15" s="1"/>
  <c r="AF20" i="7"/>
  <c r="AG20" i="7"/>
  <c r="AG21" i="7" s="1"/>
  <c r="D40" i="28"/>
  <c r="D46" i="28"/>
  <c r="D47" i="28" s="1"/>
  <c r="D69" i="80" s="1"/>
  <c r="D41" i="81"/>
  <c r="H38" i="67"/>
  <c r="B40" i="80"/>
  <c r="B32" i="63"/>
  <c r="C32" i="63" s="1"/>
  <c r="B35" i="80"/>
  <c r="C35" i="80" s="1"/>
  <c r="E35" i="80" s="1"/>
  <c r="B33" i="63"/>
  <c r="C33" i="63" s="1"/>
  <c r="AN45" i="15"/>
  <c r="B102" i="15"/>
  <c r="AR39" i="15"/>
  <c r="AR45" i="15" s="1"/>
  <c r="D75" i="2"/>
  <c r="C180" i="15"/>
  <c r="H36" i="9"/>
  <c r="H37" i="9" s="1"/>
  <c r="H39" i="9" s="1"/>
  <c r="AF19" i="7"/>
  <c r="AH19" i="7" s="1"/>
  <c r="AH6" i="7"/>
  <c r="N16" i="67"/>
  <c r="K7" i="13"/>
  <c r="M7" i="13" s="1"/>
  <c r="M13" i="13" s="1"/>
  <c r="D38" i="69"/>
  <c r="D48" i="69" s="1"/>
  <c r="D49" i="69" s="1"/>
  <c r="D22" i="80" s="1"/>
  <c r="F39" i="18"/>
  <c r="D48" i="18" s="1"/>
  <c r="D49" i="18" s="1"/>
  <c r="D28" i="80" s="1"/>
  <c r="G5" i="80"/>
  <c r="G59" i="80" s="1"/>
  <c r="D38" i="75"/>
  <c r="D39" i="75" s="1"/>
  <c r="D41" i="75" s="1"/>
  <c r="D38" i="85"/>
  <c r="D39" i="85" s="1"/>
  <c r="D41" i="85" s="1"/>
  <c r="B19" i="20"/>
  <c r="C19" i="20" s="1"/>
  <c r="C20" i="20" s="1"/>
  <c r="F39" i="5"/>
  <c r="F40" i="5" s="1"/>
  <c r="B47" i="20"/>
  <c r="C47" i="20" s="1"/>
  <c r="C48" i="20" s="1"/>
  <c r="D19" i="8"/>
  <c r="AQ39" i="15"/>
  <c r="P19" i="9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40" i="68"/>
  <c r="E39" i="11"/>
  <c r="E45" i="11"/>
  <c r="F45" i="11" s="1"/>
  <c r="B32" i="20"/>
  <c r="C32" i="20" s="1"/>
  <c r="C33" i="20" s="1"/>
  <c r="G4" i="80"/>
  <c r="G58" i="80" s="1"/>
  <c r="F40" i="71"/>
  <c r="J36" i="70"/>
  <c r="D38" i="74"/>
  <c r="D13" i="78"/>
  <c r="D38" i="79"/>
  <c r="D39" i="79" s="1"/>
  <c r="D41" i="79" s="1"/>
  <c r="F38" i="87"/>
  <c r="F39" i="87" s="1"/>
  <c r="F41" i="87" s="1"/>
  <c r="D38" i="77"/>
  <c r="D39" i="77" s="1"/>
  <c r="D41" i="77" s="1"/>
  <c r="F40" i="18"/>
  <c r="F41" i="18" s="1"/>
  <c r="F43" i="18" s="1"/>
  <c r="J40" i="17"/>
  <c r="J41" i="17" s="1"/>
  <c r="J43" i="17" s="1"/>
  <c r="D19" i="65"/>
  <c r="F37" i="13"/>
  <c r="F38" i="13" s="1"/>
  <c r="F41" i="13" s="1"/>
  <c r="D18" i="64"/>
  <c r="D19" i="64" s="1"/>
  <c r="D23" i="64" s="1"/>
  <c r="J39" i="17"/>
  <c r="D48" i="17" s="1"/>
  <c r="D49" i="17" s="1"/>
  <c r="D31" i="80" s="1"/>
  <c r="J35" i="70"/>
  <c r="D47" i="70" s="1"/>
  <c r="D48" i="70" s="1"/>
  <c r="D34" i="80" s="1"/>
  <c r="C73" i="20"/>
  <c r="B78" i="73"/>
  <c r="F39" i="71"/>
  <c r="D49" i="71" s="1"/>
  <c r="D50" i="71" s="1"/>
  <c r="D46" i="80" s="1"/>
  <c r="D12" i="78"/>
  <c r="D23" i="78" s="1"/>
  <c r="D24" i="78" s="1"/>
  <c r="D16" i="80" s="1"/>
  <c r="F43" i="5"/>
  <c r="D38" i="92"/>
  <c r="D39" i="92" s="1"/>
  <c r="D41" i="92" s="1"/>
  <c r="N38" i="93"/>
  <c r="N39" i="93" s="1"/>
  <c r="N43" i="93" s="1"/>
  <c r="D18" i="65"/>
  <c r="D33" i="65" s="1"/>
  <c r="D34" i="65" s="1"/>
  <c r="D26" i="80" s="1"/>
  <c r="W16" i="67"/>
  <c r="P13" i="5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F37" i="22"/>
  <c r="D47" i="22" s="1"/>
  <c r="D48" i="22" s="1"/>
  <c r="D29" i="80" s="1"/>
  <c r="C72" i="20"/>
  <c r="F35" i="73"/>
  <c r="D40" i="12"/>
  <c r="P37" i="88"/>
  <c r="D47" i="88" s="1"/>
  <c r="D48" i="88" s="1"/>
  <c r="D43" i="80" s="1"/>
  <c r="I40" i="20"/>
  <c r="I57" i="20" s="1"/>
  <c r="G3" i="80"/>
  <c r="G57" i="80" s="1"/>
  <c r="D39" i="69"/>
  <c r="D40" i="69" s="1"/>
  <c r="D42" i="69" s="1"/>
  <c r="I114" i="15"/>
  <c r="F39" i="15"/>
  <c r="AF38" i="11"/>
  <c r="AP38" i="11"/>
  <c r="H36" i="11"/>
  <c r="H39" i="11" s="1"/>
  <c r="C37" i="63" s="1"/>
  <c r="J17" i="74"/>
  <c r="L8" i="74"/>
  <c r="L17" i="74" s="1"/>
  <c r="D17" i="80"/>
  <c r="P39" i="88"/>
  <c r="P41" i="88" s="1"/>
  <c r="P21" i="2"/>
  <c r="P23" i="2" s="1"/>
  <c r="D38" i="76"/>
  <c r="D39" i="76" s="1"/>
  <c r="D41" i="76" s="1"/>
  <c r="AH57" i="15"/>
  <c r="D37" i="89"/>
  <c r="D47" i="89" s="1"/>
  <c r="D48" i="89" s="1"/>
  <c r="D37" i="80" s="1"/>
  <c r="D37" i="75"/>
  <c r="D46" i="75" s="1"/>
  <c r="D47" i="75" s="1"/>
  <c r="D47" i="80" s="1"/>
  <c r="AM37" i="11"/>
  <c r="AC37" i="11"/>
  <c r="AL48" i="11"/>
  <c r="C37" i="73"/>
  <c r="F39" i="22"/>
  <c r="F41" i="22" s="1"/>
  <c r="B73" i="73"/>
  <c r="C77" i="20"/>
  <c r="S12" i="2"/>
  <c r="D38" i="89"/>
  <c r="D37" i="86"/>
  <c r="D47" i="86" s="1"/>
  <c r="D48" i="86" s="1"/>
  <c r="D41" i="80" s="1"/>
  <c r="D42" i="72"/>
  <c r="J24" i="74"/>
  <c r="D18" i="8"/>
  <c r="D30" i="8" s="1"/>
  <c r="D31" i="8" s="1"/>
  <c r="D48" i="80" s="1"/>
  <c r="B80" i="20"/>
  <c r="C71" i="73"/>
  <c r="J35" i="73"/>
  <c r="J36" i="73" s="1"/>
  <c r="K13" i="13"/>
  <c r="B44" i="63" l="1"/>
  <c r="C44" i="63" s="1"/>
  <c r="B42" i="80"/>
  <c r="C42" i="80" s="1"/>
  <c r="E42" i="80" s="1"/>
  <c r="B45" i="80"/>
  <c r="C45" i="80" s="1"/>
  <c r="E45" i="80" s="1"/>
  <c r="B24" i="63"/>
  <c r="C24" i="63" s="1"/>
  <c r="F41" i="71"/>
  <c r="F43" i="71" s="1"/>
  <c r="B47" i="80"/>
  <c r="C47" i="80" s="1"/>
  <c r="E47" i="80" s="1"/>
  <c r="B17" i="63"/>
  <c r="C17" i="63" s="1"/>
  <c r="E48" i="7"/>
  <c r="E49" i="7" s="1"/>
  <c r="D76" i="80" s="1"/>
  <c r="B28" i="80"/>
  <c r="C28" i="80" s="1"/>
  <c r="E28" i="80" s="1"/>
  <c r="B16" i="63"/>
  <c r="C16" i="63" s="1"/>
  <c r="B76" i="80"/>
  <c r="C76" i="80" s="1"/>
  <c r="C47" i="63"/>
  <c r="B47" i="63" s="1"/>
  <c r="B29" i="80"/>
  <c r="C29" i="80" s="1"/>
  <c r="E29" i="80" s="1"/>
  <c r="B12" i="63"/>
  <c r="C12" i="63" s="1"/>
  <c r="B36" i="80"/>
  <c r="C36" i="80" s="1"/>
  <c r="E36" i="80" s="1"/>
  <c r="B35" i="63"/>
  <c r="C35" i="63" s="1"/>
  <c r="B15" i="80"/>
  <c r="C15" i="80" s="1"/>
  <c r="E15" i="80" s="1"/>
  <c r="B42" i="63"/>
  <c r="C42" i="63" s="1"/>
  <c r="B73" i="20"/>
  <c r="C78" i="73"/>
  <c r="D39" i="86"/>
  <c r="D41" i="86" s="1"/>
  <c r="B32" i="80"/>
  <c r="C32" i="80" s="1"/>
  <c r="E32" i="80" s="1"/>
  <c r="B34" i="63"/>
  <c r="C34" i="63" s="1"/>
  <c r="B39" i="80"/>
  <c r="C39" i="80" s="1"/>
  <c r="E39" i="80" s="1"/>
  <c r="B49" i="63"/>
  <c r="C49" i="63" s="1"/>
  <c r="B20" i="80"/>
  <c r="B36" i="63"/>
  <c r="C36" i="63" s="1"/>
  <c r="E37" i="73"/>
  <c r="C38" i="73"/>
  <c r="C40" i="73" s="1"/>
  <c r="B74" i="80"/>
  <c r="C74" i="80" s="1"/>
  <c r="C51" i="63"/>
  <c r="B51" i="63" s="1"/>
  <c r="D20" i="8"/>
  <c r="D24" i="8" s="1"/>
  <c r="C40" i="80"/>
  <c r="E40" i="80" s="1"/>
  <c r="D47" i="2"/>
  <c r="D48" i="2" s="1"/>
  <c r="M51" i="73"/>
  <c r="M53" i="73" s="1"/>
  <c r="AH20" i="7"/>
  <c r="AI19" i="7"/>
  <c r="B44" i="80"/>
  <c r="C44" i="80" s="1"/>
  <c r="E44" i="80" s="1"/>
  <c r="B26" i="63"/>
  <c r="C26" i="63" s="1"/>
  <c r="B13" i="80"/>
  <c r="C13" i="80" s="1"/>
  <c r="E13" i="80" s="1"/>
  <c r="B25" i="63"/>
  <c r="C25" i="63" s="1"/>
  <c r="C57" i="20"/>
  <c r="F51" i="73" s="1"/>
  <c r="C77" i="73"/>
  <c r="B74" i="20"/>
  <c r="D44" i="67"/>
  <c r="D45" i="67" s="1"/>
  <c r="D80" i="80" s="1"/>
  <c r="B14" i="80"/>
  <c r="C14" i="80" s="1"/>
  <c r="E14" i="80" s="1"/>
  <c r="B48" i="63"/>
  <c r="C48" i="63" s="1"/>
  <c r="B81" i="73"/>
  <c r="K36" i="73"/>
  <c r="K49" i="73" s="1"/>
  <c r="I62" i="20" s="1"/>
  <c r="B74" i="73"/>
  <c r="C78" i="20"/>
  <c r="C68" i="80"/>
  <c r="E68" i="80" s="1"/>
  <c r="B43" i="80"/>
  <c r="C43" i="80" s="1"/>
  <c r="E43" i="80" s="1"/>
  <c r="B19" i="63"/>
  <c r="C19" i="63" s="1"/>
  <c r="D46" i="12"/>
  <c r="D47" i="12" s="1"/>
  <c r="D74" i="80" s="1"/>
  <c r="D39" i="89"/>
  <c r="D41" i="89" s="1"/>
  <c r="F45" i="15"/>
  <c r="D51" i="15"/>
  <c r="D52" i="15" s="1"/>
  <c r="B83" i="80"/>
  <c r="C83" i="80" s="1"/>
  <c r="E83" i="80" s="1"/>
  <c r="C21" i="63"/>
  <c r="B21" i="63" s="1"/>
  <c r="B33" i="80"/>
  <c r="C33" i="80" s="1"/>
  <c r="E33" i="80" s="1"/>
  <c r="B8" i="63"/>
  <c r="D14" i="78"/>
  <c r="D18" i="78" s="1"/>
  <c r="B75" i="80"/>
  <c r="C75" i="80" s="1"/>
  <c r="E75" i="80" s="1"/>
  <c r="B37" i="63"/>
  <c r="N11" i="13"/>
  <c r="AR51" i="15"/>
  <c r="AR48" i="15"/>
  <c r="B80" i="80"/>
  <c r="C13" i="63"/>
  <c r="B13" i="63" s="1"/>
  <c r="B67" i="80"/>
  <c r="C67" i="80" s="1"/>
  <c r="C14" i="63"/>
  <c r="B14" i="63" s="1"/>
  <c r="B69" i="80"/>
  <c r="C69" i="80" s="1"/>
  <c r="E69" i="80" s="1"/>
  <c r="C22" i="63"/>
  <c r="B22" i="63" s="1"/>
  <c r="C83" i="20"/>
  <c r="M9" i="74"/>
  <c r="M10" i="74" s="1"/>
  <c r="M11" i="74" s="1"/>
  <c r="M12" i="74" s="1"/>
  <c r="M13" i="74" s="1"/>
  <c r="M14" i="74" s="1"/>
  <c r="B27" i="80"/>
  <c r="C27" i="80" s="1"/>
  <c r="E27" i="80" s="1"/>
  <c r="B9" i="63"/>
  <c r="C9" i="63" s="1"/>
  <c r="K19" i="74"/>
  <c r="L19" i="74" s="1"/>
  <c r="L24" i="74" s="1"/>
  <c r="L26" i="74" s="1"/>
  <c r="D39" i="74"/>
  <c r="D41" i="74" s="1"/>
  <c r="D46" i="68"/>
  <c r="D47" i="68" s="1"/>
  <c r="D66" i="80" s="1"/>
  <c r="C79" i="73"/>
  <c r="B72" i="20"/>
  <c r="B103" i="15"/>
  <c r="B105" i="15" s="1"/>
  <c r="F105" i="15" s="1"/>
  <c r="F102" i="15"/>
  <c r="F103" i="15" s="1"/>
  <c r="C103" i="15" s="1"/>
  <c r="B81" i="80"/>
  <c r="C81" i="80" s="1"/>
  <c r="E81" i="80" s="1"/>
  <c r="C31" i="63"/>
  <c r="B31" i="63" s="1"/>
  <c r="D46" i="6"/>
  <c r="D47" i="6" s="1"/>
  <c r="D67" i="80" s="1"/>
  <c r="B31" i="80"/>
  <c r="C31" i="80" s="1"/>
  <c r="E31" i="80" s="1"/>
  <c r="B11" i="63"/>
  <c r="C11" i="63" s="1"/>
  <c r="AI6" i="7"/>
  <c r="AH7" i="7"/>
  <c r="B82" i="80"/>
  <c r="C82" i="80" s="1"/>
  <c r="E82" i="80" s="1"/>
  <c r="C29" i="63"/>
  <c r="B29" i="63" s="1"/>
  <c r="D30" i="80"/>
  <c r="D49" i="80" s="1"/>
  <c r="B22" i="80"/>
  <c r="C22" i="80" s="1"/>
  <c r="E22" i="80" s="1"/>
  <c r="B46" i="63"/>
  <c r="C46" i="63" s="1"/>
  <c r="D20" i="65"/>
  <c r="D24" i="65" s="1"/>
  <c r="J37" i="70"/>
  <c r="J41" i="70" s="1"/>
  <c r="B66" i="80"/>
  <c r="C10" i="63"/>
  <c r="B10" i="63" s="1"/>
  <c r="B38" i="80"/>
  <c r="C38" i="80" s="1"/>
  <c r="E38" i="80" s="1"/>
  <c r="B15" i="63"/>
  <c r="C15" i="63" s="1"/>
  <c r="D46" i="81"/>
  <c r="D47" i="81" s="1"/>
  <c r="D81" i="80" s="1"/>
  <c r="O23" i="15"/>
  <c r="O24" i="15" s="1"/>
  <c r="D21" i="80"/>
  <c r="E21" i="80"/>
  <c r="B21" i="80"/>
  <c r="C8" i="63" l="1"/>
  <c r="B84" i="80"/>
  <c r="C80" i="80"/>
  <c r="D84" i="80"/>
  <c r="E74" i="80"/>
  <c r="B70" i="80"/>
  <c r="C66" i="80"/>
  <c r="AH8" i="7"/>
  <c r="AI7" i="7"/>
  <c r="AH21" i="7"/>
  <c r="AI21" i="7" s="1"/>
  <c r="AI20" i="7"/>
  <c r="B77" i="20"/>
  <c r="C73" i="73"/>
  <c r="B41" i="80"/>
  <c r="C41" i="80" s="1"/>
  <c r="E41" i="80" s="1"/>
  <c r="B52" i="63"/>
  <c r="C52" i="63" s="1"/>
  <c r="B46" i="80"/>
  <c r="C46" i="80" s="1"/>
  <c r="E46" i="80" s="1"/>
  <c r="B28" i="63"/>
  <c r="C28" i="63" s="1"/>
  <c r="D51" i="80"/>
  <c r="D23" i="80"/>
  <c r="B30" i="63"/>
  <c r="C30" i="63" s="1"/>
  <c r="B26" i="80"/>
  <c r="D73" i="80"/>
  <c r="D77" i="80" s="1"/>
  <c r="F53" i="15"/>
  <c r="B34" i="80"/>
  <c r="C34" i="80" s="1"/>
  <c r="E34" i="80" s="1"/>
  <c r="B50" i="63"/>
  <c r="C50" i="63" s="1"/>
  <c r="E38" i="73"/>
  <c r="F37" i="73"/>
  <c r="D70" i="80"/>
  <c r="D86" i="80" s="1"/>
  <c r="B73" i="80"/>
  <c r="C18" i="63"/>
  <c r="B18" i="63" s="1"/>
  <c r="B38" i="63" s="1"/>
  <c r="B23" i="80"/>
  <c r="C20" i="80"/>
  <c r="E76" i="80"/>
  <c r="B27" i="63"/>
  <c r="C27" i="63" s="1"/>
  <c r="B12" i="80"/>
  <c r="B37" i="80"/>
  <c r="C37" i="80" s="1"/>
  <c r="E37" i="80" s="1"/>
  <c r="B43" i="63"/>
  <c r="C43" i="63" s="1"/>
  <c r="E67" i="80"/>
  <c r="B16" i="80"/>
  <c r="C16" i="80" s="1"/>
  <c r="E16" i="80" s="1"/>
  <c r="E24" i="78"/>
  <c r="B41" i="63"/>
  <c r="B48" i="80"/>
  <c r="C48" i="80" s="1"/>
  <c r="E48" i="80" s="1"/>
  <c r="B20" i="63"/>
  <c r="C20" i="63" s="1"/>
  <c r="N13" i="63" l="1"/>
  <c r="C41" i="63"/>
  <c r="F38" i="73"/>
  <c r="E40" i="73"/>
  <c r="C23" i="80"/>
  <c r="E20" i="80"/>
  <c r="E23" i="80" s="1"/>
  <c r="C12" i="80"/>
  <c r="B17" i="80"/>
  <c r="C84" i="80"/>
  <c r="E80" i="80"/>
  <c r="E84" i="80" s="1"/>
  <c r="B77" i="80"/>
  <c r="B86" i="80" s="1"/>
  <c r="C73" i="80"/>
  <c r="AH9" i="7"/>
  <c r="AI8" i="7"/>
  <c r="C38" i="63"/>
  <c r="C26" i="80"/>
  <c r="C70" i="80"/>
  <c r="E66" i="80"/>
  <c r="C77" i="80" l="1"/>
  <c r="C86" i="80" s="1"/>
  <c r="E73" i="80"/>
  <c r="E77" i="80" s="1"/>
  <c r="E26" i="80"/>
  <c r="E70" i="80"/>
  <c r="E86" i="80" s="1"/>
  <c r="B78" i="20"/>
  <c r="B83" i="20" s="1"/>
  <c r="B45" i="63" s="1"/>
  <c r="F40" i="73"/>
  <c r="F49" i="73" s="1"/>
  <c r="C74" i="73"/>
  <c r="C81" i="73" s="1"/>
  <c r="C82" i="73" s="1"/>
  <c r="C17" i="80"/>
  <c r="E12" i="80"/>
  <c r="AI9" i="7"/>
  <c r="AH10" i="7"/>
  <c r="E17" i="80" l="1"/>
  <c r="AI10" i="7"/>
  <c r="AH11" i="7"/>
  <c r="C61" i="20"/>
  <c r="C62" i="20" s="1"/>
  <c r="F53" i="73"/>
  <c r="B30" i="80"/>
  <c r="C45" i="63"/>
  <c r="C53" i="63" s="1"/>
  <c r="C55" i="63" s="1"/>
  <c r="B53" i="63"/>
  <c r="B55" i="63" s="1"/>
  <c r="AI11" i="7" l="1"/>
  <c r="AH12" i="7"/>
  <c r="C30" i="80"/>
  <c r="B49" i="80"/>
  <c r="B51" i="80"/>
  <c r="B89" i="80" s="1"/>
  <c r="E30" i="80" l="1"/>
  <c r="C49" i="80"/>
  <c r="C51" i="80"/>
  <c r="B90" i="80" s="1"/>
  <c r="AH13" i="7"/>
  <c r="AI12" i="7"/>
  <c r="AH14" i="7" l="1"/>
  <c r="AI13" i="7"/>
  <c r="E49" i="80"/>
  <c r="E51" i="80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<sst xmlns="http://schemas.openxmlformats.org/spreadsheetml/2006/main" count="1013" uniqueCount="315">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</sst>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2.09</v>
          </cell>
          <cell r="K39">
            <v>2.1</v>
          </cell>
          <cell r="M39">
            <v>2.09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7" sqref="D37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2.1</v>
      </c>
      <c r="H3" s="401">
        <f ca="1">NOW()</f>
        <v>41885.682848032404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2.09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2.09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48435.329999999994</v>
      </c>
      <c r="C12" s="368">
        <f>+B12/$G$4</f>
        <v>23174.799043062201</v>
      </c>
      <c r="D12" s="14">
        <f>+Calpine!D47</f>
        <v>110269</v>
      </c>
      <c r="E12" s="70">
        <f>+C12-D12</f>
        <v>-87094.200956937799</v>
      </c>
      <c r="F12" s="363">
        <f>+Calpine!A41</f>
        <v>37307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55011.24</v>
      </c>
      <c r="C13" s="367">
        <f>+B13/$G$4</f>
        <v>26321.167464114835</v>
      </c>
      <c r="D13" s="14">
        <f>+'Citizens-Griffith'!D48</f>
        <v>29958</v>
      </c>
      <c r="E13" s="70">
        <f>+C13-D13</f>
        <v>-3636.8325358851653</v>
      </c>
      <c r="F13" s="363">
        <f>+'Citizens-Griffith'!A41</f>
        <v>37307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277</v>
      </c>
      <c r="B14" s="611">
        <f>+SWGasTrans!D41</f>
        <v>-28197</v>
      </c>
      <c r="C14" s="367">
        <f>+B14/G4</f>
        <v>-13491.387559808614</v>
      </c>
      <c r="D14" s="14">
        <f>+SWGasTrans!$D$48</f>
        <v>-499</v>
      </c>
      <c r="E14" s="70">
        <f>+C14-D14</f>
        <v>-12992.387559808614</v>
      </c>
      <c r="F14" s="363">
        <f>+SWGasTrans!A41</f>
        <v>37307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-264854.34999999998</v>
      </c>
      <c r="C15" s="367">
        <f>+B15/$G$4</f>
        <v>-126724.56937799042</v>
      </c>
      <c r="D15" s="14">
        <f>+'NS Steel'!D50</f>
        <v>-959</v>
      </c>
      <c r="E15" s="70">
        <f>+C15-D15</f>
        <v>-125765.56937799042</v>
      </c>
      <c r="F15" s="364">
        <f>+'NS Steel'!A41</f>
        <v>37307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-568396.96000000008</v>
      </c>
      <c r="C16" s="369">
        <f>+B16/$G$4</f>
        <v>-271960.26794258377</v>
      </c>
      <c r="D16" s="349">
        <f>+Citizens!D24</f>
        <v>-51536</v>
      </c>
      <c r="E16" s="72">
        <f>+C16-D16</f>
        <v>-220424.26794258377</v>
      </c>
      <c r="F16" s="363">
        <f>+Citizens!A18</f>
        <v>37307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-758001.74</v>
      </c>
      <c r="C17" s="392">
        <f>SUBTOTAL(9,C12:C16)</f>
        <v>-362680.25837320578</v>
      </c>
      <c r="D17" s="393">
        <f>SUBTOTAL(9,D12:D16)</f>
        <v>87233</v>
      </c>
      <c r="E17" s="394">
        <f>SUBTOTAL(9,E12:E16)</f>
        <v>-449913.25837320578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6023.5800000000017</v>
      </c>
      <c r="C20" s="367">
        <f>+B20/$G$4</f>
        <v>2882.0956937799056</v>
      </c>
      <c r="D20" s="14">
        <f>+transcol!D50</f>
        <v>-52998</v>
      </c>
      <c r="E20" s="70">
        <f>+C20-D20</f>
        <v>55880.095693779906</v>
      </c>
      <c r="F20" s="364">
        <f>+transcol!A43</f>
        <v>37307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289</v>
      </c>
      <c r="B21" s="610">
        <f>+C21*G3</f>
        <v>75660.900000000009</v>
      </c>
      <c r="C21" s="367">
        <f>+williams!J40</f>
        <v>36029</v>
      </c>
      <c r="D21" s="14">
        <f>+C21</f>
        <v>36029</v>
      </c>
      <c r="E21" s="70">
        <f>+C21-D21</f>
        <v>0</v>
      </c>
      <c r="F21" s="364">
        <f>+williams!A40</f>
        <v>37307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-57609.16</v>
      </c>
      <c r="C22" s="371">
        <f>+B22/$G$3</f>
        <v>-27432.933333333334</v>
      </c>
      <c r="D22" s="349">
        <f>+burlington!D49</f>
        <v>-27715</v>
      </c>
      <c r="E22" s="72">
        <f>+C22-D22</f>
        <v>282.0666666666657</v>
      </c>
      <c r="F22" s="363">
        <f>+burlington!A42</f>
        <v>37307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24075.320000000007</v>
      </c>
      <c r="C23" s="388">
        <f>SUBTOTAL(9,C20:C22)</f>
        <v>11478.162360446571</v>
      </c>
      <c r="D23" s="393">
        <f>SUBTOTAL(9,D20:D22)</f>
        <v>-44684</v>
      </c>
      <c r="E23" s="394">
        <f>SUBTOTAL(9,E20:E22)</f>
        <v>56162.162360446571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478">
        <f>+NNG!$D$24</f>
        <v>32131.75</v>
      </c>
      <c r="C26" s="367">
        <f>+B26/$G$4</f>
        <v>15374.043062200957</v>
      </c>
      <c r="D26" s="14">
        <f>+NNG!D34</f>
        <v>14698</v>
      </c>
      <c r="E26" s="70">
        <f t="shared" ref="E26:E48" si="0">+C26-D26</f>
        <v>676.04306220095714</v>
      </c>
      <c r="F26" s="363">
        <f>+NNG!A24</f>
        <v>37307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05">
        <f>+Conoco!$F$41</f>
        <v>466415.57</v>
      </c>
      <c r="C27" s="367">
        <f>+B27/$G$4</f>
        <v>223165.34449760767</v>
      </c>
      <c r="D27" s="14">
        <f>+Conoco!D48</f>
        <v>20812</v>
      </c>
      <c r="E27" s="70">
        <f t="shared" si="0"/>
        <v>202353.34449760767</v>
      </c>
      <c r="F27" s="363">
        <f>+Conoco!A41</f>
        <v>37307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05">
        <f>+'Amoco Abo'!$F$43</f>
        <v>168423.77000000002</v>
      </c>
      <c r="C28" s="367">
        <f>+B28/$G$4</f>
        <v>80585.535885167483</v>
      </c>
      <c r="D28" s="14">
        <f>+'Amoco Abo'!D49</f>
        <v>-360613</v>
      </c>
      <c r="E28" s="70">
        <f t="shared" si="0"/>
        <v>441198.53588516748</v>
      </c>
      <c r="F28" s="364">
        <f>+'Amoco Abo'!A43</f>
        <v>37306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05">
        <f>+KN_Westar!F41</f>
        <v>322489.44</v>
      </c>
      <c r="C29" s="367">
        <f>+B29/$G$4</f>
        <v>154301.16746411484</v>
      </c>
      <c r="D29" s="14">
        <f>+KN_Westar!D48</f>
        <v>-40346</v>
      </c>
      <c r="E29" s="70">
        <f t="shared" si="0"/>
        <v>194647.16746411484</v>
      </c>
      <c r="F29" s="364">
        <f>+KN_Westar!A41</f>
        <v>37306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247</v>
      </c>
      <c r="B30" s="605">
        <f>+summary!$B$45</f>
        <v>-125508.92999999982</v>
      </c>
      <c r="C30" s="368">
        <f>+B30/$G$5</f>
        <v>-60052.119617224795</v>
      </c>
      <c r="D30" s="14">
        <f>+DEFS!$I$36+DEFS!$J$36+DEFS!$K$45+DEFS!$K$46+DEFS!$K$47+DEFS!$K$48+Duke!I53+Duke!I54+Duke!F40+Duke!G40+Duke!H40</f>
        <v>268875</v>
      </c>
      <c r="E30" s="70">
        <f t="shared" si="0"/>
        <v>-328927.11961722479</v>
      </c>
      <c r="F30" s="364">
        <f>+DEFS!A40</f>
        <v>37306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324685.49</v>
      </c>
      <c r="C31" s="367">
        <f>+B31/$G$4</f>
        <v>155351.90909090909</v>
      </c>
      <c r="D31" s="14">
        <f>+mewborne!D49</f>
        <v>127480</v>
      </c>
      <c r="E31" s="70">
        <f t="shared" si="0"/>
        <v>27871.909090909088</v>
      </c>
      <c r="F31" s="364">
        <f>+mewborne!A43</f>
        <v>37306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19652.379999999997</v>
      </c>
      <c r="C32" s="367">
        <f>+B32/$G$4</f>
        <v>9403.0526315789466</v>
      </c>
      <c r="D32" s="14">
        <f>+PGETX!E48</f>
        <v>37158</v>
      </c>
      <c r="E32" s="70">
        <f t="shared" si="0"/>
        <v>-27754.947368421053</v>
      </c>
      <c r="F32" s="364">
        <f>+PGETX!E39</f>
        <v>37307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875024.98</v>
      </c>
      <c r="C33" s="367">
        <f>+B33/$G$4</f>
        <v>418672.23923444981</v>
      </c>
      <c r="D33" s="14">
        <f>+PNM!D30</f>
        <v>359207</v>
      </c>
      <c r="E33" s="70">
        <f t="shared" si="0"/>
        <v>59465.239234449808</v>
      </c>
      <c r="F33" s="364">
        <f>+PNM!A23</f>
        <v>37307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1">
        <f>+EOG!J41</f>
        <v>-22014.979999999996</v>
      </c>
      <c r="C34" s="367">
        <f>+B34/$G$4</f>
        <v>-10533.483253588516</v>
      </c>
      <c r="D34" s="14">
        <f>+EOG!D48</f>
        <v>-138209</v>
      </c>
      <c r="E34" s="70">
        <f t="shared" si="0"/>
        <v>127675.51674641148</v>
      </c>
      <c r="F34" s="363">
        <f>+EOG!A41</f>
        <v>37307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20106.579999999998</v>
      </c>
      <c r="C35" s="367">
        <f>+B35/G5</f>
        <v>9620.3732057416273</v>
      </c>
      <c r="D35" s="14">
        <f>+Oasis!D47</f>
        <v>7569</v>
      </c>
      <c r="E35" s="70">
        <f>+C35-D35</f>
        <v>2051.3732057416273</v>
      </c>
      <c r="F35" s="363">
        <f>+Oasis!A40</f>
        <v>37306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8086.5499999999993</v>
      </c>
      <c r="C36" s="367">
        <f>+B36/$G$5</f>
        <v>3869.1626794258373</v>
      </c>
      <c r="D36" s="14">
        <f>+SidR!D48</f>
        <v>3688</v>
      </c>
      <c r="E36" s="70">
        <f t="shared" si="0"/>
        <v>181.16267942583727</v>
      </c>
      <c r="F36" s="364">
        <f>+SidR!A41</f>
        <v>37307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257</v>
      </c>
      <c r="B37" s="611">
        <f>+MiVida_Rich!D41</f>
        <v>-192285.66</v>
      </c>
      <c r="C37" s="367">
        <f>+B37/$G$5</f>
        <v>-92002.708133971304</v>
      </c>
      <c r="D37" s="14">
        <f>+MiVida_Rich!D48</f>
        <v>-45949</v>
      </c>
      <c r="E37" s="70">
        <f>+C37-D37</f>
        <v>-46053.708133971304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172772.75</v>
      </c>
      <c r="C38" s="367">
        <f>+B38/$G$5</f>
        <v>82666.387559808616</v>
      </c>
      <c r="D38" s="14">
        <f>+Dominion!D48</f>
        <v>75519</v>
      </c>
      <c r="E38" s="70">
        <f t="shared" si="0"/>
        <v>7147.3875598086161</v>
      </c>
      <c r="F38" s="364">
        <f>+Dominion!A41</f>
        <v>37307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-25145.1</v>
      </c>
      <c r="C39" s="367">
        <f>+B39/$G$4</f>
        <v>-12031.148325358852</v>
      </c>
      <c r="D39" s="14">
        <f>+WTGmktg!D50</f>
        <v>1536</v>
      </c>
      <c r="E39" s="70">
        <f t="shared" si="0"/>
        <v>-13567.148325358852</v>
      </c>
      <c r="F39" s="364">
        <f>+WTGmktg!A43</f>
        <v>37307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280</v>
      </c>
      <c r="B40" s="345">
        <f>+'WTG inc'!N43</f>
        <v>22003.34</v>
      </c>
      <c r="C40" s="367">
        <f>+B40/G4</f>
        <v>10527.913875598088</v>
      </c>
      <c r="D40" s="14">
        <f>+'WTG inc'!D50</f>
        <v>7032</v>
      </c>
      <c r="E40" s="70">
        <f>+C40-D40</f>
        <v>3495.9138755980875</v>
      </c>
      <c r="F40" s="364">
        <f>+'WTG inc'!A43</f>
        <v>37307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-6970.15</v>
      </c>
      <c r="C41" s="367">
        <f>+B41/$G$5</f>
        <v>-3335</v>
      </c>
      <c r="D41" s="14">
        <f>+Devon!D48</f>
        <v>-3335</v>
      </c>
      <c r="E41" s="70">
        <f t="shared" si="0"/>
        <v>0</v>
      </c>
      <c r="F41" s="364">
        <f>+Devon!A41</f>
        <v>37307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-128931.33</v>
      </c>
      <c r="C42" s="367">
        <f>+B42/$G$4</f>
        <v>-61689.631578947374</v>
      </c>
      <c r="D42" s="14">
        <f>+crosstex!D48</f>
        <v>-38773</v>
      </c>
      <c r="E42" s="70">
        <f t="shared" si="0"/>
        <v>-22916.631578947374</v>
      </c>
      <c r="F42" s="364">
        <f>+crosstex!A41</f>
        <v>37307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113273.51</v>
      </c>
      <c r="C43" s="367">
        <f>+B43/$G$4</f>
        <v>54197.851674641148</v>
      </c>
      <c r="D43" s="14">
        <f>+Amarillo!D48</f>
        <v>48288</v>
      </c>
      <c r="E43" s="70">
        <f t="shared" si="0"/>
        <v>5909.8516746411478</v>
      </c>
      <c r="F43" s="364">
        <f>+Amarillo!A41</f>
        <v>37307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295</v>
      </c>
      <c r="B44" s="605">
        <f>+Stratland!$D$41</f>
        <v>48490.31</v>
      </c>
      <c r="C44" s="368">
        <f>+B44/$G$4</f>
        <v>23201.105263157897</v>
      </c>
      <c r="D44" s="14">
        <f>+Stratland!D48</f>
        <v>17403</v>
      </c>
      <c r="E44" s="70">
        <f>+C44-D44</f>
        <v>5798.1052631578968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306</v>
      </c>
      <c r="B45" s="605">
        <f>+Plains!$N$43</f>
        <v>63241.56</v>
      </c>
      <c r="C45" s="608">
        <f>+B45/$G$4</f>
        <v>30259.119617224882</v>
      </c>
      <c r="D45" s="14">
        <f>+Plains!D50</f>
        <v>22284</v>
      </c>
      <c r="E45" s="70">
        <f>+C45-D45</f>
        <v>7975.1196172248819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47352.91</v>
      </c>
      <c r="C46" s="368">
        <f>+B46/$G$4</f>
        <v>22656.894736842107</v>
      </c>
      <c r="D46" s="14">
        <f>+Continental!D50</f>
        <v>6764</v>
      </c>
      <c r="E46" s="70">
        <f t="shared" si="0"/>
        <v>15892.894736842107</v>
      </c>
      <c r="F46" s="364">
        <f>+Continental!A43</f>
        <v>37307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149573.28999999998</v>
      </c>
      <c r="C47" s="368">
        <f>+B47/$G$5</f>
        <v>71566.167464114827</v>
      </c>
      <c r="D47" s="14">
        <f>+EPFS!D47</f>
        <v>85513</v>
      </c>
      <c r="E47" s="70">
        <f t="shared" si="0"/>
        <v>-13946.832535885173</v>
      </c>
      <c r="F47" s="363">
        <f>+EPFS!A41</f>
        <v>37307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+Agave!$D$24</f>
        <v>98440.930000000008</v>
      </c>
      <c r="C48" s="369">
        <f>+B48/$G$4</f>
        <v>47100.923444976084</v>
      </c>
      <c r="D48" s="349">
        <f>+Agave!D31</f>
        <v>59563</v>
      </c>
      <c r="E48" s="72">
        <f t="shared" si="0"/>
        <v>-12462.076555023916</v>
      </c>
      <c r="F48" s="363">
        <f>+Agave!A24</f>
        <v>37307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2451308.9600000009</v>
      </c>
      <c r="C49" s="392">
        <f>SUBTOTAL(9,C26:C48)</f>
        <v>1172875.1004784687</v>
      </c>
      <c r="D49" s="393">
        <f>SUBTOTAL(9,D26:D48)</f>
        <v>536164</v>
      </c>
      <c r="E49" s="394">
        <f>SUBTOTAL(9,E26:E48)</f>
        <v>636711.10047846893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1717382.5400000005</v>
      </c>
      <c r="C51" s="392">
        <f>SUBTOTAL(9,C12:C48)</f>
        <v>821673.00446570967</v>
      </c>
      <c r="D51" s="393">
        <f>SUBTOTAL(9,D12:D48)</f>
        <v>578713</v>
      </c>
      <c r="E51" s="394">
        <f>SUBTOTAL(9,E12:E48)</f>
        <v>242960.00446570979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2.1</v>
      </c>
      <c r="H57" s="401">
        <f ca="1">NOW()</f>
        <v>41885.682848032404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2.09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2.09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171483</v>
      </c>
      <c r="C66" s="605">
        <f>+B66*$G$4</f>
        <v>358399.47</v>
      </c>
      <c r="D66" s="47">
        <f>+Mojave!D47</f>
        <v>167841.16</v>
      </c>
      <c r="E66" s="47">
        <f>+C66-D66</f>
        <v>190558.30999999997</v>
      </c>
      <c r="F66" s="364">
        <f>+Mojave!A40</f>
        <v>37307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83261</v>
      </c>
      <c r="C67" s="605">
        <f>+B67*$G$4</f>
        <v>174015.49</v>
      </c>
      <c r="D67" s="47">
        <f>+SoCal!D47</f>
        <v>287798.40999999997</v>
      </c>
      <c r="E67" s="47">
        <f>+C67-D67</f>
        <v>-113782.91999999998</v>
      </c>
      <c r="F67" s="364">
        <f>+SoCal!A40</f>
        <v>37307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134322.21</v>
      </c>
      <c r="D68" s="47">
        <f>+'El Paso'!C46</f>
        <v>-1582961.01</v>
      </c>
      <c r="E68" s="47">
        <f>+C68-D68</f>
        <v>1717283.22</v>
      </c>
      <c r="F68" s="364">
        <f>+'El Paso'!A39</f>
        <v>37307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42179</v>
      </c>
      <c r="C69" s="607">
        <f>+B69*$G$4</f>
        <v>88154.11</v>
      </c>
      <c r="D69" s="348">
        <f>+'PG&amp;E'!D47</f>
        <v>-115543.87</v>
      </c>
      <c r="E69" s="348">
        <f>+C69-D69</f>
        <v>203697.97999999998</v>
      </c>
      <c r="F69" s="364">
        <f>+'PG&amp;E'!A40</f>
        <v>37307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361192</v>
      </c>
      <c r="C70" s="387">
        <f>SUBTOTAL(9,C66:C69)</f>
        <v>754891.27999999991</v>
      </c>
      <c r="D70" s="387">
        <f>SUBTOTAL(9,D66:D69)</f>
        <v>-1242865.31</v>
      </c>
      <c r="E70" s="387">
        <f>SUBTOTAL(9,E66:E69)</f>
        <v>1997756.5899999999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62270</v>
      </c>
      <c r="C73" s="606">
        <f>+B73*G57</f>
        <v>130767</v>
      </c>
      <c r="D73" s="200">
        <f>+'Red C'!D52</f>
        <v>476869.8</v>
      </c>
      <c r="E73" s="47">
        <f>+C73-D73</f>
        <v>-346102.8</v>
      </c>
      <c r="F73" s="363">
        <f>+'Red C'!A45</f>
        <v>37307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288</v>
      </c>
      <c r="B74" s="367">
        <f>+Amoco!D40</f>
        <v>-4452</v>
      </c>
      <c r="C74" s="611">
        <f>+B74*$G$3</f>
        <v>-9349.2000000000007</v>
      </c>
      <c r="D74" s="47">
        <f>+Amoco!D47</f>
        <v>325918.59999999998</v>
      </c>
      <c r="E74" s="47">
        <f>+C74-D74</f>
        <v>-335267.8</v>
      </c>
      <c r="F74" s="364">
        <f>+Amoco!A40</f>
        <v>37307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-62810</v>
      </c>
      <c r="C75" s="605">
        <f>+B75*$G$3</f>
        <v>-131901</v>
      </c>
      <c r="D75" s="47">
        <f>+'El Paso'!F46</f>
        <v>-657254.01</v>
      </c>
      <c r="E75" s="47">
        <f>+C75-D75</f>
        <v>525353.01</v>
      </c>
      <c r="F75" s="364">
        <f>+'El Paso'!A39</f>
        <v>37307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-14458</v>
      </c>
      <c r="C76" s="612">
        <f>+B76*$G$3</f>
        <v>-30361.800000000003</v>
      </c>
      <c r="D76" s="348">
        <f>+NW!E49</f>
        <v>-490426.68</v>
      </c>
      <c r="E76" s="348">
        <f>+C76-D76</f>
        <v>460064.88</v>
      </c>
      <c r="F76" s="363">
        <f>+NW!B41</f>
        <v>37307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-19450</v>
      </c>
      <c r="C77" s="387">
        <f>SUBTOTAL(9,C73:C76)</f>
        <v>-40845</v>
      </c>
      <c r="D77" s="387">
        <f>SUBTOTAL(9,D73:D76)</f>
        <v>-344892.2900000001</v>
      </c>
      <c r="E77" s="387">
        <f>SUBTOTAL(9,E73:E76)</f>
        <v>304047.29000000004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84787</v>
      </c>
      <c r="C80" s="605">
        <f>+B80*$G$5</f>
        <v>177204.83</v>
      </c>
      <c r="D80" s="47">
        <f>+NGPL!D45</f>
        <v>229848.44</v>
      </c>
      <c r="E80" s="47">
        <f>+C80-D80</f>
        <v>-52643.610000000015</v>
      </c>
      <c r="F80" s="364">
        <f>+NGPL!A38</f>
        <v>37307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13377</v>
      </c>
      <c r="C81" s="606">
        <f>+B81*$G$4</f>
        <v>27957.929999999997</v>
      </c>
      <c r="D81" s="47">
        <f>+PEPL!D47</f>
        <v>173643.65</v>
      </c>
      <c r="E81" s="47">
        <f>+C81-D81</f>
        <v>-145685.72</v>
      </c>
      <c r="F81" s="364">
        <f>+PEPL!A41</f>
        <v>37307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36756.829999999994</v>
      </c>
      <c r="D82" s="200">
        <f>+CIG!D49</f>
        <v>385897</v>
      </c>
      <c r="E82" s="70">
        <f>+C82-D82</f>
        <v>-349140.17</v>
      </c>
      <c r="F82" s="364">
        <f>+CIG!A42</f>
        <v>37307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44709</v>
      </c>
      <c r="C83" s="607">
        <f>+B83*G59</f>
        <v>93441.81</v>
      </c>
      <c r="D83" s="348">
        <f>+Lonestar!D50</f>
        <v>81957.960000000006</v>
      </c>
      <c r="E83" s="348">
        <f>+C83-D83</f>
        <v>11483.849999999991</v>
      </c>
      <c r="F83" s="363">
        <f>+Lonestar!A43</f>
        <v>37307</v>
      </c>
      <c r="G83" s="32" t="s">
        <v>300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160460</v>
      </c>
      <c r="C84" s="387">
        <f>SUBTOTAL(9,C80:C83)</f>
        <v>335361.39999999997</v>
      </c>
      <c r="D84" s="387">
        <f>SUBTOTAL(9,D80:D83)</f>
        <v>871347.04999999993</v>
      </c>
      <c r="E84" s="387">
        <f>SUBTOTAL(9,E80:E83)</f>
        <v>-535985.65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502202</v>
      </c>
      <c r="C86" s="387">
        <f>SUBTOTAL(9,C66:C83)</f>
        <v>1049407.68</v>
      </c>
      <c r="D86" s="387">
        <f>SUBTOTAL(9,D66:D83)</f>
        <v>-716410.55</v>
      </c>
      <c r="E86" s="387">
        <f>SUBTOTAL(9,E66:E83)</f>
        <v>1765818.23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2766790.2200000007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1323875.0044657097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8" workbookViewId="0">
      <selection activeCell="C48" sqref="C48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3123220</v>
      </c>
      <c r="C37" s="410">
        <f>SUM(C6:C36)</f>
        <v>3123816</v>
      </c>
      <c r="D37" s="410">
        <f>SUM(D6:D36)</f>
        <v>596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37307</v>
      </c>
      <c r="B40" s="285"/>
      <c r="C40" s="435"/>
      <c r="D40" s="307">
        <f>+D39+D37</f>
        <v>-4452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7">
        <v>324667</v>
      </c>
    </row>
    <row r="46" spans="1:16" x14ac:dyDescent="0.2">
      <c r="A46" s="49">
        <f>+A40</f>
        <v>37307</v>
      </c>
      <c r="B46" s="32"/>
      <c r="C46" s="32"/>
      <c r="D46" s="374">
        <f>+D37*'by type_area'!G3</f>
        <v>1251.6000000000001</v>
      </c>
    </row>
    <row r="47" spans="1:16" x14ac:dyDescent="0.2">
      <c r="A47" s="32"/>
      <c r="B47" s="32"/>
      <c r="C47" s="32"/>
      <c r="D47" s="200">
        <f>+D46+D45</f>
        <v>325918.59999999998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-200155</v>
      </c>
      <c r="C36" s="24">
        <f>SUM(C5:C35)</f>
        <v>-200140</v>
      </c>
      <c r="D36" s="24">
        <f t="shared" si="0"/>
        <v>15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2.09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31.349999999999998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37306</v>
      </c>
      <c r="B40"/>
      <c r="C40" s="48"/>
      <c r="D40" s="138">
        <f>+D39+D38</f>
        <v>20106.579999999998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5">
        <v>7554</v>
      </c>
    </row>
    <row r="46" spans="1:65" x14ac:dyDescent="0.2">
      <c r="A46" s="49">
        <f>+A40</f>
        <v>37306</v>
      </c>
      <c r="B46" s="32"/>
      <c r="C46" s="32"/>
      <c r="D46" s="349">
        <f>+D36</f>
        <v>15</v>
      </c>
    </row>
    <row r="47" spans="1:65" x14ac:dyDescent="0.2">
      <c r="A47" s="32"/>
      <c r="B47" s="32"/>
      <c r="C47" s="32"/>
      <c r="D47" s="14">
        <f>+D46+D45</f>
        <v>7569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8" sqref="C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616715+30811</f>
        <v>647526</v>
      </c>
      <c r="C5" s="90">
        <v>669218</v>
      </c>
      <c r="D5" s="90">
        <f>+C5-B5</f>
        <v>21692</v>
      </c>
      <c r="E5" s="275"/>
      <c r="F5" s="273"/>
    </row>
    <row r="6" spans="1:13" x14ac:dyDescent="0.2">
      <c r="A6" s="87">
        <v>78311</v>
      </c>
      <c r="B6" s="90">
        <f>212279+10600+11892</f>
        <v>234771</v>
      </c>
      <c r="C6" s="90">
        <v>230000</v>
      </c>
      <c r="D6" s="90">
        <f t="shared" ref="D6:D17" si="0">+C6-B6</f>
        <v>-4771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f>609739+30889</f>
        <v>640628</v>
      </c>
      <c r="C7" s="90">
        <v>750803</v>
      </c>
      <c r="D7" s="90">
        <f t="shared" si="0"/>
        <v>110175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705759+36922</f>
        <v>742681</v>
      </c>
      <c r="C8" s="90">
        <v>667120</v>
      </c>
      <c r="D8" s="90">
        <f t="shared" si="0"/>
        <v>-75561</v>
      </c>
      <c r="E8" s="455"/>
      <c r="F8" s="273"/>
    </row>
    <row r="9" spans="1:13" x14ac:dyDescent="0.2">
      <c r="A9" s="87">
        <v>500293</v>
      </c>
      <c r="B9" s="90">
        <f>313636+15726</f>
        <v>329362</v>
      </c>
      <c r="C9" s="90">
        <v>385310</v>
      </c>
      <c r="D9" s="90">
        <f t="shared" si="0"/>
        <v>55948</v>
      </c>
      <c r="E9" s="275"/>
      <c r="F9" s="273"/>
    </row>
    <row r="10" spans="1:13" x14ac:dyDescent="0.2">
      <c r="A10" s="87">
        <v>500302</v>
      </c>
      <c r="B10" s="90"/>
      <c r="C10" s="90">
        <v>6060</v>
      </c>
      <c r="D10" s="90">
        <f t="shared" si="0"/>
        <v>6060</v>
      </c>
      <c r="E10" s="275"/>
      <c r="F10" s="273"/>
    </row>
    <row r="11" spans="1:13" x14ac:dyDescent="0.2">
      <c r="A11" s="87">
        <v>500303</v>
      </c>
      <c r="B11" s="90"/>
      <c r="C11" s="90">
        <v>18211</v>
      </c>
      <c r="D11" s="90">
        <f t="shared" si="0"/>
        <v>18211</v>
      </c>
      <c r="E11" s="275"/>
      <c r="F11" s="273"/>
    </row>
    <row r="12" spans="1:13" x14ac:dyDescent="0.2">
      <c r="A12" s="91">
        <v>500305</v>
      </c>
      <c r="B12" s="90">
        <f>937803+48323</f>
        <v>986126</v>
      </c>
      <c r="C12" s="90">
        <v>1053878</v>
      </c>
      <c r="D12" s="90">
        <f t="shared" si="0"/>
        <v>67752</v>
      </c>
      <c r="E12" s="276"/>
      <c r="F12" s="465"/>
      <c r="G12" s="90"/>
    </row>
    <row r="13" spans="1:13" x14ac:dyDescent="0.2">
      <c r="A13" s="87">
        <v>500307</v>
      </c>
      <c r="B13" s="90">
        <f>59494+3199+3101</f>
        <v>65794</v>
      </c>
      <c r="C13" s="90">
        <v>40598</v>
      </c>
      <c r="D13" s="90">
        <f t="shared" si="0"/>
        <v>-25196</v>
      </c>
      <c r="E13" s="275"/>
      <c r="F13" s="273"/>
    </row>
    <row r="14" spans="1:13" x14ac:dyDescent="0.2">
      <c r="A14" s="87">
        <v>500313</v>
      </c>
      <c r="B14" s="90"/>
      <c r="C14" s="90">
        <v>1927</v>
      </c>
      <c r="D14" s="90">
        <f t="shared" si="0"/>
        <v>1927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137860+9000</f>
        <v>146860</v>
      </c>
      <c r="C16" s="90"/>
      <c r="D16" s="90">
        <f t="shared" si="0"/>
        <v>-146860</v>
      </c>
      <c r="E16" s="275"/>
      <c r="F16" s="273"/>
    </row>
    <row r="17" spans="1:7" x14ac:dyDescent="0.2">
      <c r="A17" s="87">
        <v>500657</v>
      </c>
      <c r="B17" s="88">
        <f>71360+4954</f>
        <v>76314</v>
      </c>
      <c r="C17" s="88">
        <v>35848</v>
      </c>
      <c r="D17" s="94">
        <f t="shared" si="0"/>
        <v>-40466</v>
      </c>
      <c r="E17" s="275"/>
      <c r="F17" s="273"/>
      <c r="G17" s="557"/>
    </row>
    <row r="18" spans="1:7" x14ac:dyDescent="0.2">
      <c r="A18" s="87"/>
      <c r="B18" s="88"/>
      <c r="C18" s="88"/>
      <c r="D18" s="88">
        <f>SUM(D5:D17)</f>
        <v>-11089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2.09</v>
      </c>
      <c r="E19" s="277"/>
      <c r="F19" s="465"/>
    </row>
    <row r="20" spans="1:7" x14ac:dyDescent="0.2">
      <c r="A20" s="87"/>
      <c r="B20" s="88"/>
      <c r="C20" s="88"/>
      <c r="D20" s="96">
        <f>+D19*D18</f>
        <v>-23176.01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82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37307</v>
      </c>
      <c r="B24" s="88"/>
      <c r="C24" s="88"/>
      <c r="D24" s="318">
        <f>+D22+D20</f>
        <v>98440.930000000008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67">
        <v>70652</v>
      </c>
    </row>
    <row r="30" spans="1:7" x14ac:dyDescent="0.2">
      <c r="A30" s="49">
        <f>+A24</f>
        <v>37307</v>
      </c>
      <c r="B30" s="32"/>
      <c r="C30" s="32"/>
      <c r="D30" s="349">
        <f>+D18</f>
        <v>-11089</v>
      </c>
    </row>
    <row r="31" spans="1:7" x14ac:dyDescent="0.2">
      <c r="A31" s="32"/>
      <c r="B31" s="32"/>
      <c r="C31" s="32"/>
      <c r="D31" s="14">
        <f>+D30+D29</f>
        <v>59563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0" workbookViewId="0">
      <selection activeCell="E24" sqref="E2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38361</v>
      </c>
      <c r="C23" s="11">
        <v>39089</v>
      </c>
      <c r="D23" s="11">
        <v>30656</v>
      </c>
      <c r="E23" s="11">
        <v>31023</v>
      </c>
      <c r="F23" s="25">
        <f t="shared" si="2"/>
        <v>1095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875773</v>
      </c>
      <c r="C35" s="11">
        <f>SUM(C4:C34)</f>
        <v>882224</v>
      </c>
      <c r="D35" s="11">
        <f>SUM(D4:D34)</f>
        <v>444743</v>
      </c>
      <c r="E35" s="11">
        <f>SUM(E4:E34)</f>
        <v>445420</v>
      </c>
      <c r="F35" s="11">
        <f>+E35-D35+C35-B35</f>
        <v>7128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2.09</v>
      </c>
    </row>
    <row r="38" spans="1:7" x14ac:dyDescent="0.2">
      <c r="C38" s="48"/>
      <c r="D38" s="47"/>
      <c r="E38" s="48"/>
      <c r="F38" s="46">
        <f>+F37*F35</f>
        <v>14897.519999999999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37307</v>
      </c>
      <c r="C41" s="106"/>
      <c r="D41" s="106"/>
      <c r="E41" s="106"/>
      <c r="F41" s="106">
        <f>+F38+F40</f>
        <v>466415.57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37307</v>
      </c>
      <c r="D47" s="349">
        <f>+F35</f>
        <v>7128</v>
      </c>
      <c r="E47" s="11"/>
      <c r="F47" s="11"/>
      <c r="G47" s="25"/>
    </row>
    <row r="48" spans="1:7" x14ac:dyDescent="0.2">
      <c r="D48" s="14">
        <f>+D47+D46</f>
        <v>20812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E25" sqref="E25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3647049</v>
      </c>
      <c r="C36" s="11">
        <f>SUM(C5:C35)</f>
        <v>3756422</v>
      </c>
      <c r="D36" s="11">
        <f>SUM(D5:D35)</f>
        <v>0</v>
      </c>
      <c r="E36" s="11">
        <f>SUM(E5:E35)</f>
        <v>-88640</v>
      </c>
      <c r="F36" s="11">
        <f>SUM(F5:F35)</f>
        <v>20733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37307</v>
      </c>
      <c r="F41" s="332">
        <f>+F39+F36</f>
        <v>-14458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37307</v>
      </c>
      <c r="C48" s="32"/>
      <c r="D48" s="32"/>
      <c r="E48" s="374">
        <f>+F36*'by type_area'!G3</f>
        <v>43539.3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-490426.68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2" workbookViewId="0">
      <selection activeCell="C28" sqref="C2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1879954</v>
      </c>
      <c r="C39" s="11">
        <f>SUM(C8:C38)</f>
        <v>1869116</v>
      </c>
      <c r="D39" s="11">
        <f>SUM(D8:D38)</f>
        <v>-10838</v>
      </c>
      <c r="E39" s="10"/>
      <c r="F39" s="11"/>
      <c r="G39" s="11"/>
      <c r="H39" s="11"/>
    </row>
    <row r="40" spans="1:8" x14ac:dyDescent="0.2">
      <c r="A40" s="26"/>
      <c r="D40" s="75">
        <f>+summary!G4</f>
        <v>2.09</v>
      </c>
      <c r="E40" s="26"/>
      <c r="H40" s="75"/>
    </row>
    <row r="41" spans="1:8" x14ac:dyDescent="0.2">
      <c r="D41" s="195">
        <f>+D40*D39</f>
        <v>-22651.42</v>
      </c>
      <c r="F41" s="247"/>
      <c r="H41" s="195"/>
    </row>
    <row r="42" spans="1:8" x14ac:dyDescent="0.2">
      <c r="A42" s="57">
        <v>37287</v>
      </c>
      <c r="D42" s="596">
        <v>28675</v>
      </c>
      <c r="E42" s="57"/>
      <c r="H42" s="195"/>
    </row>
    <row r="43" spans="1:8" x14ac:dyDescent="0.2">
      <c r="A43" s="57">
        <v>37307</v>
      </c>
      <c r="D43" s="196">
        <f>+D42+D41</f>
        <v>6023.5800000000017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1">
        <v>-42160</v>
      </c>
    </row>
    <row r="49" spans="1:4" x14ac:dyDescent="0.2">
      <c r="A49" s="49">
        <f>+A43</f>
        <v>37307</v>
      </c>
      <c r="B49" s="32"/>
      <c r="C49" s="32"/>
      <c r="D49" s="349">
        <f>+D39</f>
        <v>-10838</v>
      </c>
    </row>
    <row r="50" spans="1:4" x14ac:dyDescent="0.2">
      <c r="A50" s="32"/>
      <c r="B50" s="32"/>
      <c r="C50" s="32"/>
      <c r="D50" s="14">
        <f>+D49+D48</f>
        <v>-52998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2" workbookViewId="0">
      <selection activeCell="B46" sqref="B46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249</v>
      </c>
      <c r="J6" s="15"/>
    </row>
    <row r="7" spans="1:14" x14ac:dyDescent="0.2">
      <c r="A7" s="57">
        <v>37306</v>
      </c>
      <c r="I7" s="3" t="s">
        <v>255</v>
      </c>
      <c r="J7" s="15"/>
    </row>
    <row r="8" spans="1:14" x14ac:dyDescent="0.2">
      <c r="A8" s="248">
        <v>50895</v>
      </c>
      <c r="B8" s="339">
        <f>3951-3829</f>
        <v>122</v>
      </c>
      <c r="J8" s="15"/>
    </row>
    <row r="9" spans="1:14" x14ac:dyDescent="0.2">
      <c r="A9" s="248">
        <v>60874</v>
      </c>
      <c r="B9" s="339">
        <v>1898</v>
      </c>
      <c r="J9" s="15"/>
    </row>
    <row r="10" spans="1:14" x14ac:dyDescent="0.2">
      <c r="A10" s="248">
        <v>78169</v>
      </c>
      <c r="B10" s="339">
        <f>311693-299464-14490</f>
        <v>-2261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9408-7801</f>
        <v>1607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2257-2286</f>
        <v>-29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2540-9416</f>
        <v>-6876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1017852-1034805</f>
        <v>-16953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-22493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2.09</v>
      </c>
      <c r="C19" s="199">
        <f>+B19*B18</f>
        <v>-47010.369999999995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1482466.23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2.09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">
      <c r="E39" s="49">
        <f>+A7</f>
        <v>37306</v>
      </c>
      <c r="F39" s="349">
        <f>+B18</f>
        <v>-22493</v>
      </c>
      <c r="G39" s="349">
        <f>+B31</f>
        <v>0</v>
      </c>
      <c r="H39" s="349">
        <f>+B46</f>
        <v>2922</v>
      </c>
      <c r="I39" s="14"/>
    </row>
    <row r="40" spans="1:9" x14ac:dyDescent="0.2">
      <c r="A40" s="49">
        <v>37287</v>
      </c>
      <c r="C40" s="602">
        <v>855876.1</v>
      </c>
      <c r="F40" s="14">
        <f>+F39+F38</f>
        <v>355207</v>
      </c>
      <c r="G40" s="14">
        <f>+G39+G38</f>
        <v>117857</v>
      </c>
      <c r="H40" s="14">
        <f>+H39+H38</f>
        <v>196357</v>
      </c>
      <c r="I40" s="14">
        <f>+H40+G40+F40</f>
        <v>669421</v>
      </c>
    </row>
    <row r="41" spans="1:9" x14ac:dyDescent="0.2">
      <c r="G41" s="32"/>
      <c r="H41" s="15"/>
      <c r="I41" s="32"/>
    </row>
    <row r="42" spans="1:9" x14ac:dyDescent="0.2">
      <c r="A42" s="245">
        <v>37306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1742</v>
      </c>
      <c r="G45" s="32"/>
      <c r="H45" s="380"/>
      <c r="I45" s="14"/>
    </row>
    <row r="46" spans="1:9" x14ac:dyDescent="0.2">
      <c r="B46" s="14">
        <f>SUM(B43:B45)</f>
        <v>2922</v>
      </c>
      <c r="G46" s="32"/>
      <c r="H46" s="380"/>
      <c r="I46" s="14"/>
    </row>
    <row r="47" spans="1:9" x14ac:dyDescent="0.2">
      <c r="B47" s="199">
        <f>+summary!G5</f>
        <v>2.09</v>
      </c>
      <c r="C47" s="199">
        <f>+B47*B46</f>
        <v>6106.98</v>
      </c>
      <c r="H47" s="380"/>
      <c r="I47" s="14"/>
    </row>
    <row r="48" spans="1:9" x14ac:dyDescent="0.2">
      <c r="C48" s="321">
        <f>+C47+C40</f>
        <v>861983.08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2716820.46</v>
      </c>
      <c r="I57" s="14">
        <f>SUM(I40:I54)</f>
        <v>724754</v>
      </c>
    </row>
    <row r="61" spans="1:9" x14ac:dyDescent="0.2">
      <c r="C61" s="15">
        <f>+DEFS!F49</f>
        <v>-2842329.39</v>
      </c>
    </row>
    <row r="62" spans="1:9" x14ac:dyDescent="0.2">
      <c r="C62" s="15">
        <f>+C61+C57</f>
        <v>-125508.93000000017</v>
      </c>
      <c r="I62" s="31">
        <f>+I57+DEFS!K49</f>
        <v>268875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1482466.23</v>
      </c>
      <c r="C72" s="14">
        <f>+F40</f>
        <v>355207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861983.08</v>
      </c>
      <c r="C74" s="14">
        <f>+H40</f>
        <v>196357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-634573.25</v>
      </c>
      <c r="C78" s="14">
        <f>+DEFS!J36</f>
        <v>-158710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-125508.92999999982</v>
      </c>
      <c r="C83" s="16">
        <f>SUM(C72:C82)</f>
        <v>268875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8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35314</v>
      </c>
      <c r="E22" s="11">
        <v>34133</v>
      </c>
      <c r="F22" s="11">
        <f t="shared" si="0"/>
        <v>-1181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656739</v>
      </c>
      <c r="E35" s="11">
        <f>SUM(E4:E34)</f>
        <v>647952</v>
      </c>
      <c r="F35" s="11">
        <f>SUM(F4:F34)</f>
        <v>-8787</v>
      </c>
      <c r="G35" s="11"/>
      <c r="H35" s="49">
        <f>+A40</f>
        <v>37306</v>
      </c>
      <c r="I35" s="349">
        <f>+C36</f>
        <v>0</v>
      </c>
      <c r="J35" s="349">
        <f>+E36</f>
        <v>-8787</v>
      </c>
      <c r="K35" s="206"/>
      <c r="L35" s="14"/>
    </row>
    <row r="36" spans="1:13" x14ac:dyDescent="0.2">
      <c r="C36" s="25">
        <f>+C35-B35</f>
        <v>0</v>
      </c>
      <c r="E36" s="25">
        <f>+E35-D35</f>
        <v>-8787</v>
      </c>
      <c r="F36" s="25">
        <f>+E36+C36</f>
        <v>-8787</v>
      </c>
      <c r="H36" s="32"/>
      <c r="I36" s="14">
        <f>+I35+I34</f>
        <v>-183967</v>
      </c>
      <c r="J36" s="14">
        <f>+J35+J34</f>
        <v>-158710</v>
      </c>
      <c r="K36" s="14">
        <f>+J36+I36</f>
        <v>-342677</v>
      </c>
      <c r="L36" s="14"/>
    </row>
    <row r="37" spans="1:13" x14ac:dyDescent="0.2">
      <c r="C37" s="313">
        <f>+summary!G5</f>
        <v>2.09</v>
      </c>
      <c r="E37" s="104">
        <f>+C37</f>
        <v>2.09</v>
      </c>
      <c r="F37" s="138">
        <f>+F36*E37</f>
        <v>-18364.829999999998</v>
      </c>
    </row>
    <row r="38" spans="1:13" x14ac:dyDescent="0.2">
      <c r="C38" s="138">
        <f>+C37*C36</f>
        <v>0</v>
      </c>
      <c r="E38" s="136">
        <f>+E37*E36</f>
        <v>-18364.829999999998</v>
      </c>
      <c r="F38" s="138">
        <f>+E38+C38</f>
        <v>-18364.829999999998</v>
      </c>
    </row>
    <row r="39" spans="1:13" x14ac:dyDescent="0.2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">
      <c r="A40" s="57">
        <v>37306</v>
      </c>
      <c r="B40" s="2" t="s">
        <v>45</v>
      </c>
      <c r="C40" s="314">
        <f>+C39+C38</f>
        <v>-1035385.61</v>
      </c>
      <c r="D40" s="252"/>
      <c r="E40" s="314">
        <f>+E39+E38</f>
        <v>-634573.25</v>
      </c>
      <c r="F40" s="314">
        <f>+E40+C40</f>
        <v>-1669958.8599999999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-2842329.39</v>
      </c>
      <c r="G49" s="246"/>
      <c r="K49" s="14">
        <f>SUM(K36:K48)</f>
        <v>-455879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2716820.46</v>
      </c>
      <c r="M51" s="14">
        <f>+Duke!I57</f>
        <v>724754</v>
      </c>
    </row>
    <row r="53" spans="3:13" x14ac:dyDescent="0.2">
      <c r="F53" s="104">
        <f>+F51+F49</f>
        <v>-125508.93000000017</v>
      </c>
      <c r="M53" s="16">
        <f>+M51+K49</f>
        <v>268875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-158710</v>
      </c>
      <c r="C74" s="247">
        <f>+E40</f>
        <v>-634573.25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196357</v>
      </c>
      <c r="C77" s="259">
        <f>+Duke!C48</f>
        <v>861983.08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355207</v>
      </c>
      <c r="C79" s="259">
        <f>+Duke!C20</f>
        <v>1482466.23</v>
      </c>
    </row>
    <row r="81" spans="2:3" x14ac:dyDescent="0.2">
      <c r="B81" s="31">
        <f>SUM(B68:B80)</f>
        <v>268875</v>
      </c>
      <c r="C81" s="259">
        <f>SUM(C68:C80)</f>
        <v>-125508.92999999993</v>
      </c>
    </row>
    <row r="82" spans="2:3" x14ac:dyDescent="0.2">
      <c r="C82">
        <f>+C81/B81</f>
        <v>-0.46679285913528568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D49" sqref="D4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5649</v>
      </c>
      <c r="C26" s="11">
        <v>6011</v>
      </c>
      <c r="D26" s="11"/>
      <c r="E26" s="11">
        <v>6</v>
      </c>
      <c r="F26" s="129">
        <v>1026</v>
      </c>
      <c r="G26" s="11">
        <v>581</v>
      </c>
      <c r="H26" s="11">
        <v>1661</v>
      </c>
      <c r="I26" s="11">
        <v>895</v>
      </c>
      <c r="J26" s="25">
        <f t="shared" si="0"/>
        <v>-843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102474</v>
      </c>
      <c r="C39" s="11">
        <f t="shared" si="1"/>
        <v>111709</v>
      </c>
      <c r="D39" s="11">
        <f t="shared" si="1"/>
        <v>252</v>
      </c>
      <c r="E39" s="11">
        <f t="shared" si="1"/>
        <v>114</v>
      </c>
      <c r="F39" s="129">
        <f t="shared" si="1"/>
        <v>16712</v>
      </c>
      <c r="G39" s="11">
        <f t="shared" si="1"/>
        <v>11039</v>
      </c>
      <c r="H39" s="11">
        <f t="shared" si="1"/>
        <v>28368</v>
      </c>
      <c r="I39" s="11">
        <f t="shared" si="1"/>
        <v>17005</v>
      </c>
      <c r="J39" s="25">
        <f t="shared" si="1"/>
        <v>-7939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-16592.509999999998</v>
      </c>
      <c r="L41"/>
      <c r="R41" s="138"/>
      <c r="X41" s="138"/>
    </row>
    <row r="42" spans="1:24" x14ac:dyDescent="0.2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37306</v>
      </c>
      <c r="C43" s="48"/>
      <c r="J43" s="138">
        <f>+J42+J41</f>
        <v>324685.49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7">
        <v>135419</v>
      </c>
      <c r="L47"/>
    </row>
    <row r="48" spans="1:24" x14ac:dyDescent="0.2">
      <c r="A48" s="49">
        <f>+A43</f>
        <v>37306</v>
      </c>
      <c r="B48" s="32"/>
      <c r="C48" s="32"/>
      <c r="D48" s="349">
        <f>+J39</f>
        <v>-7939</v>
      </c>
      <c r="L48"/>
    </row>
    <row r="49" spans="1:12" x14ac:dyDescent="0.2">
      <c r="A49" s="32"/>
      <c r="B49" s="32"/>
      <c r="C49" s="32"/>
      <c r="D49" s="14">
        <f>+D48+D47</f>
        <v>127480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27" sqref="D27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-7746</v>
      </c>
      <c r="E39" s="410">
        <f>SUM(E8:E38)</f>
        <v>0</v>
      </c>
      <c r="F39" s="410">
        <f>SUM(F8:F38)</f>
        <v>7746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16189.14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37306</v>
      </c>
      <c r="B43" s="285"/>
      <c r="C43" s="435"/>
      <c r="D43" s="435"/>
      <c r="E43" s="435"/>
      <c r="F43" s="416">
        <f>+F42+F41</f>
        <v>168423.77000000002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5">
        <v>-368359</v>
      </c>
      <c r="E47" s="11"/>
    </row>
    <row r="48" spans="1:26" x14ac:dyDescent="0.2">
      <c r="A48" s="49">
        <f>+A43</f>
        <v>37306</v>
      </c>
      <c r="B48" s="32"/>
      <c r="C48" s="32"/>
      <c r="D48" s="349">
        <f>+F39</f>
        <v>7746</v>
      </c>
      <c r="E48" s="11"/>
    </row>
    <row r="49" spans="1:5" x14ac:dyDescent="0.2">
      <c r="A49" s="32"/>
      <c r="B49" s="32"/>
      <c r="C49" s="32"/>
      <c r="D49" s="14">
        <f>+D48+D47</f>
        <v>-360613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E17" sqref="E17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2.1</v>
      </c>
      <c r="J3" s="373">
        <f ca="1">NOW()</f>
        <v>41885.682848032404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2.09</v>
      </c>
    </row>
    <row r="5" spans="1:33" ht="15" customHeight="1" x14ac:dyDescent="0.2">
      <c r="B5" s="553"/>
      <c r="F5" s="549" t="s">
        <v>117</v>
      </c>
      <c r="G5" s="550">
        <f>+'[3]1001'!$H$39</f>
        <v>2.09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875024.98</v>
      </c>
      <c r="C8" s="275">
        <f>+B8/$G$4</f>
        <v>418672.23923444981</v>
      </c>
      <c r="D8" s="364">
        <f>+PNM!A23</f>
        <v>37307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466415.57</v>
      </c>
      <c r="C9" s="275">
        <f>+B9/$G$4</f>
        <v>223165.34449760767</v>
      </c>
      <c r="D9" s="363">
        <f>+Conoco!A41</f>
        <v>37307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358399.47</v>
      </c>
      <c r="C10" s="275">
        <f>+Mojave!D40</f>
        <v>171483</v>
      </c>
      <c r="D10" s="364">
        <f>+Mojave!A40</f>
        <v>37307</v>
      </c>
      <c r="E10" s="32" t="s">
        <v>84</v>
      </c>
      <c r="F10" s="32" t="s">
        <v>153</v>
      </c>
      <c r="G10" s="32" t="s">
        <v>100</v>
      </c>
      <c r="H10" s="609" t="s">
        <v>314</v>
      </c>
      <c r="I10" s="60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324685.49</v>
      </c>
      <c r="C11" s="275">
        <f>+B11/$G$4</f>
        <v>155351.90909090909</v>
      </c>
      <c r="D11" s="364">
        <f>+mewborne!A43</f>
        <v>37306</v>
      </c>
      <c r="E11" s="32" t="s">
        <v>85</v>
      </c>
      <c r="F11" s="32" t="s">
        <v>299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107</v>
      </c>
      <c r="B12" s="345">
        <f>+KN_Westar!F41</f>
        <v>322489.44</v>
      </c>
      <c r="C12" s="275">
        <f>+B12/$G$4</f>
        <v>154301.16746411484</v>
      </c>
      <c r="D12" s="364">
        <f>+KN_Westar!A41</f>
        <v>37306</v>
      </c>
      <c r="E12" s="32" t="s">
        <v>85</v>
      </c>
      <c r="F12" s="32" t="s">
        <v>153</v>
      </c>
      <c r="G12" s="32" t="s">
        <v>100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88</v>
      </c>
      <c r="B13" s="345">
        <f>+C13*$G$5</f>
        <v>177204.83</v>
      </c>
      <c r="C13" s="275">
        <f>+NGPL!H38</f>
        <v>84787</v>
      </c>
      <c r="D13" s="364">
        <f>+NGPL!A38</f>
        <v>37307</v>
      </c>
      <c r="E13" s="204" t="s">
        <v>84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204" t="s">
        <v>32</v>
      </c>
      <c r="B14" s="345">
        <f>+C14*$G$4</f>
        <v>174015.49</v>
      </c>
      <c r="C14" s="206">
        <f>+SoCal!F40</f>
        <v>83261</v>
      </c>
      <c r="D14" s="363">
        <f>+SoCal!A40</f>
        <v>37307</v>
      </c>
      <c r="E14" s="204" t="s">
        <v>84</v>
      </c>
      <c r="F14" s="204" t="s">
        <v>152</v>
      </c>
      <c r="G14" s="204" t="s">
        <v>102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206</v>
      </c>
      <c r="B15" s="345">
        <f>+Dominion!D41</f>
        <v>172772.75</v>
      </c>
      <c r="C15" s="275">
        <f>+B15/$G$5</f>
        <v>82666.387559808616</v>
      </c>
      <c r="D15" s="364">
        <f>+Dominion!A41</f>
        <v>37307</v>
      </c>
      <c r="E15" s="32" t="s">
        <v>85</v>
      </c>
      <c r="F15" s="32" t="s">
        <v>299</v>
      </c>
      <c r="G15" s="32" t="s">
        <v>99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3</v>
      </c>
      <c r="B16" s="345">
        <f>+'Amoco Abo'!$F$43</f>
        <v>168423.77000000002</v>
      </c>
      <c r="C16" s="275">
        <f>+B16/$G$4</f>
        <v>80585.535885167483</v>
      </c>
      <c r="D16" s="364">
        <f>+'Amoco Abo'!A43</f>
        <v>37306</v>
      </c>
      <c r="E16" s="32" t="s">
        <v>85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129</v>
      </c>
      <c r="B17" s="345">
        <f>+EPFS!D41</f>
        <v>149573.28999999998</v>
      </c>
      <c r="C17" s="206">
        <f>+B17/$G$5</f>
        <v>71566.167464114827</v>
      </c>
      <c r="D17" s="363">
        <f>+EPFS!A41</f>
        <v>37307</v>
      </c>
      <c r="E17" s="32" t="s">
        <v>85</v>
      </c>
      <c r="F17" s="32" t="s">
        <v>153</v>
      </c>
      <c r="G17" s="32" t="s">
        <v>102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130767</v>
      </c>
      <c r="C18" s="347">
        <f>+'Red C'!$F$45</f>
        <v>62270</v>
      </c>
      <c r="D18" s="363">
        <f>+'Red C'!A45</f>
        <v>37307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217</v>
      </c>
      <c r="B19" s="345">
        <f>+Amarillo!P41</f>
        <v>113273.51</v>
      </c>
      <c r="C19" s="275">
        <f>+B19/$G$4</f>
        <v>54197.851674641148</v>
      </c>
      <c r="D19" s="364">
        <f>+Amarillo!A41</f>
        <v>37307</v>
      </c>
      <c r="E19" s="32" t="s">
        <v>85</v>
      </c>
      <c r="F19" s="32" t="s">
        <v>300</v>
      </c>
      <c r="G19" s="32" t="s">
        <v>113</v>
      </c>
      <c r="H19" s="3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442" t="s">
        <v>79</v>
      </c>
      <c r="B20" s="501">
        <f>+Agave!$D$24</f>
        <v>98440.930000000008</v>
      </c>
      <c r="C20" s="462">
        <f>+B20/$G$4</f>
        <v>47100.923444976084</v>
      </c>
      <c r="D20" s="461">
        <f>+Agave!A24</f>
        <v>37307</v>
      </c>
      <c r="E20" s="442" t="s">
        <v>85</v>
      </c>
      <c r="F20" s="442" t="s">
        <v>300</v>
      </c>
      <c r="G20" s="442" t="s">
        <v>102</v>
      </c>
      <c r="H20" s="44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31</v>
      </c>
      <c r="B21" s="345">
        <f>+C21*$G$5</f>
        <v>93441.81</v>
      </c>
      <c r="C21" s="275">
        <f>+Lonestar!F43</f>
        <v>44709</v>
      </c>
      <c r="D21" s="363">
        <f>+Lonestar!A43</f>
        <v>37307</v>
      </c>
      <c r="E21" s="32" t="s">
        <v>84</v>
      </c>
      <c r="F21" s="32" t="s">
        <v>300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114</v>
      </c>
      <c r="B22" s="345">
        <f>+C22*$G$4</f>
        <v>88154.11</v>
      </c>
      <c r="C22" s="206">
        <f>+'PG&amp;E'!D40</f>
        <v>42179</v>
      </c>
      <c r="D22" s="364">
        <f>+'PG&amp;E'!A40</f>
        <v>37307</v>
      </c>
      <c r="E22" s="32" t="s">
        <v>84</v>
      </c>
      <c r="F22" s="32" t="s">
        <v>153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28</v>
      </c>
      <c r="B23" s="345">
        <f>+C23*$G$3</f>
        <v>75660.900000000009</v>
      </c>
      <c r="C23" s="275">
        <f>+williams!J40</f>
        <v>36029</v>
      </c>
      <c r="D23" s="363">
        <f>+williams!A40</f>
        <v>37307</v>
      </c>
      <c r="E23" s="204" t="s">
        <v>85</v>
      </c>
      <c r="F23" s="204" t="s">
        <v>153</v>
      </c>
      <c r="G23" s="204" t="s">
        <v>290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306</v>
      </c>
      <c r="B24" s="345">
        <f>+Plains!$N$43</f>
        <v>63241.56</v>
      </c>
      <c r="C24" s="206">
        <f>+B24/$G$4</f>
        <v>30259.119617224882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139</v>
      </c>
      <c r="B25" s="345">
        <f>+'Citizens-Griffith'!D41</f>
        <v>55011.24</v>
      </c>
      <c r="C25" s="275">
        <f>+B25/$G$4</f>
        <v>26321.167464114835</v>
      </c>
      <c r="D25" s="363">
        <f>+'Citizens-Griffith'!A41</f>
        <v>37307</v>
      </c>
      <c r="E25" s="204" t="s">
        <v>85</v>
      </c>
      <c r="F25" s="204" t="s">
        <v>300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32" t="s">
        <v>297</v>
      </c>
      <c r="B26" s="345">
        <f>+Stratland!$D$41</f>
        <v>48490.31</v>
      </c>
      <c r="C26" s="275">
        <f>+B26/$G$4</f>
        <v>23201.105263157897</v>
      </c>
      <c r="D26" s="363">
        <f>+Stratland!A41</f>
        <v>37287</v>
      </c>
      <c r="E26" s="32" t="s">
        <v>85</v>
      </c>
      <c r="F26" s="32" t="s">
        <v>299</v>
      </c>
      <c r="G26" s="32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204" t="s">
        <v>127</v>
      </c>
      <c r="B27" s="345">
        <f>+Calpine!D41</f>
        <v>48435.329999999994</v>
      </c>
      <c r="C27" s="206">
        <f>+B27/$G$4</f>
        <v>23174.799043062201</v>
      </c>
      <c r="D27" s="363">
        <f>+Calpine!A41</f>
        <v>37307</v>
      </c>
      <c r="E27" s="204" t="s">
        <v>85</v>
      </c>
      <c r="F27" s="204" t="s">
        <v>152</v>
      </c>
      <c r="G27" s="204" t="s">
        <v>99</v>
      </c>
      <c r="H27" s="204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109</v>
      </c>
      <c r="B28" s="345">
        <f>+Continental!F43</f>
        <v>47352.91</v>
      </c>
      <c r="C28" s="206">
        <f>+B28/$G$4</f>
        <v>22656.894736842107</v>
      </c>
      <c r="D28" s="363">
        <f>+Continental!A43</f>
        <v>37307</v>
      </c>
      <c r="E28" s="204" t="s">
        <v>85</v>
      </c>
      <c r="F28" s="204" t="s">
        <v>153</v>
      </c>
      <c r="G28" s="204" t="s">
        <v>115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110</v>
      </c>
      <c r="B29" s="345">
        <f>+C29*$G$4</f>
        <v>36756.829999999994</v>
      </c>
      <c r="C29" s="275">
        <f>+CIG!D42</f>
        <v>17587</v>
      </c>
      <c r="D29" s="364">
        <f>+CIG!A42</f>
        <v>37307</v>
      </c>
      <c r="E29" s="204" t="s">
        <v>84</v>
      </c>
      <c r="F29" s="32" t="s">
        <v>153</v>
      </c>
      <c r="G29" s="32" t="s">
        <v>113</v>
      </c>
      <c r="H29" s="609" t="s">
        <v>314</v>
      </c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204" t="s">
        <v>87</v>
      </c>
      <c r="B30" s="345">
        <f>+NNG!$D$24</f>
        <v>32131.75</v>
      </c>
      <c r="C30" s="275">
        <f>+B30/$G$4</f>
        <v>15374.043062200957</v>
      </c>
      <c r="D30" s="363">
        <f>+NNG!A24</f>
        <v>37307</v>
      </c>
      <c r="E30" s="204" t="s">
        <v>85</v>
      </c>
      <c r="F30" s="204" t="s">
        <v>299</v>
      </c>
      <c r="G30" s="204" t="s">
        <v>100</v>
      </c>
      <c r="H30" s="204"/>
      <c r="I30" s="60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142</v>
      </c>
      <c r="B31" s="346">
        <f>+C31*$G$4</f>
        <v>27957.929999999997</v>
      </c>
      <c r="C31" s="347">
        <f>+PEPL!D41</f>
        <v>13377</v>
      </c>
      <c r="D31" s="363">
        <f>+PEPL!A41</f>
        <v>37307</v>
      </c>
      <c r="E31" s="204" t="s">
        <v>84</v>
      </c>
      <c r="F31" s="204" t="s">
        <v>300</v>
      </c>
      <c r="G31" s="204" t="s">
        <v>100</v>
      </c>
      <c r="H31" s="32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280</v>
      </c>
      <c r="B32" s="345">
        <f>+'WTG inc'!N43</f>
        <v>22003.34</v>
      </c>
      <c r="C32" s="275">
        <f>+B32/$G$4</f>
        <v>10527.913875598088</v>
      </c>
      <c r="D32" s="364">
        <f>+'WTG inc'!A43</f>
        <v>37307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6</v>
      </c>
      <c r="B33" s="345">
        <f>+Oasis!$D$40</f>
        <v>20106.579999999998</v>
      </c>
      <c r="C33" s="206">
        <f>+B33/$G$5</f>
        <v>9620.3732057416273</v>
      </c>
      <c r="D33" s="364">
        <f>+Oasis!A40</f>
        <v>37306</v>
      </c>
      <c r="E33" s="32" t="s">
        <v>85</v>
      </c>
      <c r="F33" s="32" t="s">
        <v>153</v>
      </c>
      <c r="G33" s="32" t="s">
        <v>102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146</v>
      </c>
      <c r="B34" s="345">
        <f>+PGETX!$H$39</f>
        <v>19652.379999999997</v>
      </c>
      <c r="C34" s="275">
        <f>+B34/$G$4</f>
        <v>9403.0526315789466</v>
      </c>
      <c r="D34" s="363">
        <f>+PGETX!E39</f>
        <v>37307</v>
      </c>
      <c r="E34" s="204" t="s">
        <v>85</v>
      </c>
      <c r="F34" s="204" t="s">
        <v>153</v>
      </c>
      <c r="G34" s="204" t="s">
        <v>102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4" customFormat="1" ht="13.5" customHeight="1" x14ac:dyDescent="0.2">
      <c r="A35" s="32" t="s">
        <v>131</v>
      </c>
      <c r="B35" s="345">
        <f>+SidR!D41</f>
        <v>8086.5499999999993</v>
      </c>
      <c r="C35" s="275">
        <f>+B35/$G$5</f>
        <v>3869.1626794258373</v>
      </c>
      <c r="D35" s="364">
        <f>+SidR!A41</f>
        <v>37307</v>
      </c>
      <c r="E35" s="32" t="s">
        <v>85</v>
      </c>
      <c r="F35" s="32" t="s">
        <v>151</v>
      </c>
      <c r="G35" s="32" t="s">
        <v>102</v>
      </c>
      <c r="H35" s="32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04" t="s">
        <v>71</v>
      </c>
      <c r="B36" s="346">
        <f>+transcol!$D$43</f>
        <v>6023.5800000000017</v>
      </c>
      <c r="C36" s="347">
        <f>+B36/$G$4</f>
        <v>2882.0956937799056</v>
      </c>
      <c r="D36" s="363">
        <f>+transcol!A43</f>
        <v>37307</v>
      </c>
      <c r="E36" s="204" t="s">
        <v>85</v>
      </c>
      <c r="F36" s="204" t="s">
        <v>152</v>
      </c>
      <c r="G36" s="204" t="s">
        <v>115</v>
      </c>
      <c r="H36" s="204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2.95" customHeight="1" x14ac:dyDescent="0.2">
      <c r="A37" s="204" t="s">
        <v>33</v>
      </c>
      <c r="B37" s="348">
        <f>+'El Paso'!C39*summary!G4+'El Paso'!E39*summary!G3</f>
        <v>2421.2099999999919</v>
      </c>
      <c r="C37" s="71">
        <f>+'El Paso'!H39</f>
        <v>1459</v>
      </c>
      <c r="D37" s="363">
        <f>+'El Paso'!A39</f>
        <v>37307</v>
      </c>
      <c r="E37" s="204" t="s">
        <v>84</v>
      </c>
      <c r="F37" s="204" t="s">
        <v>153</v>
      </c>
      <c r="G37" s="204" t="s">
        <v>100</v>
      </c>
      <c r="H37" s="204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">
      <c r="A38" s="32" t="s">
        <v>96</v>
      </c>
      <c r="B38" s="47">
        <f>SUM(B8:B37)</f>
        <v>4226414.8400000008</v>
      </c>
      <c r="C38" s="69">
        <f>SUM(C8:C37)</f>
        <v>2022038.2535885165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3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5">
        <f>+Citizens!D18</f>
        <v>-568396.96000000008</v>
      </c>
      <c r="C41" s="206">
        <f>+B41/$G$4</f>
        <v>-271960.26794258377</v>
      </c>
      <c r="D41" s="363">
        <f>+Citizens!A18</f>
        <v>37307</v>
      </c>
      <c r="E41" s="204" t="s">
        <v>85</v>
      </c>
      <c r="F41" s="204" t="s">
        <v>300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5">
        <f>+'NS Steel'!D41</f>
        <v>-264854.34999999998</v>
      </c>
      <c r="C42" s="206">
        <f>+B42/$G$4</f>
        <v>-126724.56937799042</v>
      </c>
      <c r="D42" s="364">
        <f>+'NS Steel'!A41</f>
        <v>37307</v>
      </c>
      <c r="E42" s="32" t="s">
        <v>85</v>
      </c>
      <c r="F42" s="32" t="s">
        <v>153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257</v>
      </c>
      <c r="B43" s="345">
        <f>+MiVida_Rich!D41</f>
        <v>-192285.66</v>
      </c>
      <c r="C43" s="206">
        <f>+B43/$G$5</f>
        <v>-92002.708133971304</v>
      </c>
      <c r="D43" s="363">
        <f>+MiVida_Rich!A41</f>
        <v>37287</v>
      </c>
      <c r="E43" s="204" t="s">
        <v>85</v>
      </c>
      <c r="F43" s="204" t="s">
        <v>151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215</v>
      </c>
      <c r="B44" s="345">
        <f>+crosstex!F41</f>
        <v>-128931.33</v>
      </c>
      <c r="C44" s="206">
        <f>+B44/$G$4</f>
        <v>-61689.631578947374</v>
      </c>
      <c r="D44" s="364">
        <f>+crosstex!A41</f>
        <v>37307</v>
      </c>
      <c r="E44" s="32" t="s">
        <v>85</v>
      </c>
      <c r="F44" s="32" t="s">
        <v>151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5" customFormat="1" ht="13.5" customHeight="1" x14ac:dyDescent="0.2">
      <c r="A45" s="204" t="s">
        <v>310</v>
      </c>
      <c r="B45" s="346">
        <f>+Duke!B83</f>
        <v>-125508.92999999982</v>
      </c>
      <c r="C45" s="347">
        <f>+B45/$G$5</f>
        <v>-60052.119617224795</v>
      </c>
      <c r="D45" s="363">
        <f>+DEFS!A40</f>
        <v>37306</v>
      </c>
      <c r="E45" s="204" t="s">
        <v>85</v>
      </c>
      <c r="F45" s="32" t="s">
        <v>152</v>
      </c>
      <c r="G45" s="32" t="s">
        <v>100</v>
      </c>
      <c r="H45" s="32"/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">
      <c r="A46" s="204" t="s">
        <v>95</v>
      </c>
      <c r="B46" s="345">
        <f>+burlington!D42</f>
        <v>-57609.16</v>
      </c>
      <c r="C46" s="275">
        <f>+B46/$G$3</f>
        <v>-27432.933333333334</v>
      </c>
      <c r="D46" s="363">
        <f>+burlington!A42</f>
        <v>37307</v>
      </c>
      <c r="E46" s="204" t="s">
        <v>85</v>
      </c>
      <c r="F46" s="32" t="s">
        <v>153</v>
      </c>
      <c r="G46" s="32" t="s">
        <v>113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4" customFormat="1" ht="13.5" customHeight="1" x14ac:dyDescent="0.2">
      <c r="A47" s="32" t="s">
        <v>1</v>
      </c>
      <c r="B47" s="345">
        <f>+C47*$G$3</f>
        <v>-30361.800000000003</v>
      </c>
      <c r="C47" s="206">
        <f>+NW!$F$41</f>
        <v>-14458</v>
      </c>
      <c r="D47" s="363">
        <f>+NW!B41</f>
        <v>37307</v>
      </c>
      <c r="E47" s="32" t="s">
        <v>84</v>
      </c>
      <c r="F47" s="32" t="s">
        <v>152</v>
      </c>
      <c r="G47" s="32" t="s">
        <v>115</v>
      </c>
      <c r="H47" s="351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32" t="s">
        <v>277</v>
      </c>
      <c r="B48" s="345">
        <f>+SWGasTrans!$D$41</f>
        <v>-28197</v>
      </c>
      <c r="C48" s="275">
        <f>+B48/$G$4</f>
        <v>-13491.387559808614</v>
      </c>
      <c r="D48" s="363">
        <f>+SWGasTrans!A41</f>
        <v>37307</v>
      </c>
      <c r="E48" s="32" t="s">
        <v>85</v>
      </c>
      <c r="F48" s="32" t="s">
        <v>152</v>
      </c>
      <c r="G48" s="32" t="s">
        <v>99</v>
      </c>
      <c r="H48" s="32"/>
      <c r="I48" s="32"/>
      <c r="J48" s="32"/>
      <c r="K48" s="32"/>
      <c r="L48" s="32"/>
      <c r="M48" s="32" t="s">
        <v>243</v>
      </c>
      <c r="N48" s="379">
        <v>23995</v>
      </c>
      <c r="O48" s="70">
        <v>-1023166</v>
      </c>
      <c r="P48" s="32" t="s">
        <v>245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204" t="s">
        <v>203</v>
      </c>
      <c r="B49" s="346">
        <f>+WTGmktg!J43</f>
        <v>-25145.1</v>
      </c>
      <c r="C49" s="206">
        <f>+B49/$G$4</f>
        <v>-12031.148325358852</v>
      </c>
      <c r="D49" s="363">
        <f>+WTGmktg!A43</f>
        <v>37307</v>
      </c>
      <c r="E49" s="32" t="s">
        <v>85</v>
      </c>
      <c r="F49" s="204" t="s">
        <v>152</v>
      </c>
      <c r="G49" s="204" t="s">
        <v>115</v>
      </c>
      <c r="H49" s="204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4" customFormat="1" ht="13.5" customHeight="1" x14ac:dyDescent="0.2">
      <c r="A50" s="32" t="s">
        <v>103</v>
      </c>
      <c r="B50" s="345">
        <f>+EOG!$J$41</f>
        <v>-22014.979999999996</v>
      </c>
      <c r="C50" s="275">
        <f>+B50/$G$4</f>
        <v>-10533.483253588516</v>
      </c>
      <c r="D50" s="363">
        <f>+EOG!A41</f>
        <v>37307</v>
      </c>
      <c r="E50" s="32" t="s">
        <v>85</v>
      </c>
      <c r="F50" s="32" t="s">
        <v>299</v>
      </c>
      <c r="G50" s="32" t="s">
        <v>102</v>
      </c>
      <c r="H50" s="32"/>
      <c r="I50" s="204"/>
      <c r="J50" s="204"/>
      <c r="K50" s="204"/>
      <c r="L50" s="204"/>
      <c r="M50" s="204" t="s">
        <v>242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">
      <c r="A51" s="32" t="s">
        <v>288</v>
      </c>
      <c r="B51" s="345">
        <f>+C51*$G$3</f>
        <v>-9349.2000000000007</v>
      </c>
      <c r="C51" s="275">
        <f>+Amoco!D40</f>
        <v>-4452</v>
      </c>
      <c r="D51" s="364">
        <f>+Amoco!A40</f>
        <v>37307</v>
      </c>
      <c r="E51" s="32" t="s">
        <v>84</v>
      </c>
      <c r="F51" s="32" t="s">
        <v>152</v>
      </c>
      <c r="G51" s="32" t="s">
        <v>115</v>
      </c>
      <c r="H51" s="249"/>
      <c r="I51" s="204"/>
      <c r="J51" s="204"/>
      <c r="K51" s="204"/>
      <c r="L51" s="204"/>
      <c r="M51" s="204"/>
      <c r="N51" s="469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">
      <c r="A52" s="32" t="s">
        <v>209</v>
      </c>
      <c r="B52" s="348">
        <f>+Devon!D41</f>
        <v>-6970.15</v>
      </c>
      <c r="C52" s="71">
        <f>+B52/$G$5</f>
        <v>-3335</v>
      </c>
      <c r="D52" s="364">
        <f>+Devon!A41</f>
        <v>37307</v>
      </c>
      <c r="E52" s="32" t="s">
        <v>85</v>
      </c>
      <c r="F52" s="32" t="s">
        <v>300</v>
      </c>
      <c r="G52" s="32" t="s">
        <v>99</v>
      </c>
      <c r="H52" s="32" t="s">
        <v>311</v>
      </c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SUM(B41:B52)</f>
        <v>-1459624.6199999999</v>
      </c>
      <c r="C53" s="206">
        <f>SUM(C41:C52)</f>
        <v>-698163.24912280706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+B53+B38</f>
        <v>2766790.2200000007</v>
      </c>
      <c r="C55" s="354">
        <f>+C53+C38</f>
        <v>1323875.0044657094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G26" sqref="G2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f>-573419-29904</f>
        <v>-603323</v>
      </c>
      <c r="C7" s="80">
        <v>-240635</v>
      </c>
      <c r="D7" s="80">
        <f t="shared" si="0"/>
        <v>362688</v>
      </c>
    </row>
    <row r="8" spans="1:4" x14ac:dyDescent="0.2">
      <c r="A8" s="32">
        <v>60667</v>
      </c>
      <c r="B8" s="309">
        <v>-18</v>
      </c>
      <c r="C8" s="80">
        <v>-657900</v>
      </c>
      <c r="D8" s="80">
        <f t="shared" si="0"/>
        <v>-657882</v>
      </c>
    </row>
    <row r="9" spans="1:4" x14ac:dyDescent="0.2">
      <c r="A9" s="32">
        <v>60749</v>
      </c>
      <c r="B9" s="309">
        <f>72221+2404</f>
        <v>74625</v>
      </c>
      <c r="C9" s="80">
        <v>-2568</v>
      </c>
      <c r="D9" s="80">
        <f t="shared" si="0"/>
        <v>-77193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-382739</v>
      </c>
      <c r="C11" s="80"/>
      <c r="D11" s="80">
        <f t="shared" si="0"/>
        <v>382739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10352</v>
      </c>
    </row>
    <row r="19" spans="1:5" x14ac:dyDescent="0.2">
      <c r="A19" s="32" t="s">
        <v>81</v>
      </c>
      <c r="B19" s="69"/>
      <c r="C19" s="69"/>
      <c r="D19" s="73">
        <f>+summary!G4</f>
        <v>2.09</v>
      </c>
    </row>
    <row r="20" spans="1:5" x14ac:dyDescent="0.2">
      <c r="B20" s="69"/>
      <c r="C20" s="69"/>
      <c r="D20" s="75">
        <f>+D19*D18</f>
        <v>21635.68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37307</v>
      </c>
      <c r="B24" s="69"/>
      <c r="C24" s="69"/>
      <c r="D24" s="331">
        <f>+D22+D20</f>
        <v>32131.75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37307</v>
      </c>
      <c r="D33" s="349">
        <f>+D18</f>
        <v>10352</v>
      </c>
    </row>
    <row r="34" spans="1:4" x14ac:dyDescent="0.2">
      <c r="D34" s="14">
        <f>+D33+D32</f>
        <v>14698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9" workbookViewId="0">
      <selection activeCell="E25" sqref="E2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f>-69310-3578-2041</f>
        <v>-74929</v>
      </c>
      <c r="C5" s="90">
        <v>-40275</v>
      </c>
      <c r="D5" s="90">
        <f t="shared" ref="D5:D13" si="0">+C5-B5</f>
        <v>34654</v>
      </c>
      <c r="E5" s="69"/>
      <c r="F5" s="201"/>
    </row>
    <row r="6" spans="1:11" x14ac:dyDescent="0.2">
      <c r="A6" s="87">
        <v>9238</v>
      </c>
      <c r="B6" s="90">
        <f>-16334-247</f>
        <v>-16581</v>
      </c>
      <c r="C6" s="90">
        <v>-20000</v>
      </c>
      <c r="D6" s="90">
        <f t="shared" si="0"/>
        <v>-3419</v>
      </c>
      <c r="E6" s="275"/>
      <c r="F6" s="201"/>
      <c r="K6" s="65"/>
    </row>
    <row r="7" spans="1:11" x14ac:dyDescent="0.2">
      <c r="A7" s="87">
        <v>56422</v>
      </c>
      <c r="B7" s="90">
        <f>-1625457-66838</f>
        <v>-1692295</v>
      </c>
      <c r="C7" s="90">
        <v>-1499052</v>
      </c>
      <c r="D7" s="90">
        <f t="shared" si="0"/>
        <v>193243</v>
      </c>
      <c r="E7" s="275"/>
      <c r="F7" s="201"/>
    </row>
    <row r="8" spans="1:11" x14ac:dyDescent="0.2">
      <c r="A8" s="87">
        <v>58710</v>
      </c>
      <c r="B8" s="90">
        <v>-4946</v>
      </c>
      <c r="C8" s="90">
        <v>-31877</v>
      </c>
      <c r="D8" s="90">
        <f t="shared" si="0"/>
        <v>-26931</v>
      </c>
      <c r="E8" s="275"/>
      <c r="F8" s="201"/>
    </row>
    <row r="9" spans="1:11" x14ac:dyDescent="0.2">
      <c r="A9" s="87">
        <v>60921</v>
      </c>
      <c r="B9" s="90">
        <f>-1154600-66220-30929</f>
        <v>-1251749</v>
      </c>
      <c r="C9" s="90">
        <v>-1401360</v>
      </c>
      <c r="D9" s="90">
        <f t="shared" si="0"/>
        <v>-149611</v>
      </c>
      <c r="E9" s="275"/>
      <c r="F9" s="201"/>
    </row>
    <row r="10" spans="1:11" x14ac:dyDescent="0.2">
      <c r="A10" s="87">
        <v>78026</v>
      </c>
      <c r="B10" s="90"/>
      <c r="C10" s="90">
        <v>11000</v>
      </c>
      <c r="D10" s="90">
        <f t="shared" si="0"/>
        <v>11000</v>
      </c>
      <c r="E10" s="275"/>
      <c r="F10" s="465"/>
    </row>
    <row r="11" spans="1:11" x14ac:dyDescent="0.2">
      <c r="A11" s="87">
        <v>500084</v>
      </c>
      <c r="B11" s="90">
        <f>-34486-3231-3203</f>
        <v>-40920</v>
      </c>
      <c r="C11" s="90">
        <v>-60000</v>
      </c>
      <c r="D11" s="90">
        <f t="shared" si="0"/>
        <v>-19080</v>
      </c>
      <c r="E11" s="276"/>
      <c r="F11" s="465"/>
    </row>
    <row r="12" spans="1:11" x14ac:dyDescent="0.2">
      <c r="A12" s="317">
        <v>500085</v>
      </c>
      <c r="B12" s="90">
        <v>-3596</v>
      </c>
      <c r="C12" s="90"/>
      <c r="D12" s="90">
        <f t="shared" si="0"/>
        <v>3596</v>
      </c>
      <c r="E12" s="275"/>
      <c r="F12" s="465"/>
    </row>
    <row r="13" spans="1:11" x14ac:dyDescent="0.2">
      <c r="A13" s="87">
        <v>500097</v>
      </c>
      <c r="B13" s="90">
        <f>-56495-2000</f>
        <v>-58495</v>
      </c>
      <c r="C13" s="90">
        <v>-82961</v>
      </c>
      <c r="D13" s="90">
        <f t="shared" si="0"/>
        <v>-24466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18986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2.09</v>
      </c>
      <c r="E18" s="277"/>
      <c r="F18" s="465"/>
    </row>
    <row r="19" spans="1:7" x14ac:dyDescent="0.2">
      <c r="A19" s="87"/>
      <c r="B19" s="88"/>
      <c r="C19" s="88"/>
      <c r="D19" s="96">
        <f>+D18*D17</f>
        <v>39680.74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37307</v>
      </c>
      <c r="B23" s="88"/>
      <c r="C23" s="88"/>
      <c r="D23" s="318">
        <f>+D21+D19</f>
        <v>875024.98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5">
        <v>340221</v>
      </c>
    </row>
    <row r="29" spans="1:7" x14ac:dyDescent="0.2">
      <c r="A29" s="49">
        <f>+A23</f>
        <v>37307</v>
      </c>
      <c r="B29" s="32"/>
      <c r="C29" s="32"/>
      <c r="D29" s="349">
        <f>+D17</f>
        <v>18986</v>
      </c>
    </row>
    <row r="30" spans="1:7" x14ac:dyDescent="0.2">
      <c r="A30" s="32"/>
      <c r="B30" s="32"/>
      <c r="C30" s="32"/>
      <c r="D30" s="14">
        <f>+D29+D28</f>
        <v>359207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1" workbookViewId="0">
      <selection activeCell="C23" sqref="C2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781531</v>
      </c>
      <c r="C34" s="287">
        <f t="shared" si="2"/>
        <v>773647</v>
      </c>
      <c r="D34" s="14">
        <f t="shared" si="2"/>
        <v>-3456</v>
      </c>
      <c r="E34" s="14">
        <f t="shared" si="2"/>
        <v>-36360</v>
      </c>
      <c r="F34" s="14">
        <f t="shared" si="2"/>
        <v>528344</v>
      </c>
      <c r="G34" s="14">
        <f t="shared" si="2"/>
        <v>518453</v>
      </c>
      <c r="H34" s="14">
        <f t="shared" si="2"/>
        <v>-50679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2">
        <v>37307</v>
      </c>
      <c r="B38" s="14"/>
      <c r="C38" s="14"/>
      <c r="D38" s="14"/>
      <c r="E38" s="14"/>
      <c r="F38" s="14"/>
      <c r="G38" s="14"/>
      <c r="H38" s="150">
        <f>+H37+H34</f>
        <v>84787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37307</v>
      </c>
      <c r="B44" s="32"/>
      <c r="C44" s="32"/>
      <c r="D44" s="374">
        <f>+H34*'by type_area'!G4</f>
        <v>-105919.10999999999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229848.44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8" workbookViewId="0">
      <selection activeCell="A50" sqref="A5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-392001</v>
      </c>
      <c r="C35" s="11">
        <f>SUM(C4:C34)</f>
        <v>-398477</v>
      </c>
      <c r="D35" s="11">
        <f>SUM(D4:D34)</f>
        <v>-6476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8">
        <v>177959</v>
      </c>
    </row>
    <row r="39" spans="1:4" x14ac:dyDescent="0.2">
      <c r="A39" s="2"/>
      <c r="D39" s="24"/>
    </row>
    <row r="40" spans="1:4" x14ac:dyDescent="0.2">
      <c r="A40" s="57">
        <v>37307</v>
      </c>
      <c r="D40" s="51">
        <f>+D38+D35</f>
        <v>171483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7">
        <v>181376</v>
      </c>
    </row>
    <row r="46" spans="1:4" x14ac:dyDescent="0.2">
      <c r="A46" s="49">
        <f>+A40</f>
        <v>37307</v>
      </c>
      <c r="B46" s="32"/>
      <c r="C46" s="32"/>
      <c r="D46" s="374">
        <f>+D35*'by type_area'!G4</f>
        <v>-13534.839999999998</v>
      </c>
    </row>
    <row r="47" spans="1:4" x14ac:dyDescent="0.2">
      <c r="A47" s="32"/>
      <c r="B47" s="32"/>
      <c r="C47" s="32"/>
      <c r="D47" s="200">
        <f>+D46+D45</f>
        <v>167841.16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2" workbookViewId="0">
      <selection activeCell="H22" sqref="H2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12763</v>
      </c>
      <c r="C23" s="11">
        <v>11000</v>
      </c>
      <c r="D23" s="11">
        <v>8906</v>
      </c>
      <c r="E23" s="11">
        <v>8700</v>
      </c>
      <c r="F23" s="11"/>
      <c r="G23" s="11"/>
      <c r="H23" s="11"/>
      <c r="I23" s="11"/>
      <c r="J23" s="11">
        <f t="shared" si="0"/>
        <v>-1969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187323</v>
      </c>
      <c r="C35" s="11">
        <f t="shared" ref="C35:I35" si="1">SUM(C4:C34)</f>
        <v>170800</v>
      </c>
      <c r="D35" s="11">
        <f t="shared" si="1"/>
        <v>169335</v>
      </c>
      <c r="E35" s="11">
        <f t="shared" si="1"/>
        <v>164200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-19551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-40861.589999999997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37307</v>
      </c>
      <c r="J41" s="319">
        <f>+J39+J37</f>
        <v>-22014.979999999996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37307</v>
      </c>
      <c r="B47" s="32"/>
      <c r="C47" s="32"/>
      <c r="D47" s="349">
        <f>+J35</f>
        <v>-19551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-138209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8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-319560</v>
      </c>
      <c r="E37" s="24">
        <f>SUM(E6:E36)</f>
        <v>-322924</v>
      </c>
      <c r="F37" s="24">
        <f>SUM(F6:F36)</f>
        <v>-3364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-7030.7599999999993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37306</v>
      </c>
      <c r="E41" s="14"/>
      <c r="F41" s="104">
        <f>+F40+F39</f>
        <v>322489.44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37306</v>
      </c>
      <c r="B47" s="32"/>
      <c r="C47" s="32"/>
      <c r="D47" s="349">
        <f>+F37</f>
        <v>-3364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-40346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A51" sqref="A5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2183</v>
      </c>
      <c r="F39" s="25">
        <f>SUM(F8:F38)</f>
        <v>2183</v>
      </c>
    </row>
    <row r="40" spans="1:6" x14ac:dyDescent="0.2">
      <c r="A40" s="26"/>
      <c r="C40" s="14"/>
      <c r="F40" s="253">
        <f>+summary!G4</f>
        <v>2.09</v>
      </c>
    </row>
    <row r="41" spans="1:6" x14ac:dyDescent="0.2">
      <c r="F41" s="138">
        <f>+F40*F39</f>
        <v>4562.4699999999993</v>
      </c>
    </row>
    <row r="42" spans="1:6" x14ac:dyDescent="0.2">
      <c r="A42" s="57">
        <v>37287</v>
      </c>
      <c r="C42" s="15"/>
      <c r="F42" s="570">
        <v>42790.44</v>
      </c>
    </row>
    <row r="43" spans="1:6" x14ac:dyDescent="0.2">
      <c r="A43" s="57">
        <v>37307</v>
      </c>
      <c r="C43" s="48"/>
      <c r="F43" s="138">
        <f>+F42+F41</f>
        <v>47352.91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5">
        <v>4581</v>
      </c>
    </row>
    <row r="49" spans="1:4" x14ac:dyDescent="0.2">
      <c r="A49" s="49">
        <f>+A43</f>
        <v>37307</v>
      </c>
      <c r="B49" s="32"/>
      <c r="C49" s="32"/>
      <c r="D49" s="349">
        <f>+F39</f>
        <v>2183</v>
      </c>
    </row>
    <row r="50" spans="1:4" x14ac:dyDescent="0.2">
      <c r="A50" s="32"/>
      <c r="B50" s="32"/>
      <c r="C50" s="32"/>
      <c r="D50" s="14">
        <f>+D49+D48</f>
        <v>6764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37307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37307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1" workbookViewId="0">
      <selection activeCell="C26" sqref="C2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-1379808</v>
      </c>
      <c r="I19" s="119">
        <f>+C37</f>
        <v>-1355571</v>
      </c>
      <c r="J19" s="119">
        <f>+I19-H19</f>
        <v>24237</v>
      </c>
      <c r="K19" s="411">
        <f>+D38</f>
        <v>2.09</v>
      </c>
      <c r="L19" s="416">
        <f>+K19*J19</f>
        <v>50655.329999999994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154729</v>
      </c>
      <c r="K24" s="407"/>
      <c r="L24" s="110">
        <f>+L19+L17</f>
        <v>132340.42999999982</v>
      </c>
      <c r="M24" s="2"/>
      <c r="N24" s="34"/>
    </row>
    <row r="25" spans="1:14" x14ac:dyDescent="0.2">
      <c r="A25" s="10">
        <v>20</v>
      </c>
      <c r="B25" s="129">
        <v>-84943</v>
      </c>
      <c r="C25" s="11">
        <v>-85300</v>
      </c>
      <c r="D25" s="25">
        <f t="shared" si="0"/>
        <v>-357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63320.779904306139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-1379808</v>
      </c>
      <c r="C37" s="11">
        <f>SUM(C6:C36)</f>
        <v>-1355571</v>
      </c>
      <c r="D37" s="25">
        <f>SUM(D6:D36)</f>
        <v>24237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50655.329999999994</v>
      </c>
    </row>
    <row r="40" spans="1:4" x14ac:dyDescent="0.2">
      <c r="A40" s="57">
        <v>37287</v>
      </c>
      <c r="C40" s="15"/>
      <c r="D40" s="590">
        <v>-2220</v>
      </c>
    </row>
    <row r="41" spans="1:4" x14ac:dyDescent="0.2">
      <c r="A41" s="57">
        <v>37307</v>
      </c>
      <c r="C41" s="48"/>
      <c r="D41" s="138">
        <f>+D40+D39</f>
        <v>48435.329999999994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86032</v>
      </c>
    </row>
    <row r="46" spans="1:4" x14ac:dyDescent="0.2">
      <c r="A46" s="49">
        <f>+A41</f>
        <v>37307</v>
      </c>
      <c r="B46" s="32"/>
      <c r="C46" s="32"/>
      <c r="D46" s="349">
        <f>+D37</f>
        <v>24237</v>
      </c>
    </row>
    <row r="47" spans="1:4" x14ac:dyDescent="0.2">
      <c r="A47" s="32"/>
      <c r="B47" s="32"/>
      <c r="C47" s="32"/>
      <c r="D47" s="14">
        <f>+D46+D45</f>
        <v>110269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6" sqref="C26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722154</v>
      </c>
      <c r="C37" s="11">
        <f>SUM(C6:C36)</f>
        <v>745435</v>
      </c>
      <c r="D37" s="25">
        <f>SUM(D6:D36)</f>
        <v>23281</v>
      </c>
    </row>
    <row r="38" spans="1:4" x14ac:dyDescent="0.2">
      <c r="A38" s="26"/>
      <c r="B38" s="31"/>
      <c r="C38" s="14"/>
      <c r="D38" s="326">
        <f>+summary!G5</f>
        <v>2.09</v>
      </c>
    </row>
    <row r="39" spans="1:4" x14ac:dyDescent="0.2">
      <c r="D39" s="138">
        <f>+D38*D37</f>
        <v>48657.289999999994</v>
      </c>
    </row>
    <row r="40" spans="1:4" x14ac:dyDescent="0.2">
      <c r="A40" s="57">
        <v>37287</v>
      </c>
      <c r="C40" s="15"/>
      <c r="D40" s="590">
        <v>100916</v>
      </c>
    </row>
    <row r="41" spans="1:4" x14ac:dyDescent="0.2">
      <c r="A41" s="57">
        <v>37307</v>
      </c>
      <c r="C41" s="48"/>
      <c r="D41" s="138">
        <f>+D40+D39</f>
        <v>149573.28999999998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62232</v>
      </c>
    </row>
    <row r="46" spans="1:4" x14ac:dyDescent="0.2">
      <c r="A46" s="49">
        <f>+A41</f>
        <v>37307</v>
      </c>
      <c r="B46" s="32"/>
      <c r="C46" s="32"/>
      <c r="D46" s="349">
        <f>+D37</f>
        <v>23281</v>
      </c>
    </row>
    <row r="47" spans="1:4" x14ac:dyDescent="0.2">
      <c r="A47" s="32"/>
      <c r="B47" s="32"/>
      <c r="C47" s="32"/>
      <c r="D47" s="14">
        <f>+D46+D45</f>
        <v>85513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8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265714</v>
      </c>
      <c r="C23" s="11">
        <v>289822</v>
      </c>
      <c r="D23" s="129"/>
      <c r="E23" s="11">
        <v>5170</v>
      </c>
      <c r="F23" s="11">
        <v>59178</v>
      </c>
      <c r="G23" s="11">
        <v>62347</v>
      </c>
      <c r="H23" s="129">
        <v>132402</v>
      </c>
      <c r="I23" s="11">
        <v>145053</v>
      </c>
      <c r="J23" s="11">
        <f t="shared" si="0"/>
        <v>45098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6131715</v>
      </c>
      <c r="C35" s="11">
        <f t="shared" ref="C35:I35" si="3">SUM(C4:C34)</f>
        <v>6193397</v>
      </c>
      <c r="D35" s="11">
        <f t="shared" si="3"/>
        <v>421386</v>
      </c>
      <c r="E35" s="11">
        <f t="shared" si="3"/>
        <v>424682</v>
      </c>
      <c r="F35" s="11">
        <f t="shared" si="3"/>
        <v>784720</v>
      </c>
      <c r="G35" s="11">
        <f t="shared" si="3"/>
        <v>759709</v>
      </c>
      <c r="H35" s="11">
        <f t="shared" si="3"/>
        <v>2498538</v>
      </c>
      <c r="I35" s="11">
        <f t="shared" si="3"/>
        <v>2494600</v>
      </c>
      <c r="J35" s="11">
        <f>SUM(J4:J34)</f>
        <v>36029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37307</v>
      </c>
      <c r="J40" s="51">
        <f>+J38+J35</f>
        <v>36029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37307</v>
      </c>
      <c r="B47" s="32"/>
      <c r="C47" s="32"/>
      <c r="D47" s="374">
        <f>+J35*'by type_area'!G3</f>
        <v>75660.900000000009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75660.900000000009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26" sqref="C26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826436</v>
      </c>
      <c r="C37" s="11">
        <f>SUM(C6:C36)</f>
        <v>829575</v>
      </c>
      <c r="D37" s="25">
        <f>SUM(D6:D36)</f>
        <v>3139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6560.5099999999993</v>
      </c>
    </row>
    <row r="40" spans="1:4" x14ac:dyDescent="0.2">
      <c r="A40" s="57">
        <v>37287</v>
      </c>
      <c r="C40" s="15"/>
      <c r="D40" s="599">
        <v>1526.04</v>
      </c>
    </row>
    <row r="41" spans="1:4" x14ac:dyDescent="0.2">
      <c r="A41" s="57">
        <v>37307</v>
      </c>
      <c r="C41" s="48"/>
      <c r="D41" s="138">
        <f>+D40+D39</f>
        <v>8086.5499999999993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549</v>
      </c>
    </row>
    <row r="47" spans="1:4" x14ac:dyDescent="0.2">
      <c r="A47" s="49">
        <f>+A41</f>
        <v>37307</v>
      </c>
      <c r="B47" s="32"/>
      <c r="C47" s="32"/>
      <c r="D47" s="349">
        <f>+D37</f>
        <v>3139</v>
      </c>
    </row>
    <row r="48" spans="1:4" x14ac:dyDescent="0.2">
      <c r="A48" s="32"/>
      <c r="B48" s="32"/>
      <c r="C48" s="32"/>
      <c r="D48" s="14">
        <f>+D47+D46</f>
        <v>3688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0" workbookViewId="0">
      <selection activeCell="C26" sqref="C2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-1861</v>
      </c>
      <c r="C25" s="11">
        <v>-657</v>
      </c>
      <c r="D25" s="25">
        <f t="shared" si="0"/>
        <v>1204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-25860</v>
      </c>
      <c r="C37" s="11">
        <f>SUM(C6:C36)</f>
        <v>-12475</v>
      </c>
      <c r="D37" s="25">
        <f>SUM(D6:D36)</f>
        <v>13385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27974.649999999998</v>
      </c>
    </row>
    <row r="40" spans="1:4" x14ac:dyDescent="0.2">
      <c r="A40" s="57">
        <v>37287</v>
      </c>
      <c r="C40" s="15"/>
      <c r="D40" s="570">
        <v>-292829</v>
      </c>
    </row>
    <row r="41" spans="1:4" x14ac:dyDescent="0.2">
      <c r="A41" s="57">
        <v>37307</v>
      </c>
      <c r="C41" s="48"/>
      <c r="D41" s="138">
        <f>+D40+D39</f>
        <v>-264854.34999999998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7">
        <v>-14344</v>
      </c>
    </row>
    <row r="49" spans="1:4" x14ac:dyDescent="0.2">
      <c r="A49" s="49">
        <f>+A41</f>
        <v>37307</v>
      </c>
      <c r="B49" s="32"/>
      <c r="C49" s="32"/>
      <c r="D49" s="349">
        <f>+D37</f>
        <v>13385</v>
      </c>
    </row>
    <row r="50" spans="1:4" x14ac:dyDescent="0.2">
      <c r="A50" s="32"/>
      <c r="B50" s="32"/>
      <c r="C50" s="32"/>
      <c r="D50" s="14">
        <f>+D49+D48</f>
        <v>-959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26" sqref="C2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">
      <c r="A25" s="10">
        <v>20</v>
      </c>
      <c r="B25" s="11">
        <v>-50061</v>
      </c>
      <c r="C25" s="11">
        <v>-69999</v>
      </c>
      <c r="D25" s="25">
        <f t="shared" si="0"/>
        <v>-19938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-949183</v>
      </c>
      <c r="C37" s="11">
        <f>SUM(C6:C36)</f>
        <v>-934167</v>
      </c>
      <c r="D37" s="25">
        <f>SUM(D6:D36)</f>
        <v>15016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31383.439999999999</v>
      </c>
    </row>
    <row r="40" spans="1:4" x14ac:dyDescent="0.2">
      <c r="A40" s="57">
        <v>37287</v>
      </c>
      <c r="C40" s="15"/>
      <c r="D40" s="570">
        <v>23627.8</v>
      </c>
    </row>
    <row r="41" spans="1:4" x14ac:dyDescent="0.2">
      <c r="A41" s="57">
        <v>37307</v>
      </c>
      <c r="C41" s="48"/>
      <c r="D41" s="138">
        <f>+D40+D39</f>
        <v>55011.24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7">
        <v>14942</v>
      </c>
    </row>
    <row r="47" spans="1:4" x14ac:dyDescent="0.2">
      <c r="A47" s="49">
        <f>+A41</f>
        <v>37307</v>
      </c>
      <c r="B47" s="32"/>
      <c r="C47" s="32"/>
      <c r="D47" s="349">
        <f>+D37</f>
        <v>15016</v>
      </c>
    </row>
    <row r="48" spans="1:4" x14ac:dyDescent="0.2">
      <c r="A48" s="32"/>
      <c r="B48" s="32"/>
      <c r="C48" s="32"/>
      <c r="D48" s="14">
        <f>+D47+D46</f>
        <v>29958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-2520</v>
      </c>
      <c r="D5" s="90">
        <f>+C5-B5</f>
        <v>-2517</v>
      </c>
      <c r="E5" s="275"/>
      <c r="F5" s="273"/>
    </row>
    <row r="6" spans="1:13" x14ac:dyDescent="0.2">
      <c r="A6" s="87">
        <v>500046</v>
      </c>
      <c r="B6" s="90">
        <f>-8597-244</f>
        <v>-8841</v>
      </c>
      <c r="C6" s="90"/>
      <c r="D6" s="90">
        <f t="shared" ref="D6:D11" si="0">+C6-B6</f>
        <v>8841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-17260-543</f>
        <v>-17803</v>
      </c>
      <c r="C8" s="90">
        <v>-34240</v>
      </c>
      <c r="D8" s="90">
        <f t="shared" si="0"/>
        <v>-16437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-10113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2.09</v>
      </c>
      <c r="E13" s="277"/>
      <c r="F13" s="273"/>
    </row>
    <row r="14" spans="1:13" x14ac:dyDescent="0.2">
      <c r="A14" s="87"/>
      <c r="B14" s="88"/>
      <c r="C14" s="88"/>
      <c r="D14" s="96">
        <f>+D13*D12</f>
        <v>-21136.17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37307</v>
      </c>
      <c r="B18" s="88"/>
      <c r="C18" s="88"/>
      <c r="D18" s="318">
        <f>+D16+D14</f>
        <v>-568396.96000000008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7">
        <v>-41423</v>
      </c>
    </row>
    <row r="23" spans="1:7" x14ac:dyDescent="0.2">
      <c r="A23" s="49"/>
      <c r="B23" s="32"/>
      <c r="C23" s="32"/>
      <c r="D23" s="349">
        <f>+D12</f>
        <v>-10113</v>
      </c>
    </row>
    <row r="24" spans="1:7" x14ac:dyDescent="0.2">
      <c r="A24" s="49">
        <f>+A18</f>
        <v>37307</v>
      </c>
      <c r="B24" s="32"/>
      <c r="C24" s="32"/>
      <c r="D24" s="14">
        <f>+D23+D22</f>
        <v>-51536</v>
      </c>
      <c r="E24" s="344">
        <f>+D18/D24</f>
        <v>11.029124495498294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C50" sqref="C5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-975842</v>
      </c>
      <c r="C37" s="11">
        <f>SUM(C6:C36)</f>
        <v>-982057</v>
      </c>
      <c r="D37" s="25">
        <f>SUM(D6:D36)</f>
        <v>-6215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1">
        <v>19592</v>
      </c>
    </row>
    <row r="41" spans="1:4" x14ac:dyDescent="0.2">
      <c r="A41" s="57">
        <v>37307</v>
      </c>
      <c r="C41" s="48"/>
      <c r="D41" s="25">
        <f>+D40+D37</f>
        <v>13377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3">
        <v>186633</v>
      </c>
    </row>
    <row r="46" spans="1:4" x14ac:dyDescent="0.2">
      <c r="A46" s="49">
        <f>+A41</f>
        <v>37307</v>
      </c>
      <c r="B46" s="32"/>
      <c r="C46" s="32"/>
      <c r="D46" s="374">
        <f>+D37*'by type_area'!G4</f>
        <v>-12989.349999999999</v>
      </c>
    </row>
    <row r="47" spans="1:4" x14ac:dyDescent="0.2">
      <c r="A47" s="32"/>
      <c r="B47" s="32"/>
      <c r="C47" s="32"/>
      <c r="D47" s="200">
        <f>+D46+D45</f>
        <v>173643.65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2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-89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-140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-2942</v>
      </c>
      <c r="C37" s="11">
        <f t="shared" ref="C37:I37" si="1">SUM(C6:C36)</f>
        <v>-2860</v>
      </c>
      <c r="D37" s="11">
        <f t="shared" si="1"/>
        <v>0</v>
      </c>
      <c r="E37" s="11">
        <f t="shared" si="1"/>
        <v>0</v>
      </c>
      <c r="F37" s="11">
        <f t="shared" si="1"/>
        <v>-21401</v>
      </c>
      <c r="G37" s="11">
        <f t="shared" si="1"/>
        <v>-15720</v>
      </c>
      <c r="H37" s="11">
        <f t="shared" si="1"/>
        <v>0</v>
      </c>
      <c r="I37" s="11">
        <f t="shared" si="1"/>
        <v>0</v>
      </c>
      <c r="J37" s="11">
        <f>SUM(J6:J36)</f>
        <v>5763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2.09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12044.67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37307</v>
      </c>
      <c r="J43" s="319">
        <f>+J41+J39</f>
        <v>-25145.1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37307</v>
      </c>
      <c r="B49" s="32"/>
      <c r="C49" s="32"/>
      <c r="D49" s="349">
        <f>+J37</f>
        <v>5763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1536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-688</v>
      </c>
      <c r="M25" s="11">
        <v>-824</v>
      </c>
      <c r="N25" s="11">
        <f t="shared" si="0"/>
        <v>-136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-14957</v>
      </c>
      <c r="M37" s="11">
        <f>SUM(M6:M36)</f>
        <v>-16480</v>
      </c>
      <c r="N37" s="11">
        <f t="shared" si="1"/>
        <v>-1523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2.09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-3183.0699999999997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37307</v>
      </c>
      <c r="N43" s="319">
        <f>+N41+N39</f>
        <v>22003.34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37307</v>
      </c>
      <c r="B49" s="32"/>
      <c r="C49" s="32"/>
      <c r="D49" s="349">
        <f>+N37</f>
        <v>-1523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7032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26" sqref="C2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3871</v>
      </c>
      <c r="C37" s="11">
        <f>SUM(C6:C36)</f>
        <v>3000</v>
      </c>
      <c r="D37" s="25">
        <f>SUM(D6:D36)</f>
        <v>-871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-1820.3899999999999</v>
      </c>
    </row>
    <row r="40" spans="1:4" x14ac:dyDescent="0.2">
      <c r="A40" s="57">
        <v>37287</v>
      </c>
      <c r="C40" s="15"/>
      <c r="D40" s="590">
        <v>174593.14</v>
      </c>
    </row>
    <row r="41" spans="1:4" x14ac:dyDescent="0.2">
      <c r="A41" s="57">
        <v>37307</v>
      </c>
      <c r="C41" s="48"/>
      <c r="D41" s="138">
        <f>+D40+D39</f>
        <v>172772.75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76390</v>
      </c>
    </row>
    <row r="47" spans="1:4" x14ac:dyDescent="0.2">
      <c r="A47" s="49">
        <f>+A41</f>
        <v>37307</v>
      </c>
      <c r="B47" s="32"/>
      <c r="C47" s="32"/>
      <c r="D47" s="349">
        <f>+D37</f>
        <v>-871</v>
      </c>
    </row>
    <row r="48" spans="1:4" x14ac:dyDescent="0.2">
      <c r="A48" s="32"/>
      <c r="B48" s="32"/>
      <c r="C48" s="32"/>
      <c r="D48" s="14">
        <f>+D47+D46</f>
        <v>75519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5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8747</v>
      </c>
      <c r="C37" s="11">
        <f>SUM(C6:C36)</f>
        <v>5412</v>
      </c>
      <c r="D37" s="25">
        <f>SUM(D6:D36)</f>
        <v>-3335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-6970.15</v>
      </c>
    </row>
    <row r="40" spans="1:4" x14ac:dyDescent="0.2">
      <c r="A40" s="57">
        <v>37287</v>
      </c>
      <c r="C40" s="15"/>
      <c r="D40" s="590">
        <v>0</v>
      </c>
    </row>
    <row r="41" spans="1:4" x14ac:dyDescent="0.2">
      <c r="A41" s="57">
        <v>37307</v>
      </c>
      <c r="C41" s="48"/>
      <c r="D41" s="138">
        <f>+D40+D39</f>
        <v>-6970.15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0</v>
      </c>
    </row>
    <row r="47" spans="1:4" x14ac:dyDescent="0.2">
      <c r="A47" s="49">
        <f>+A41</f>
        <v>37307</v>
      </c>
      <c r="B47" s="32"/>
      <c r="C47" s="32"/>
      <c r="D47" s="349">
        <f>+D37</f>
        <v>-3335</v>
      </c>
    </row>
    <row r="48" spans="1:4" x14ac:dyDescent="0.2">
      <c r="A48" s="32"/>
      <c r="B48" s="32"/>
      <c r="C48" s="32"/>
      <c r="D48" s="14">
        <f>+D47+D46</f>
        <v>-3335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0" workbookViewId="0">
      <selection activeCell="E25" sqref="E2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>
        <v>-2537</v>
      </c>
      <c r="E24" s="11">
        <v>-2020</v>
      </c>
      <c r="F24" s="11">
        <f t="shared" si="0"/>
        <v>517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-188235</v>
      </c>
      <c r="C36" s="44">
        <f>SUM(C5:C35)</f>
        <v>-180000</v>
      </c>
      <c r="D36" s="43">
        <f>SUM(D5:D35)</f>
        <v>-879515</v>
      </c>
      <c r="E36" s="43">
        <f>SUM(E5:E35)</f>
        <v>-877721</v>
      </c>
      <c r="F36" s="11">
        <f>SUM(F5:F35)</f>
        <v>10029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2.09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20960.609999999997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37307</v>
      </c>
      <c r="B43" s="32"/>
      <c r="C43" s="106"/>
      <c r="D43" s="106"/>
      <c r="E43" s="106"/>
      <c r="F43" s="24">
        <f>+F42+F36</f>
        <v>44709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37307</v>
      </c>
      <c r="B49" s="32"/>
      <c r="C49" s="32"/>
      <c r="D49" s="76">
        <f>+F36</f>
        <v>10029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81957.960000000006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0" workbookViewId="0">
      <selection activeCell="B26" sqref="B2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-2207</v>
      </c>
      <c r="C25" s="24">
        <v>-1736</v>
      </c>
      <c r="D25" s="24">
        <v>-2346</v>
      </c>
      <c r="E25" s="24">
        <v>-2000</v>
      </c>
      <c r="F25" s="24">
        <f t="shared" si="0"/>
        <v>817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-42634</v>
      </c>
      <c r="C37" s="24">
        <f>SUM(C6:C36)</f>
        <v>-44535</v>
      </c>
      <c r="D37" s="24">
        <f>SUM(D6:D36)</f>
        <v>-36095</v>
      </c>
      <c r="E37" s="24">
        <f>SUM(E6:E36)</f>
        <v>-40000</v>
      </c>
      <c r="F37" s="24">
        <f>SUM(F6:F36)</f>
        <v>-5806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-12134.539999999999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37307</v>
      </c>
      <c r="C41" s="319"/>
      <c r="D41" s="262"/>
      <c r="E41" s="262"/>
      <c r="F41" s="104">
        <f>+F40+F39</f>
        <v>-128931.33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37307</v>
      </c>
      <c r="B47" s="32"/>
      <c r="C47" s="32"/>
      <c r="D47" s="349">
        <f>+F37</f>
        <v>-5806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-38773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1" sqref="A4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-3825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1700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-53737</v>
      </c>
      <c r="C37" s="24">
        <f t="shared" si="1"/>
        <v>-42000</v>
      </c>
      <c r="D37" s="24">
        <f t="shared" si="1"/>
        <v>-10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11247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23506.23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37307</v>
      </c>
      <c r="E41" s="14"/>
      <c r="O41" s="441"/>
      <c r="P41" s="104">
        <f>+P40+P39</f>
        <v>113273.51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37307</v>
      </c>
      <c r="B47" s="32"/>
      <c r="C47" s="32"/>
      <c r="D47" s="349">
        <f>+P37</f>
        <v>11247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48288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276</v>
      </c>
      <c r="C3" s="87"/>
      <c r="D3" s="87"/>
    </row>
    <row r="4" spans="1:4" x14ac:dyDescent="0.2">
      <c r="A4" s="3"/>
      <c r="B4" s="328" t="s">
        <v>275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-383332</v>
      </c>
      <c r="C37" s="11">
        <f>SUM(C6:C36)</f>
        <v>-383819</v>
      </c>
      <c r="D37" s="25">
        <f>SUM(D6:D36)</f>
        <v>-487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-1017.8299999999999</v>
      </c>
    </row>
    <row r="40" spans="1:4" x14ac:dyDescent="0.2">
      <c r="A40" s="57">
        <v>37287</v>
      </c>
      <c r="C40" s="15"/>
      <c r="D40" s="590">
        <v>-27179.17</v>
      </c>
    </row>
    <row r="41" spans="1:4" x14ac:dyDescent="0.2">
      <c r="A41" s="57">
        <v>37307</v>
      </c>
      <c r="C41" s="48"/>
      <c r="D41" s="138">
        <f>+D40+D39</f>
        <v>-28197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-12</v>
      </c>
    </row>
    <row r="47" spans="1:4" x14ac:dyDescent="0.2">
      <c r="A47" s="49">
        <f>+A41</f>
        <v>37307</v>
      </c>
      <c r="B47" s="32"/>
      <c r="C47" s="32"/>
      <c r="D47" s="349">
        <f>+D37</f>
        <v>-487</v>
      </c>
    </row>
    <row r="48" spans="1:4" x14ac:dyDescent="0.2">
      <c r="A48" s="32"/>
      <c r="B48" s="32"/>
      <c r="C48" s="32"/>
      <c r="D48" s="14">
        <f>+D47+D46</f>
        <v>-499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295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2.09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279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2.09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C47" sqref="C4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">
      <c r="A26" s="10">
        <v>20</v>
      </c>
      <c r="B26" s="129">
        <v>138724</v>
      </c>
      <c r="C26" s="11">
        <v>138233</v>
      </c>
      <c r="D26" s="25">
        <f t="shared" si="0"/>
        <v>-491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2919772</v>
      </c>
      <c r="C38" s="11">
        <f>SUM(C7:C37)</f>
        <v>2921674</v>
      </c>
      <c r="D38" s="11">
        <f>SUM(D7:D37)</f>
        <v>1902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3994.2000000000003</v>
      </c>
      <c r="H40">
        <v>20</v>
      </c>
    </row>
    <row r="41" spans="1:8" x14ac:dyDescent="0.2">
      <c r="A41" s="57">
        <v>37287</v>
      </c>
      <c r="C41" s="15"/>
      <c r="D41" s="597">
        <v>-61603.360000000001</v>
      </c>
      <c r="H41">
        <v>530</v>
      </c>
    </row>
    <row r="42" spans="1:8" x14ac:dyDescent="0.2">
      <c r="A42" s="57">
        <v>37307</v>
      </c>
      <c r="D42" s="319">
        <f>+D41+D40</f>
        <v>-57609.16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7">
        <v>-29617</v>
      </c>
    </row>
    <row r="48" spans="1:8" x14ac:dyDescent="0.2">
      <c r="A48" s="49">
        <f>+A42</f>
        <v>37307</v>
      </c>
      <c r="B48" s="32"/>
      <c r="C48" s="32"/>
      <c r="D48" s="349">
        <f>+D38</f>
        <v>1902</v>
      </c>
    </row>
    <row r="49" spans="1:4" x14ac:dyDescent="0.2">
      <c r="A49" s="32"/>
      <c r="B49" s="32"/>
      <c r="C49" s="32"/>
      <c r="D49" s="14">
        <f>+D48+D47</f>
        <v>-27715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47" sqref="C4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-4870173</v>
      </c>
      <c r="C35" s="11">
        <f>SUM(C4:C34)</f>
        <v>-4856716</v>
      </c>
      <c r="D35" s="11">
        <f>SUM(D4:D34)</f>
        <v>13457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5">
        <v>28722</v>
      </c>
    </row>
    <row r="39" spans="1:30" x14ac:dyDescent="0.2">
      <c r="A39" s="12"/>
      <c r="D39" s="51"/>
    </row>
    <row r="40" spans="1:30" x14ac:dyDescent="0.2">
      <c r="A40" s="245">
        <v>37307</v>
      </c>
      <c r="D40" s="51">
        <f>+D38+D35</f>
        <v>42179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37307</v>
      </c>
      <c r="B46" s="32"/>
      <c r="C46" s="32"/>
      <c r="D46" s="374">
        <f>+D35*'by type_area'!G4</f>
        <v>28125.129999999997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-115543.87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C24" sqref="C24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-12180544</v>
      </c>
      <c r="C35" s="11">
        <f>SUM(C4:C34)</f>
        <v>-12191295</v>
      </c>
      <c r="D35" s="11">
        <f>SUM(D4:D34)</f>
        <v>0</v>
      </c>
      <c r="E35" s="11">
        <f>SUM(E4:E34)</f>
        <v>0</v>
      </c>
      <c r="F35" s="11">
        <f>SUM(F4:F34)</f>
        <v>-10751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6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37307</v>
      </c>
      <c r="D40" s="246"/>
      <c r="E40" s="246"/>
      <c r="F40" s="51">
        <f>+F38+F35</f>
        <v>83261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37307</v>
      </c>
      <c r="B46" s="32"/>
      <c r="C46" s="32"/>
      <c r="D46" s="472">
        <f>+F35*'by type_area'!G4</f>
        <v>-22469.59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287798.40999999997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7" workbookViewId="0">
      <selection activeCell="E24" sqref="E2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-44980</v>
      </c>
      <c r="C22" s="11">
        <v>-6327</v>
      </c>
      <c r="D22" s="11"/>
      <c r="E22" s="11">
        <v>-37867</v>
      </c>
      <c r="F22" s="11"/>
      <c r="G22" s="11"/>
      <c r="H22" s="11">
        <f t="shared" si="0"/>
        <v>786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-79475</v>
      </c>
      <c r="C23" s="11">
        <v>217</v>
      </c>
      <c r="D23" s="11"/>
      <c r="E23" s="11">
        <v>-78867</v>
      </c>
      <c r="F23" s="11"/>
      <c r="G23" s="11"/>
      <c r="H23" s="11">
        <f t="shared" si="0"/>
        <v>825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-977102</v>
      </c>
      <c r="C35" s="44">
        <f t="shared" si="3"/>
        <v>-190952</v>
      </c>
      <c r="D35" s="11">
        <f t="shared" si="3"/>
        <v>0</v>
      </c>
      <c r="E35" s="44">
        <f t="shared" si="3"/>
        <v>-781468</v>
      </c>
      <c r="F35" s="11">
        <f t="shared" si="3"/>
        <v>0</v>
      </c>
      <c r="G35" s="11">
        <f t="shared" si="3"/>
        <v>0</v>
      </c>
      <c r="H35" s="11">
        <f t="shared" si="3"/>
        <v>4682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2.09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9785.3799999999992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37307</v>
      </c>
      <c r="F39" s="471"/>
      <c r="G39" s="471"/>
      <c r="H39" s="319">
        <f>+H38+H37</f>
        <v>19652.379999999997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37307</v>
      </c>
      <c r="E47" s="457">
        <f>+H35</f>
        <v>4682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37158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9" workbookViewId="0">
      <selection activeCell="E51" sqref="E51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-6555589</v>
      </c>
      <c r="E36" s="11">
        <f t="shared" si="15"/>
        <v>-6633007</v>
      </c>
      <c r="F36" s="11">
        <f t="shared" si="15"/>
        <v>0</v>
      </c>
      <c r="G36" s="11">
        <f t="shared" si="15"/>
        <v>0</v>
      </c>
      <c r="H36" s="11">
        <f t="shared" si="15"/>
        <v>-77418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-77418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37307</v>
      </c>
      <c r="B39" s="2" t="s">
        <v>45</v>
      </c>
      <c r="C39" s="131">
        <f>+C38+C37</f>
        <v>64269</v>
      </c>
      <c r="D39" s="252"/>
      <c r="E39" s="131">
        <f>+E38+E37</f>
        <v>-62810</v>
      </c>
      <c r="F39" s="252"/>
      <c r="G39" s="131"/>
      <c r="H39" s="131">
        <f>+H38+H36</f>
        <v>1459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37307</v>
      </c>
      <c r="B45" s="32"/>
      <c r="C45" s="47">
        <f>+C37*summary!G4</f>
        <v>0</v>
      </c>
      <c r="D45" s="205"/>
      <c r="E45" s="376">
        <f>+E37*summary!G3</f>
        <v>-162577.80000000002</v>
      </c>
      <c r="F45" s="47">
        <f>+E45+C45</f>
        <v>-162577.80000000002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6" workbookViewId="0">
      <selection activeCell="F53" sqref="F53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37307</v>
      </c>
      <c r="I23" s="11">
        <f>+B39</f>
        <v>3690891</v>
      </c>
      <c r="J23" s="11">
        <f>+C39</f>
        <v>3722388</v>
      </c>
      <c r="K23" s="11">
        <f>+D39</f>
        <v>295230</v>
      </c>
      <c r="L23" s="11">
        <f>+E39</f>
        <v>295931</v>
      </c>
      <c r="M23" s="42">
        <f>+J23-I23+L23-K23</f>
        <v>32198</v>
      </c>
      <c r="N23" s="102">
        <f>+summary!G3</f>
        <v>2.1</v>
      </c>
      <c r="O23" s="496">
        <f>+N23*M23</f>
        <v>67615.8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121998</v>
      </c>
      <c r="N24" s="102"/>
      <c r="O24" s="102">
        <f>SUM(O9:O23)</f>
        <v>635732.14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187507</v>
      </c>
      <c r="C27" s="11">
        <v>187342</v>
      </c>
      <c r="D27" s="11">
        <v>21105</v>
      </c>
      <c r="E27" s="11">
        <v>21555</v>
      </c>
      <c r="F27" s="11">
        <f t="shared" si="5"/>
        <v>285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3690891</v>
      </c>
      <c r="C39" s="150">
        <f>SUM(C8:C38)</f>
        <v>3722388</v>
      </c>
      <c r="D39" s="150">
        <f>SUM(D8:D38)</f>
        <v>295230</v>
      </c>
      <c r="E39" s="150">
        <f>SUM(E8:E38)</f>
        <v>295931</v>
      </c>
      <c r="F39" s="11">
        <f t="shared" si="5"/>
        <v>32198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37307</v>
      </c>
      <c r="B45" s="32"/>
      <c r="C45" s="106"/>
      <c r="D45" s="106"/>
      <c r="E45" s="106"/>
      <c r="F45" s="24">
        <f>+F44+F39</f>
        <v>62270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37307</v>
      </c>
      <c r="B51" s="32"/>
      <c r="C51" s="32"/>
      <c r="D51" s="349">
        <f>+F39*summary!G3</f>
        <v>67615.8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476869.8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7.6580986028585194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2002-02-22T02:13:16Z</cp:lastPrinted>
  <dcterms:created xsi:type="dcterms:W3CDTF">2000-03-28T16:52:23Z</dcterms:created>
  <dcterms:modified xsi:type="dcterms:W3CDTF">2014-09-03T14:23:18Z</dcterms:modified>
</cp:coreProperties>
</file>