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B6" i="8"/>
  <c r="D6" i="8" s="1"/>
  <c r="B7" i="8"/>
  <c r="D7" i="8" s="1"/>
  <c r="D8" i="8"/>
  <c r="D9" i="8"/>
  <c r="D10" i="8"/>
  <c r="D11" i="8"/>
  <c r="D12" i="8"/>
  <c r="D13" i="8"/>
  <c r="D14" i="8"/>
  <c r="D15" i="8"/>
  <c r="D16" i="8"/>
  <c r="D17" i="8"/>
  <c r="D18" i="8"/>
  <c r="D20" i="8"/>
  <c r="D23" i="8"/>
  <c r="A29" i="8"/>
  <c r="D29" i="8"/>
  <c r="A30" i="8"/>
  <c r="P6" i="88"/>
  <c r="P7" i="88"/>
  <c r="P8" i="88"/>
  <c r="P9" i="88"/>
  <c r="P10" i="88"/>
  <c r="P37" i="88" s="1"/>
  <c r="D47" i="88" s="1"/>
  <c r="D48" i="88" s="1"/>
  <c r="D43" i="80" s="1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A47" i="18"/>
  <c r="A48" i="18"/>
  <c r="D48" i="18"/>
  <c r="D49" i="18" s="1"/>
  <c r="D28" i="80" s="1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G4" i="80"/>
  <c r="G58" i="80" s="1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8" i="74"/>
  <c r="J8" i="74"/>
  <c r="L8" i="74"/>
  <c r="D9" i="74"/>
  <c r="J9" i="74"/>
  <c r="L9" i="74" s="1"/>
  <c r="M9" i="74" s="1"/>
  <c r="D10" i="74"/>
  <c r="J10" i="74"/>
  <c r="D11" i="74"/>
  <c r="H11" i="74"/>
  <c r="J11" i="74" s="1"/>
  <c r="L11" i="74" s="1"/>
  <c r="D12" i="74"/>
  <c r="H12" i="74"/>
  <c r="J12" i="74"/>
  <c r="L12" i="74" s="1"/>
  <c r="D13" i="74"/>
  <c r="J13" i="74"/>
  <c r="L13" i="74"/>
  <c r="D14" i="74"/>
  <c r="J14" i="74"/>
  <c r="L14" i="74" s="1"/>
  <c r="D15" i="74"/>
  <c r="D16" i="74"/>
  <c r="D17" i="74"/>
  <c r="D18" i="74"/>
  <c r="D19" i="74"/>
  <c r="H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J19" i="74" s="1"/>
  <c r="A45" i="74"/>
  <c r="A46" i="74"/>
  <c r="D8" i="72"/>
  <c r="D39" i="72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47" i="79" s="1"/>
  <c r="D48" i="79" s="1"/>
  <c r="D13" i="80" s="1"/>
  <c r="A46" i="79"/>
  <c r="A47" i="79"/>
  <c r="F4" i="13"/>
  <c r="K4" i="13"/>
  <c r="F5" i="13"/>
  <c r="I5" i="13"/>
  <c r="J5" i="13"/>
  <c r="K5" i="13" s="1"/>
  <c r="M5" i="13" s="1"/>
  <c r="N5" i="13"/>
  <c r="F6" i="13"/>
  <c r="I6" i="13"/>
  <c r="J6" i="13"/>
  <c r="K6" i="13" s="1"/>
  <c r="M6" i="13" s="1"/>
  <c r="N6" i="13"/>
  <c r="F7" i="13"/>
  <c r="I7" i="13"/>
  <c r="J7" i="13"/>
  <c r="N7" i="13"/>
  <c r="F8" i="13"/>
  <c r="I8" i="13"/>
  <c r="J8" i="13"/>
  <c r="K8" i="13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A46" i="13"/>
  <c r="A47" i="13"/>
  <c r="D47" i="13"/>
  <c r="D48" i="13" s="1"/>
  <c r="D27" i="80" s="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H35" i="73"/>
  <c r="E36" i="73"/>
  <c r="F39" i="73"/>
  <c r="F46" i="73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37" i="85" s="1"/>
  <c r="D47" i="85" s="1"/>
  <c r="D48" i="85" s="1"/>
  <c r="D38" i="80" s="1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8" i="85"/>
  <c r="D39" i="85" s="1"/>
  <c r="D41" i="85" s="1"/>
  <c r="A46" i="85"/>
  <c r="A47" i="85"/>
  <c r="B8" i="20"/>
  <c r="B10" i="20"/>
  <c r="B18" i="20" s="1"/>
  <c r="F39" i="20" s="1"/>
  <c r="F40" i="20" s="1"/>
  <c r="J11" i="20"/>
  <c r="B13" i="20"/>
  <c r="B14" i="20"/>
  <c r="B15" i="20"/>
  <c r="J15" i="20"/>
  <c r="B17" i="20"/>
  <c r="B31" i="20"/>
  <c r="E38" i="20"/>
  <c r="E39" i="20"/>
  <c r="G39" i="20"/>
  <c r="G40" i="20" s="1"/>
  <c r="I40" i="20" s="1"/>
  <c r="I57" i="20" s="1"/>
  <c r="B46" i="20"/>
  <c r="H39" i="20" s="1"/>
  <c r="H40" i="20" s="1"/>
  <c r="B75" i="20"/>
  <c r="C75" i="20"/>
  <c r="B76" i="20"/>
  <c r="C76" i="20"/>
  <c r="B79" i="20"/>
  <c r="C79" i="20"/>
  <c r="C80" i="20"/>
  <c r="B81" i="20"/>
  <c r="C81" i="20"/>
  <c r="B82" i="20"/>
  <c r="C82" i="20"/>
  <c r="H5" i="11"/>
  <c r="H6" i="11"/>
  <c r="H7" i="11"/>
  <c r="H8" i="11"/>
  <c r="AB8" i="11"/>
  <c r="AN8" i="11" s="1"/>
  <c r="AC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L48" i="11" s="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E37" i="11" s="1"/>
  <c r="F36" i="11"/>
  <c r="G36" i="11"/>
  <c r="AC36" i="11"/>
  <c r="AE36" i="11"/>
  <c r="AF36" i="11"/>
  <c r="AI36" i="11"/>
  <c r="AL36" i="11"/>
  <c r="AM36" i="11"/>
  <c r="AN36" i="11"/>
  <c r="AO36" i="11"/>
  <c r="AP36" i="11"/>
  <c r="AA37" i="11"/>
  <c r="AF37" i="11"/>
  <c r="AI37" i="11"/>
  <c r="AL37" i="11"/>
  <c r="AN37" i="11"/>
  <c r="AO37" i="11"/>
  <c r="AP37" i="11"/>
  <c r="H38" i="11"/>
  <c r="AC38" i="11"/>
  <c r="AE38" i="11"/>
  <c r="AI38" i="11"/>
  <c r="AL38" i="11"/>
  <c r="AM38" i="11"/>
  <c r="AN38" i="11"/>
  <c r="AO38" i="11"/>
  <c r="C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37" i="75" s="1"/>
  <c r="D46" i="75" s="1"/>
  <c r="D47" i="75" s="1"/>
  <c r="D47" i="80" s="1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/>
  <c r="P12" i="5" s="1"/>
  <c r="P13" i="5" s="1"/>
  <c r="P14" i="5" s="1"/>
  <c r="P15" i="5" s="1"/>
  <c r="P16" i="5" s="1"/>
  <c r="P17" i="5" s="1"/>
  <c r="P18" i="5" s="1"/>
  <c r="P19" i="5" s="1"/>
  <c r="P20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36" i="5" s="1"/>
  <c r="D49" i="5" s="1"/>
  <c r="D50" i="5" s="1"/>
  <c r="D83" i="80" s="1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9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35" i="68" s="1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34" i="67" s="1"/>
  <c r="H4" i="67"/>
  <c r="H5" i="67"/>
  <c r="H6" i="67"/>
  <c r="H7" i="67"/>
  <c r="H8" i="67"/>
  <c r="H9" i="67"/>
  <c r="H10" i="67"/>
  <c r="N10" i="67"/>
  <c r="U10" i="67"/>
  <c r="W10" i="67" s="1"/>
  <c r="H11" i="67"/>
  <c r="L11" i="67"/>
  <c r="N11" i="67"/>
  <c r="P11" i="67"/>
  <c r="U11" i="67"/>
  <c r="W11" i="67" s="1"/>
  <c r="H12" i="67"/>
  <c r="L12" i="67"/>
  <c r="N12" i="67"/>
  <c r="P12" i="67" s="1"/>
  <c r="U12" i="67"/>
  <c r="W12" i="67" s="1"/>
  <c r="W16" i="67" s="1"/>
  <c r="H13" i="67"/>
  <c r="L13" i="67"/>
  <c r="N13" i="67"/>
  <c r="P13" i="67" s="1"/>
  <c r="U13" i="67"/>
  <c r="W13" i="67" s="1"/>
  <c r="H14" i="67"/>
  <c r="N14" i="67"/>
  <c r="P14" i="67" s="1"/>
  <c r="U14" i="67"/>
  <c r="H15" i="67"/>
  <c r="U15" i="67"/>
  <c r="H16" i="67"/>
  <c r="U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T34" i="67" s="1"/>
  <c r="H33" i="67"/>
  <c r="T33" i="67"/>
  <c r="B34" i="67"/>
  <c r="C34" i="67"/>
  <c r="D34" i="67"/>
  <c r="E34" i="67"/>
  <c r="F34" i="67"/>
  <c r="G34" i="67"/>
  <c r="H37" i="67"/>
  <c r="A43" i="67"/>
  <c r="D43" i="67"/>
  <c r="A44" i="67"/>
  <c r="F44" i="67"/>
  <c r="F45" i="67" s="1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 s="1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F36" i="7" s="1"/>
  <c r="F41" i="7" s="1"/>
  <c r="Z5" i="7"/>
  <c r="AD5" i="7" s="1"/>
  <c r="F6" i="7"/>
  <c r="Z6" i="7"/>
  <c r="AD6" i="7" s="1"/>
  <c r="AF6" i="7" s="1"/>
  <c r="F7" i="7"/>
  <c r="Z7" i="7"/>
  <c r="AD7" i="7"/>
  <c r="AF7" i="7" s="1"/>
  <c r="F8" i="7"/>
  <c r="Z8" i="7"/>
  <c r="AD8" i="7"/>
  <c r="AF8" i="7"/>
  <c r="F9" i="7"/>
  <c r="Z9" i="7"/>
  <c r="AD9" i="7" s="1"/>
  <c r="AF9" i="7"/>
  <c r="F10" i="7"/>
  <c r="Z10" i="7"/>
  <c r="AD10" i="7"/>
  <c r="AF10" i="7" s="1"/>
  <c r="F11" i="7"/>
  <c r="Z11" i="7"/>
  <c r="AD11" i="7" s="1"/>
  <c r="AF11" i="7" s="1"/>
  <c r="F12" i="7"/>
  <c r="Z12" i="7"/>
  <c r="AD12" i="7"/>
  <c r="AF12" i="7" s="1"/>
  <c r="F13" i="7"/>
  <c r="Z13" i="7"/>
  <c r="AD13" i="7"/>
  <c r="AF13" i="7"/>
  <c r="F14" i="7"/>
  <c r="Z14" i="7"/>
  <c r="AD14" i="7"/>
  <c r="AF14" i="7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 s="1"/>
  <c r="F18" i="7"/>
  <c r="AI18" i="7"/>
  <c r="F19" i="7"/>
  <c r="Z19" i="7"/>
  <c r="AD19" i="7"/>
  <c r="AF19" i="7" s="1"/>
  <c r="AH19" i="7" s="1"/>
  <c r="F20" i="7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D47" i="16" s="1"/>
  <c r="D35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35" i="28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 s="1"/>
  <c r="H5" i="9"/>
  <c r="P5" i="9"/>
  <c r="R5" i="9" s="1"/>
  <c r="H6" i="9"/>
  <c r="P6" i="9"/>
  <c r="R6" i="9"/>
  <c r="H7" i="9"/>
  <c r="N7" i="9"/>
  <c r="P7" i="9" s="1"/>
  <c r="R7" i="9" s="1"/>
  <c r="H8" i="9"/>
  <c r="P8" i="9"/>
  <c r="R8" i="9"/>
  <c r="H9" i="9"/>
  <c r="N9" i="9"/>
  <c r="P9" i="9" s="1"/>
  <c r="R9" i="9" s="1"/>
  <c r="H10" i="9"/>
  <c r="P10" i="9"/>
  <c r="R10" i="9"/>
  <c r="H11" i="9"/>
  <c r="P11" i="9"/>
  <c r="R11" i="9"/>
  <c r="H12" i="9"/>
  <c r="P12" i="9"/>
  <c r="R12" i="9" s="1"/>
  <c r="H13" i="9"/>
  <c r="P13" i="9"/>
  <c r="R13" i="9"/>
  <c r="H14" i="9"/>
  <c r="P14" i="9"/>
  <c r="R14" i="9" s="1"/>
  <c r="H15" i="9"/>
  <c r="P15" i="9"/>
  <c r="R15" i="9" s="1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8" i="93"/>
  <c r="N41" i="93"/>
  <c r="A48" i="93"/>
  <c r="D48" i="93"/>
  <c r="A49" i="93"/>
  <c r="D5" i="64"/>
  <c r="D17" i="64" s="1"/>
  <c r="D29" i="64" s="1"/>
  <c r="D30" i="64" s="1"/>
  <c r="D33" i="80" s="1"/>
  <c r="D6" i="64"/>
  <c r="D7" i="64"/>
  <c r="D8" i="64"/>
  <c r="D9" i="64"/>
  <c r="D10" i="64"/>
  <c r="D11" i="64"/>
  <c r="D12" i="64"/>
  <c r="D13" i="64"/>
  <c r="A28" i="64"/>
  <c r="A29" i="64"/>
  <c r="F8" i="15"/>
  <c r="AF8" i="15"/>
  <c r="AF39" i="15" s="1"/>
  <c r="AF45" i="15" s="1"/>
  <c r="AJ8" i="15"/>
  <c r="AN8" i="15"/>
  <c r="AR8" i="15"/>
  <c r="AV8" i="15"/>
  <c r="F9" i="15"/>
  <c r="M9" i="15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/>
  <c r="AU16" i="15"/>
  <c r="AV16" i="15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AV39" i="15" s="1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/>
  <c r="AF22" i="15"/>
  <c r="AJ22" i="15"/>
  <c r="AN22" i="15"/>
  <c r="AN39" i="15" s="1"/>
  <c r="AQ22" i="15"/>
  <c r="AR22" i="15" s="1"/>
  <c r="AV22" i="15"/>
  <c r="F23" i="15"/>
  <c r="H23" i="15"/>
  <c r="I23" i="15"/>
  <c r="K23" i="15"/>
  <c r="L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J23" i="15" s="1"/>
  <c r="D39" i="15"/>
  <c r="E39" i="15"/>
  <c r="F39" i="15"/>
  <c r="AD39" i="15"/>
  <c r="AE39" i="15"/>
  <c r="AH39" i="15"/>
  <c r="AL39" i="15"/>
  <c r="AM39" i="15"/>
  <c r="AP39" i="15"/>
  <c r="AT39" i="15"/>
  <c r="F45" i="15"/>
  <c r="A50" i="15"/>
  <c r="A51" i="15"/>
  <c r="D51" i="15"/>
  <c r="D52" i="15" s="1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C176" i="15" s="1"/>
  <c r="F176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37" i="92" s="1"/>
  <c r="D47" i="92" s="1"/>
  <c r="D48" i="92" s="1"/>
  <c r="D44" i="80" s="1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J3" i="63"/>
  <c r="G4" i="63"/>
  <c r="D38" i="79" s="1"/>
  <c r="D39" i="79" s="1"/>
  <c r="D41" i="79" s="1"/>
  <c r="B13" i="80" s="1"/>
  <c r="C13" i="80" s="1"/>
  <c r="G5" i="63"/>
  <c r="B47" i="20" s="1"/>
  <c r="C47" i="20" s="1"/>
  <c r="C48" i="2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D49" i="63"/>
  <c r="D50" i="63"/>
  <c r="P50" i="63"/>
  <c r="D51" i="63"/>
  <c r="D52" i="63"/>
  <c r="B84" i="63"/>
  <c r="B95" i="63" s="1"/>
  <c r="B8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9" i="19" s="1"/>
  <c r="D50" i="19" s="1"/>
  <c r="D20" i="80" s="1"/>
  <c r="D40" i="19"/>
  <c r="A48" i="19"/>
  <c r="A49" i="19"/>
  <c r="J4" i="2"/>
  <c r="J5" i="2"/>
  <c r="J35" i="2" s="1"/>
  <c r="J6" i="2"/>
  <c r="P6" i="2"/>
  <c r="R6" i="2" s="1"/>
  <c r="J7" i="2"/>
  <c r="P7" i="2"/>
  <c r="R7" i="2"/>
  <c r="J8" i="2"/>
  <c r="P8" i="2"/>
  <c r="P21" i="2" s="1"/>
  <c r="P23" i="2" s="1"/>
  <c r="R8" i="2"/>
  <c r="R21" i="2" s="1"/>
  <c r="J9" i="2"/>
  <c r="P9" i="2"/>
  <c r="R9" i="2" s="1"/>
  <c r="J10" i="2"/>
  <c r="P10" i="2"/>
  <c r="R10" i="2"/>
  <c r="J11" i="2"/>
  <c r="P11" i="2"/>
  <c r="R11" i="2" s="1"/>
  <c r="J12" i="2"/>
  <c r="P12" i="2"/>
  <c r="R12" i="2"/>
  <c r="J13" i="2"/>
  <c r="P13" i="2"/>
  <c r="R13" i="2"/>
  <c r="J14" i="2"/>
  <c r="P14" i="2"/>
  <c r="R14" i="2" s="1"/>
  <c r="J15" i="2"/>
  <c r="P15" i="2"/>
  <c r="R15" i="2"/>
  <c r="J16" i="2"/>
  <c r="P16" i="2"/>
  <c r="R16" i="2" s="1"/>
  <c r="J17" i="2"/>
  <c r="O17" i="2"/>
  <c r="R17" i="2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P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8" i="2"/>
  <c r="A46" i="2"/>
  <c r="D46" i="2"/>
  <c r="A47" i="2"/>
  <c r="D70" i="2"/>
  <c r="D73" i="2"/>
  <c r="D74" i="2" s="1"/>
  <c r="D112" i="2"/>
  <c r="N6" i="91"/>
  <c r="N7" i="91"/>
  <c r="N37" i="91" s="1"/>
  <c r="D49" i="91" s="1"/>
  <c r="D50" i="91" s="1"/>
  <c r="D40" i="80" s="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37" i="83" s="1"/>
  <c r="D49" i="83" s="1"/>
  <c r="D50" i="83" s="1"/>
  <c r="D39" i="80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B38" i="80" l="1"/>
  <c r="B14" i="63"/>
  <c r="C14" i="63" s="1"/>
  <c r="J40" i="2"/>
  <c r="F132" i="15"/>
  <c r="B133" i="15"/>
  <c r="B136" i="15" s="1"/>
  <c r="D40" i="68"/>
  <c r="D46" i="68"/>
  <c r="D47" i="68" s="1"/>
  <c r="D66" i="80" s="1"/>
  <c r="F37" i="22"/>
  <c r="D47" i="22" s="1"/>
  <c r="D48" i="22" s="1"/>
  <c r="D29" i="80" s="1"/>
  <c r="K114" i="15"/>
  <c r="O9" i="15"/>
  <c r="D18" i="65"/>
  <c r="D33" i="65" s="1"/>
  <c r="D34" i="65" s="1"/>
  <c r="D26" i="80" s="1"/>
  <c r="J39" i="17"/>
  <c r="D48" i="17" s="1"/>
  <c r="D49" i="17" s="1"/>
  <c r="D31" i="80" s="1"/>
  <c r="P21" i="5"/>
  <c r="P22" i="5" s="1"/>
  <c r="P23" i="5" s="1"/>
  <c r="B68" i="80"/>
  <c r="C68" i="80" s="1"/>
  <c r="B73" i="73"/>
  <c r="C77" i="20"/>
  <c r="D30" i="80"/>
  <c r="B76" i="80"/>
  <c r="C76" i="80" s="1"/>
  <c r="C47" i="63"/>
  <c r="B47" i="63" s="1"/>
  <c r="D39" i="92"/>
  <c r="D41" i="92" s="1"/>
  <c r="P10" i="67"/>
  <c r="P16" i="67" s="1"/>
  <c r="N16" i="67"/>
  <c r="AM37" i="11"/>
  <c r="AC37" i="11"/>
  <c r="C77" i="73"/>
  <c r="B74" i="20"/>
  <c r="E13" i="80"/>
  <c r="D37" i="76"/>
  <c r="AU39" i="15"/>
  <c r="C72" i="20"/>
  <c r="B79" i="73"/>
  <c r="D37" i="74"/>
  <c r="D46" i="74" s="1"/>
  <c r="D47" i="74" s="1"/>
  <c r="D12" i="80" s="1"/>
  <c r="F40" i="5"/>
  <c r="F101" i="15"/>
  <c r="C101" i="15" s="1"/>
  <c r="M51" i="73"/>
  <c r="D37" i="90"/>
  <c r="N39" i="91"/>
  <c r="N43" i="91" s="1"/>
  <c r="D41" i="19"/>
  <c r="D43" i="19" s="1"/>
  <c r="N37" i="93"/>
  <c r="R19" i="9"/>
  <c r="R22" i="9" s="1"/>
  <c r="M23" i="77"/>
  <c r="D37" i="77"/>
  <c r="D49" i="77" s="1"/>
  <c r="D50" i="77" s="1"/>
  <c r="D15" i="80" s="1"/>
  <c r="F37" i="87"/>
  <c r="D47" i="87" s="1"/>
  <c r="D48" i="87" s="1"/>
  <c r="D42" i="80" s="1"/>
  <c r="L10" i="74"/>
  <c r="M10" i="74" s="1"/>
  <c r="M11" i="74" s="1"/>
  <c r="M12" i="74" s="1"/>
  <c r="M13" i="74" s="1"/>
  <c r="M14" i="74" s="1"/>
  <c r="J17" i="74"/>
  <c r="J24" i="74" s="1"/>
  <c r="AN45" i="15"/>
  <c r="B102" i="15"/>
  <c r="B73" i="80"/>
  <c r="C18" i="63"/>
  <c r="B18" i="63" s="1"/>
  <c r="D40" i="28"/>
  <c r="D46" i="28"/>
  <c r="D47" i="28" s="1"/>
  <c r="D69" i="80" s="1"/>
  <c r="D44" i="67"/>
  <c r="D45" i="67" s="1"/>
  <c r="D80" i="80" s="1"/>
  <c r="H38" i="67"/>
  <c r="D39" i="69"/>
  <c r="D40" i="69" s="1"/>
  <c r="D42" i="69" s="1"/>
  <c r="G3" i="80"/>
  <c r="G57" i="80" s="1"/>
  <c r="N23" i="15"/>
  <c r="M23" i="15"/>
  <c r="M24" i="15" s="1"/>
  <c r="AQ39" i="15"/>
  <c r="AR39" i="15"/>
  <c r="AR45" i="15" s="1"/>
  <c r="H35" i="9"/>
  <c r="E47" i="9" s="1"/>
  <c r="E48" i="9" s="1"/>
  <c r="D32" i="80" s="1"/>
  <c r="M4" i="13"/>
  <c r="M13" i="13" s="1"/>
  <c r="K13" i="13"/>
  <c r="AH20" i="7"/>
  <c r="F133" i="15"/>
  <c r="D37" i="81"/>
  <c r="D42" i="72"/>
  <c r="D48" i="72"/>
  <c r="D49" i="72" s="1"/>
  <c r="D82" i="80" s="1"/>
  <c r="J39" i="83"/>
  <c r="J43" i="83" s="1"/>
  <c r="F53" i="15"/>
  <c r="D73" i="80"/>
  <c r="AJ39" i="15"/>
  <c r="AJ45" i="15" s="1"/>
  <c r="B25" i="63"/>
  <c r="C25" i="63" s="1"/>
  <c r="F35" i="6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41" i="87"/>
  <c r="D19" i="65"/>
  <c r="D20" i="65" s="1"/>
  <c r="D24" i="65" s="1"/>
  <c r="J35" i="70"/>
  <c r="D47" i="70" s="1"/>
  <c r="D48" i="70" s="1"/>
  <c r="D34" i="80" s="1"/>
  <c r="C45" i="11"/>
  <c r="C46" i="11" s="1"/>
  <c r="F35" i="73"/>
  <c r="F38" i="87"/>
  <c r="F39" i="87" s="1"/>
  <c r="F37" i="13"/>
  <c r="F38" i="13" s="1"/>
  <c r="F41" i="13" s="1"/>
  <c r="D37" i="12"/>
  <c r="AI39" i="15"/>
  <c r="D38" i="89"/>
  <c r="H36" i="11"/>
  <c r="H39" i="11" s="1"/>
  <c r="C50" i="63" s="1"/>
  <c r="C37" i="73"/>
  <c r="D12" i="78"/>
  <c r="D23" i="78" s="1"/>
  <c r="D24" i="78" s="1"/>
  <c r="D16" i="80" s="1"/>
  <c r="D38" i="74"/>
  <c r="S12" i="2"/>
  <c r="D75" i="2"/>
  <c r="D37" i="16"/>
  <c r="D38" i="16" s="1"/>
  <c r="D40" i="16" s="1"/>
  <c r="D37" i="89"/>
  <c r="D47" i="89" s="1"/>
  <c r="D48" i="89" s="1"/>
  <c r="D37" i="80" s="1"/>
  <c r="E39" i="11"/>
  <c r="B75" i="80" s="1"/>
  <c r="C75" i="80" s="1"/>
  <c r="E45" i="11"/>
  <c r="F45" i="11" s="1"/>
  <c r="B19" i="20"/>
  <c r="C19" i="20" s="1"/>
  <c r="C20" i="20" s="1"/>
  <c r="F36" i="73"/>
  <c r="F39" i="71"/>
  <c r="D49" i="71" s="1"/>
  <c r="D50" i="71" s="1"/>
  <c r="D46" i="80" s="1"/>
  <c r="N10" i="13"/>
  <c r="L17" i="74"/>
  <c r="D21" i="8"/>
  <c r="D25" i="8" s="1"/>
  <c r="AG19" i="7"/>
  <c r="AG20" i="7" s="1"/>
  <c r="AG21" i="7" s="1"/>
  <c r="D38" i="77"/>
  <c r="D39" i="77" s="1"/>
  <c r="D41" i="77" s="1"/>
  <c r="F38" i="22"/>
  <c r="F39" i="22" s="1"/>
  <c r="F41" i="22" s="1"/>
  <c r="B77" i="73"/>
  <c r="C74" i="20"/>
  <c r="H41" i="73"/>
  <c r="C71" i="73"/>
  <c r="B80" i="20"/>
  <c r="J35" i="73"/>
  <c r="J36" i="73" s="1"/>
  <c r="K7" i="13"/>
  <c r="M7" i="13" s="1"/>
  <c r="N11" i="13"/>
  <c r="P38" i="88"/>
  <c r="P39" i="88" s="1"/>
  <c r="P41" i="88" s="1"/>
  <c r="J40" i="17"/>
  <c r="F40" i="18"/>
  <c r="F41" i="18" s="1"/>
  <c r="F43" i="18" s="1"/>
  <c r="B32" i="20"/>
  <c r="C32" i="20" s="1"/>
  <c r="C33" i="20" s="1"/>
  <c r="F40" i="71"/>
  <c r="F41" i="71" s="1"/>
  <c r="F43" i="71" s="1"/>
  <c r="J36" i="70"/>
  <c r="J37" i="70" s="1"/>
  <c r="J41" i="70" s="1"/>
  <c r="D13" i="78"/>
  <c r="D14" i="78" s="1"/>
  <c r="D18" i="78" s="1"/>
  <c r="D18" i="64"/>
  <c r="D19" i="64" s="1"/>
  <c r="D23" i="64" s="1"/>
  <c r="H36" i="9"/>
  <c r="H37" i="9" s="1"/>
  <c r="H39" i="9" s="1"/>
  <c r="P19" i="9"/>
  <c r="AP38" i="11"/>
  <c r="AF38" i="11"/>
  <c r="D37" i="86"/>
  <c r="D47" i="86" s="1"/>
  <c r="D48" i="86" s="1"/>
  <c r="D41" i="80" s="1"/>
  <c r="D38" i="69"/>
  <c r="D48" i="69" s="1"/>
  <c r="D49" i="69" s="1"/>
  <c r="D22" i="80" s="1"/>
  <c r="D19" i="8"/>
  <c r="D30" i="8" s="1"/>
  <c r="D31" i="8" s="1"/>
  <c r="D48" i="80" s="1"/>
  <c r="F43" i="5"/>
  <c r="D38" i="75"/>
  <c r="D39" i="75" s="1"/>
  <c r="D41" i="75" s="1"/>
  <c r="C73" i="20"/>
  <c r="B78" i="73"/>
  <c r="D38" i="86"/>
  <c r="D39" i="86" s="1"/>
  <c r="D41" i="86" s="1"/>
  <c r="G5" i="80"/>
  <c r="G59" i="80" s="1"/>
  <c r="AF34" i="11"/>
  <c r="AF27" i="11"/>
  <c r="AF20" i="11"/>
  <c r="B48" i="80" l="1"/>
  <c r="C48" i="80" s="1"/>
  <c r="E48" i="80" s="1"/>
  <c r="B19" i="63"/>
  <c r="C19" i="63" s="1"/>
  <c r="D39" i="89"/>
  <c r="D41" i="89" s="1"/>
  <c r="B48" i="63"/>
  <c r="C48" i="63" s="1"/>
  <c r="B39" i="80"/>
  <c r="C39" i="80" s="1"/>
  <c r="E39" i="80" s="1"/>
  <c r="D47" i="90"/>
  <c r="D48" i="90" s="1"/>
  <c r="D14" i="80" s="1"/>
  <c r="D39" i="90"/>
  <c r="D41" i="90" s="1"/>
  <c r="E48" i="7"/>
  <c r="E49" i="7" s="1"/>
  <c r="D76" i="80" s="1"/>
  <c r="E76" i="80" s="1"/>
  <c r="B22" i="80"/>
  <c r="C22" i="80" s="1"/>
  <c r="E22" i="80" s="1"/>
  <c r="B46" i="63"/>
  <c r="C46" i="63" s="1"/>
  <c r="B32" i="80"/>
  <c r="C32" i="80" s="1"/>
  <c r="E32" i="80" s="1"/>
  <c r="B30" i="63"/>
  <c r="C30" i="63" s="1"/>
  <c r="B27" i="80"/>
  <c r="C27" i="80" s="1"/>
  <c r="E27" i="80" s="1"/>
  <c r="B9" i="63"/>
  <c r="C9" i="63" s="1"/>
  <c r="AI5" i="7"/>
  <c r="AH6" i="7"/>
  <c r="B82" i="80"/>
  <c r="C82" i="80" s="1"/>
  <c r="E82" i="80" s="1"/>
  <c r="C29" i="63"/>
  <c r="B29" i="63" s="1"/>
  <c r="AR51" i="15"/>
  <c r="AR48" i="15"/>
  <c r="B81" i="73"/>
  <c r="C21" i="80"/>
  <c r="C23" i="63"/>
  <c r="B23" i="63" s="1"/>
  <c r="B28" i="80"/>
  <c r="C28" i="80" s="1"/>
  <c r="E28" i="80" s="1"/>
  <c r="B13" i="63"/>
  <c r="C13" i="63" s="1"/>
  <c r="B42" i="80"/>
  <c r="C42" i="80" s="1"/>
  <c r="E42" i="80" s="1"/>
  <c r="B45" i="63"/>
  <c r="C45" i="63" s="1"/>
  <c r="B80" i="80"/>
  <c r="C17" i="63"/>
  <c r="B17" i="63" s="1"/>
  <c r="B40" i="80"/>
  <c r="C40" i="80" s="1"/>
  <c r="E40" i="80" s="1"/>
  <c r="B33" i="63"/>
  <c r="C33" i="63" s="1"/>
  <c r="B83" i="80"/>
  <c r="C83" i="80" s="1"/>
  <c r="E83" i="80" s="1"/>
  <c r="C22" i="63"/>
  <c r="B22" i="63" s="1"/>
  <c r="B43" i="80"/>
  <c r="C43" i="80" s="1"/>
  <c r="E43" i="80" s="1"/>
  <c r="B20" i="63"/>
  <c r="C20" i="63" s="1"/>
  <c r="B33" i="80"/>
  <c r="C33" i="80" s="1"/>
  <c r="E33" i="80" s="1"/>
  <c r="B8" i="63"/>
  <c r="F37" i="73"/>
  <c r="D39" i="74"/>
  <c r="D41" i="74" s="1"/>
  <c r="K19" i="74"/>
  <c r="L19" i="74" s="1"/>
  <c r="L24" i="74" s="1"/>
  <c r="L26" i="74" s="1"/>
  <c r="F40" i="6"/>
  <c r="D46" i="6"/>
  <c r="D47" i="6" s="1"/>
  <c r="D67" i="80" s="1"/>
  <c r="D41" i="81"/>
  <c r="D46" i="81"/>
  <c r="D47" i="81" s="1"/>
  <c r="D81" i="80" s="1"/>
  <c r="D84" i="80" s="1"/>
  <c r="B69" i="80"/>
  <c r="C69" i="80" s="1"/>
  <c r="E69" i="80" s="1"/>
  <c r="C21" i="63"/>
  <c r="B21" i="63" s="1"/>
  <c r="B73" i="20"/>
  <c r="C78" i="73"/>
  <c r="B20" i="80"/>
  <c r="B32" i="63"/>
  <c r="C32" i="63" s="1"/>
  <c r="C10" i="63"/>
  <c r="B10" i="63" s="1"/>
  <c r="B66" i="80"/>
  <c r="B35" i="80"/>
  <c r="C35" i="80" s="1"/>
  <c r="E35" i="80" s="1"/>
  <c r="B34" i="63"/>
  <c r="C34" i="63" s="1"/>
  <c r="C57" i="20"/>
  <c r="F51" i="73" s="1"/>
  <c r="B15" i="63"/>
  <c r="C15" i="63" s="1"/>
  <c r="B47" i="80"/>
  <c r="C47" i="80" s="1"/>
  <c r="E47" i="80" s="1"/>
  <c r="J41" i="17"/>
  <c r="J43" i="17" s="1"/>
  <c r="B29" i="80"/>
  <c r="C29" i="80" s="1"/>
  <c r="E29" i="80" s="1"/>
  <c r="B12" i="63"/>
  <c r="C12" i="63" s="1"/>
  <c r="C79" i="73"/>
  <c r="B72" i="20"/>
  <c r="C133" i="15"/>
  <c r="D47" i="76"/>
  <c r="D48" i="76" s="1"/>
  <c r="D36" i="80" s="1"/>
  <c r="D49" i="80" s="1"/>
  <c r="D39" i="76"/>
  <c r="D41" i="76" s="1"/>
  <c r="B26" i="80"/>
  <c r="B35" i="63"/>
  <c r="C35" i="63" s="1"/>
  <c r="D46" i="12"/>
  <c r="D47" i="12" s="1"/>
  <c r="D74" i="80" s="1"/>
  <c r="D40" i="12"/>
  <c r="B16" i="80"/>
  <c r="C16" i="80" s="1"/>
  <c r="E16" i="80" s="1"/>
  <c r="E24" i="78"/>
  <c r="B41" i="63"/>
  <c r="B34" i="80"/>
  <c r="C34" i="80" s="1"/>
  <c r="E34" i="80" s="1"/>
  <c r="B37" i="63"/>
  <c r="C37" i="63" s="1"/>
  <c r="B42" i="63"/>
  <c r="C42" i="63" s="1"/>
  <c r="B15" i="80"/>
  <c r="C15" i="80" s="1"/>
  <c r="E15" i="80" s="1"/>
  <c r="C38" i="73"/>
  <c r="C40" i="73" s="1"/>
  <c r="E37" i="73"/>
  <c r="E38" i="73" s="1"/>
  <c r="F46" i="11"/>
  <c r="D75" i="80" s="1"/>
  <c r="D68" i="80"/>
  <c r="D86" i="80" s="1"/>
  <c r="AI19" i="7"/>
  <c r="O23" i="15"/>
  <c r="O24" i="15" s="1"/>
  <c r="C73" i="80"/>
  <c r="B44" i="80"/>
  <c r="C44" i="80" s="1"/>
  <c r="E44" i="80" s="1"/>
  <c r="B26" i="63"/>
  <c r="C26" i="63" s="1"/>
  <c r="B50" i="63"/>
  <c r="C38" i="80"/>
  <c r="E38" i="80" s="1"/>
  <c r="B41" i="80"/>
  <c r="C41" i="80" s="1"/>
  <c r="E41" i="80" s="1"/>
  <c r="B51" i="63"/>
  <c r="C51" i="63" s="1"/>
  <c r="B46" i="80"/>
  <c r="C46" i="80" s="1"/>
  <c r="E46" i="80" s="1"/>
  <c r="B27" i="63"/>
  <c r="C27" i="63" s="1"/>
  <c r="K36" i="73"/>
  <c r="K49" i="73" s="1"/>
  <c r="I62" i="20" s="1"/>
  <c r="B74" i="73"/>
  <c r="C78" i="20"/>
  <c r="C83" i="20" s="1"/>
  <c r="E75" i="80"/>
  <c r="D77" i="80"/>
  <c r="AI20" i="7"/>
  <c r="AH21" i="7"/>
  <c r="AI21" i="7" s="1"/>
  <c r="F102" i="15"/>
  <c r="F103" i="15" s="1"/>
  <c r="B103" i="15"/>
  <c r="B105" i="15" s="1"/>
  <c r="F105" i="15" s="1"/>
  <c r="D49" i="93"/>
  <c r="D50" i="93" s="1"/>
  <c r="D45" i="80" s="1"/>
  <c r="N39" i="93"/>
  <c r="N43" i="93" s="1"/>
  <c r="D17" i="80"/>
  <c r="D70" i="80"/>
  <c r="D47" i="2"/>
  <c r="D48" i="2" s="1"/>
  <c r="C80" i="80" l="1"/>
  <c r="F38" i="73"/>
  <c r="E40" i="73"/>
  <c r="C20" i="80"/>
  <c r="C8" i="63"/>
  <c r="C41" i="63"/>
  <c r="N13" i="63"/>
  <c r="B77" i="20"/>
  <c r="C73" i="73"/>
  <c r="B74" i="80"/>
  <c r="C52" i="63"/>
  <c r="B52" i="63" s="1"/>
  <c r="B67" i="80"/>
  <c r="C67" i="80" s="1"/>
  <c r="E67" i="80" s="1"/>
  <c r="C16" i="63"/>
  <c r="B16" i="63" s="1"/>
  <c r="C66" i="80"/>
  <c r="B70" i="80"/>
  <c r="E68" i="80"/>
  <c r="C103" i="15"/>
  <c r="B37" i="80"/>
  <c r="C37" i="80" s="1"/>
  <c r="E37" i="80" s="1"/>
  <c r="B43" i="63"/>
  <c r="C43" i="63" s="1"/>
  <c r="C26" i="80"/>
  <c r="B31" i="80"/>
  <c r="C31" i="80" s="1"/>
  <c r="E31" i="80" s="1"/>
  <c r="B11" i="63"/>
  <c r="C11" i="63" s="1"/>
  <c r="B24" i="63"/>
  <c r="C24" i="63" s="1"/>
  <c r="B45" i="80"/>
  <c r="C45" i="80" s="1"/>
  <c r="E45" i="80" s="1"/>
  <c r="B36" i="80"/>
  <c r="C36" i="80" s="1"/>
  <c r="E36" i="80" s="1"/>
  <c r="B36" i="63"/>
  <c r="C36" i="63" s="1"/>
  <c r="B81" i="80"/>
  <c r="C81" i="80" s="1"/>
  <c r="E81" i="80" s="1"/>
  <c r="C31" i="63"/>
  <c r="B31" i="63" s="1"/>
  <c r="E73" i="80"/>
  <c r="M53" i="73"/>
  <c r="B12" i="80"/>
  <c r="B28" i="63"/>
  <c r="C28" i="63" s="1"/>
  <c r="AH7" i="7"/>
  <c r="AI6" i="7"/>
  <c r="B21" i="80"/>
  <c r="B23" i="80" s="1"/>
  <c r="D21" i="80"/>
  <c r="E21" i="80"/>
  <c r="B14" i="80"/>
  <c r="C14" i="80" s="1"/>
  <c r="E14" i="80" s="1"/>
  <c r="B49" i="63"/>
  <c r="C49" i="63" s="1"/>
  <c r="C12" i="80" l="1"/>
  <c r="B17" i="80"/>
  <c r="B38" i="63"/>
  <c r="C38" i="63"/>
  <c r="E20" i="80"/>
  <c r="E23" i="80" s="1"/>
  <c r="C23" i="80"/>
  <c r="E26" i="80"/>
  <c r="B78" i="20"/>
  <c r="B83" i="20" s="1"/>
  <c r="B44" i="63" s="1"/>
  <c r="F40" i="73"/>
  <c r="F49" i="73" s="1"/>
  <c r="C74" i="73"/>
  <c r="C81" i="73" s="1"/>
  <c r="C82" i="73" s="1"/>
  <c r="C74" i="80"/>
  <c r="B77" i="80"/>
  <c r="B86" i="80" s="1"/>
  <c r="D23" i="80"/>
  <c r="D51" i="80"/>
  <c r="E66" i="80"/>
  <c r="C70" i="80"/>
  <c r="B53" i="63"/>
  <c r="B55" i="63" s="1"/>
  <c r="AH8" i="7"/>
  <c r="AI7" i="7"/>
  <c r="B84" i="80"/>
  <c r="E80" i="80"/>
  <c r="E84" i="80" s="1"/>
  <c r="C84" i="80"/>
  <c r="C86" i="80" l="1"/>
  <c r="AI8" i="7"/>
  <c r="AH9" i="7"/>
  <c r="C61" i="20"/>
  <c r="C62" i="20" s="1"/>
  <c r="F53" i="73"/>
  <c r="B30" i="80"/>
  <c r="C44" i="63"/>
  <c r="C53" i="63" s="1"/>
  <c r="C55" i="63" s="1"/>
  <c r="E74" i="80"/>
  <c r="E77" i="80" s="1"/>
  <c r="C77" i="80"/>
  <c r="E70" i="80"/>
  <c r="E86" i="80" s="1"/>
  <c r="C17" i="80"/>
  <c r="E12" i="80"/>
  <c r="C51" i="80" l="1"/>
  <c r="B90" i="80" s="1"/>
  <c r="C30" i="80"/>
  <c r="B49" i="80"/>
  <c r="AI9" i="7"/>
  <c r="AH10" i="7"/>
  <c r="B51" i="80"/>
  <c r="B89" i="80" s="1"/>
  <c r="E17" i="80"/>
  <c r="AH11" i="7" l="1"/>
  <c r="AI10" i="7"/>
  <c r="E30" i="80"/>
  <c r="E49" i="80" s="1"/>
  <c r="C49" i="80"/>
  <c r="AH12" i="7" l="1"/>
  <c r="AI11" i="7"/>
  <c r="E51" i="80"/>
  <c r="AH13" i="7" l="1"/>
  <c r="AI12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<sst xmlns="http://schemas.openxmlformats.org/spreadsheetml/2006/main" count="1014" uniqueCount="316">
  <si>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</si>
  <si>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</si>
  <si>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</si>
  <si>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</si>
  <si>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</si>
  <si>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</si>
  <si>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</si>
  <si>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</si>
  <si>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</si>
  <si>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</si>
  <si>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</si>
  <si>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</si>
  <si>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</si>
  <si>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</si>
  <si>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</si>
  <si>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</si>
  <si>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</si>
  <si>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</si>
  <si>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</si>
  <si>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</si>
  <si>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</si>
  <si>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</si>
  <si>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</si>
  <si>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</si>
  <si>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</si>
  <si>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</si>
  <si>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</si>
  <si>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</si>
  <si>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</si>
  <si>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</si>
  <si>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</si>
  <si>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</si>
  <si>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</si>
  <si>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</si>
  <si>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</si>
  <si>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</si>
  <si>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</si>
  <si>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</si>
  <si>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</si>
  <si>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</si>
  <si>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</si>
  <si>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</si>
  <si>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</si>
  <si>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</si>
  <si>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</si>
  <si>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</si>
  <si>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</si>
  <si>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</si>
  <si>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</si>
  <si>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</si>
  <si>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</si>
  <si>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</si>
  <si>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</si>
  <si>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</si>
  <si>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</si>
  <si>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</si>
  <si>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</si>
  <si>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</si>
  <si>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</si>
  <si>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</si>
  <si>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</si>
  <si>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</si>
  <si>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</si>
  <si>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</si>
  <si>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</si>
  <si>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</si>
  <si>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</si>
  <si>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</si>
  <si>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</si>
  <si>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</si>
  <si>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</si>
  <si>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</si>
  <si>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</si>
  <si>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</si>
  <si>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</si>
  <si>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</si>
  <si>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</si>
  <si>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</si>
  <si>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</si>
  <si>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</si>
  <si>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</si>
  <si>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</si>
  <si>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</si>
  <si>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</si>
  <si>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</si>
  <si>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</si>
  <si>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</si>
  <si>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</si>
  <si>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</si>
  <si>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</si>
  <si>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</si>
  <si>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</si>
  <si>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</si>
  <si>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</si>
  <si>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</si>
  <si>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</si>
  <si>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</si>
  <si>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</si>
  <si>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</si>
  <si>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</si>
  <si>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</si>
  <si>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</si>
  <si>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</si>
  <si>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</si>
  <si>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</si>
  <si>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</si>
  <si>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</si>
  <si>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</si>
  <si>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</si>
  <si>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</si>
  <si>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</si>
  <si>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</si>
  <si>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</si>
  <si>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</si>
  <si>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</si>
  <si>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</si>
  <si>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</si>
  <si>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</si>
  <si>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</si>
  <si>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</si>
  <si>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</si>
  <si>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</si>
  <si>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</si>
  <si>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</si>
  <si>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</si>
  <si>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</si>
  <si>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</si>
  <si>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</si>
  <si>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</si>
  <si>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</si>
  <si>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</si>
  <si>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</si>
  <si>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</si>
  <si>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</si>
  <si>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</si>
  <si>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</si>
  <si>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</si>
  <si>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</si>
  <si>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</si>
  <si>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</si>
  <si>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</si>
  <si>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</si>
  <si>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</si>
  <si>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</si>
  <si>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</si>
  <si>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</si>
  <si>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</si>
  <si>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</si>
  <si>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</si>
  <si>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</si>
  <si>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</si>
  <si>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</si>
  <si>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</si>
  <si>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</si>
  <si>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</si>
  <si>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</si>
  <si>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</si>
  <si>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</si>
  <si>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</si>
  <si>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</si>
  <si>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</si>
  <si>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</si>
  <si>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</si>
  <si>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</si>
  <si>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</si>
  <si>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</si>
  <si>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</si>
  <si>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</si>
  <si>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</si>
  <si>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</si>
  <si>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</si>
  <si>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</si>
  <si>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</si>
  <si>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</si>
  <si>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</si>
  <si>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</si>
  <si>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</si>
  <si>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</si>
  <si>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</si>
  <si>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</si>
  <si>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</si>
  <si>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</si>
  <si>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</si>
  <si>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</si>
  <si>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</si>
  <si>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</si>
  <si>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</si>
  <si>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</si>
  <si>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</si>
  <si>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</si>
  <si>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</si>
  <si>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</si>
  <si>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</si>
  <si>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</si>
  <si>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</si>
  <si>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</si>
  <si>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</si>
  <si>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</si>
  <si>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</si>
  <si>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</si>
  <si>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</si>
  <si>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</si>
  <si>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</si>
  <si>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</si>
  <si>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</si>
  <si>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</si>
  <si>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</si>
  <si>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</si>
  <si>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</si>
  <si>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</si>
  <si>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</si>
  <si>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</si>
  <si>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</si>
  <si>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</si>
  <si>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</si>
  <si>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</si>
  <si>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</si>
  <si>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</si>
  <si>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</si>
  <si>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</si>
  <si>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</si>
  <si>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</si>
  <si>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</si>
  <si>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</si>
  <si>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</si>
  <si>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</si>
  <si>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</si>
  <si>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</si>
  <si>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</si>
  <si>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</si>
  <si>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</si>
  <si>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</si>
  <si>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</si>
  <si>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</si>
  <si>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</si>
  <si>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</si>
  <si>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</si>
  <si>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</si>
  <si>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</si>
  <si>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</si>
  <si>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</si>
  <si>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</si>
  <si>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</si>
  <si>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</si>
  <si>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</si>
  <si>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</si>
  <si>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</si>
  <si>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</si>
  <si>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</si>
  <si>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</si>
  <si>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</si>
  <si>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</si>
  <si>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</si>
  <si>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</si>
  <si>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</si>
  <si>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</si>
  <si>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</si>
  <si>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</si>
  <si>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</si>
  <si>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</si>
  <si>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</si>
  <si>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</si>
  <si>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</si>
  <si>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</si>
  <si>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</si>
  <si>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</si>
  <si>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</si>
  <si>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</si>
  <si>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</si>
  <si>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</si>
  <si>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</si>
  <si>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</si>
  <si>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</si>
  <si>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</si>
  <si>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</si>
  <si>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</si>
  <si>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</si>
  <si>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</si>
  <si>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</si>
  <si>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</si>
  <si>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</si>
  <si>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</si>
  <si>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</si>
  <si>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</si>
  <si>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</si>
  <si>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</si>
  <si>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</si>
  <si>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</si>
  <si>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</si>
  <si>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</si>
  <si>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</si>
  <si>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</si>
  <si>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</si>
  <si>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</si>
  <si>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</si>
  <si>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</si>
  <si>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</si>
  <si>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</si>
  <si>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</si>
  <si>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</si>
  <si>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</si>
  <si>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</si>
  <si>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</si>
  <si>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</si>
  <si>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</si>
  <si>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</si>
  <si>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</si>
  <si>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</si>
  <si>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</si>
  <si>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</si>
  <si>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</si>
  <si>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</si>
  <si>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</si>
  <si>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</si>
  <si>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</si>
  <si>
    <t>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</si>
</sst>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</v>
          </cell>
          <cell r="K39">
            <v>2.1</v>
          </cell>
          <cell r="M39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0" sqref="D3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2.1</v>
      </c>
      <c r="H3" s="401">
        <f ca="1">NOW()</f>
        <v>41885.682909143521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2.1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2.1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35298.6</v>
      </c>
      <c r="C12" s="368">
        <f>+B12/$G$4</f>
        <v>16808.857142857141</v>
      </c>
      <c r="D12" s="14">
        <f>+Calpine!D47</f>
        <v>103898</v>
      </c>
      <c r="E12" s="70">
        <f>+C12-D12</f>
        <v>-87089.142857142855</v>
      </c>
      <c r="F12" s="363">
        <f>+Calpine!A41</f>
        <v>37311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64294.3</v>
      </c>
      <c r="C13" s="367">
        <f>+B13/$G$4</f>
        <v>30616.333333333332</v>
      </c>
      <c r="D13" s="14">
        <f>+'Citizens-Griffith'!D48</f>
        <v>34307</v>
      </c>
      <c r="E13" s="70">
        <f>+C13-D13</f>
        <v>-3690.6666666666679</v>
      </c>
      <c r="F13" s="363">
        <f>+'Citizens-Griffith'!A41</f>
        <v>37312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277</v>
      </c>
      <c r="B14" s="611">
        <f>+SWGasTrans!D41</f>
        <v>-20022.37</v>
      </c>
      <c r="C14" s="367">
        <f>+B14/G4</f>
        <v>-9534.4619047619035</v>
      </c>
      <c r="D14" s="14">
        <f>+SWGasTrans!$D$48</f>
        <v>3396</v>
      </c>
      <c r="E14" s="70">
        <f>+C14-D14</f>
        <v>-12930.461904761903</v>
      </c>
      <c r="F14" s="363">
        <f>+SWGasTrans!A41</f>
        <v>37311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-263481.5</v>
      </c>
      <c r="C15" s="367">
        <f>+B15/$G$4</f>
        <v>-125467.38095238095</v>
      </c>
      <c r="D15" s="14">
        <f>+'NS Steel'!D50</f>
        <v>-369</v>
      </c>
      <c r="E15" s="70">
        <f>+C15-D15</f>
        <v>-125098.38095238095</v>
      </c>
      <c r="F15" s="364">
        <f>+'NS Steel'!A41</f>
        <v>37311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-574798.09000000008</v>
      </c>
      <c r="C16" s="369">
        <f>+B16/$G$4</f>
        <v>-273713.37619047624</v>
      </c>
      <c r="D16" s="349">
        <f>+Citizens!D24</f>
        <v>-54536</v>
      </c>
      <c r="E16" s="72">
        <f>+C16-D16</f>
        <v>-219177.37619047624</v>
      </c>
      <c r="F16" s="363">
        <f>+Citizens!A18</f>
        <v>37310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-758709.06</v>
      </c>
      <c r="C17" s="392">
        <f>SUBTOTAL(9,C12:C16)</f>
        <v>-361290.02857142861</v>
      </c>
      <c r="D17" s="393">
        <f>SUBTOTAL(9,D12:D16)</f>
        <v>86696</v>
      </c>
      <c r="E17" s="394">
        <f>SUBTOTAL(9,E12:E16)</f>
        <v>-447986.02857142861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22181.8</v>
      </c>
      <c r="C20" s="367">
        <f>+B20/$G$4</f>
        <v>10562.761904761905</v>
      </c>
      <c r="D20" s="14">
        <f>+transcol!D50</f>
        <v>-45252</v>
      </c>
      <c r="E20" s="70">
        <f>+C20-D20</f>
        <v>55814.761904761908</v>
      </c>
      <c r="F20" s="364">
        <f>+transcol!A43</f>
        <v>37310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289</v>
      </c>
      <c r="B21" s="610">
        <f>+C21*G3</f>
        <v>69528.900000000009</v>
      </c>
      <c r="C21" s="367">
        <f>+williams!J40</f>
        <v>33109</v>
      </c>
      <c r="D21" s="14">
        <f>+C21</f>
        <v>33109</v>
      </c>
      <c r="E21" s="70">
        <f>+C21-D21</f>
        <v>0</v>
      </c>
      <c r="F21" s="364">
        <f>+williams!A40</f>
        <v>37312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-60633.16</v>
      </c>
      <c r="C22" s="371">
        <f>+B22/$G$3</f>
        <v>-28872.933333333334</v>
      </c>
      <c r="D22" s="349">
        <f>+burlington!D49</f>
        <v>-29155</v>
      </c>
      <c r="E22" s="72">
        <f>+C22-D22</f>
        <v>282.0666666666657</v>
      </c>
      <c r="F22" s="363">
        <f>+burlington!A42</f>
        <v>37311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31077.540000000008</v>
      </c>
      <c r="C23" s="388">
        <f>SUBTOTAL(9,C20:C22)</f>
        <v>14798.828571428574</v>
      </c>
      <c r="D23" s="393">
        <f>SUBTOTAL(9,D20:D22)</f>
        <v>-41298</v>
      </c>
      <c r="E23" s="394">
        <f>SUBTOTAL(9,E20:E22)</f>
        <v>56096.828571428574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17843.97</v>
      </c>
      <c r="C26" s="367">
        <f>+B26/$G$4</f>
        <v>8497.1285714285714</v>
      </c>
      <c r="D26" s="14">
        <f>+NNG!D34</f>
        <v>7845</v>
      </c>
      <c r="E26" s="70">
        <f t="shared" ref="E26:E48" si="0">+C26-D26</f>
        <v>652.12857142857138</v>
      </c>
      <c r="F26" s="363">
        <f>+NNG!A24</f>
        <v>37311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478769.75</v>
      </c>
      <c r="C27" s="367">
        <f>+B27/$G$4</f>
        <v>227985.59523809524</v>
      </c>
      <c r="D27" s="14">
        <f>+Conoco!D48</f>
        <v>26661</v>
      </c>
      <c r="E27" s="70">
        <f t="shared" si="0"/>
        <v>201324.59523809524</v>
      </c>
      <c r="F27" s="363">
        <f>+Conoco!A41</f>
        <v>37312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173778.53</v>
      </c>
      <c r="C28" s="367">
        <f>+B28/$G$4</f>
        <v>82751.68095238095</v>
      </c>
      <c r="D28" s="14">
        <f>+'Amoco Abo'!D49</f>
        <v>-358100</v>
      </c>
      <c r="E28" s="70">
        <f t="shared" si="0"/>
        <v>440851.68095238094</v>
      </c>
      <c r="F28" s="364">
        <f>+'Amoco Abo'!A43</f>
        <v>37310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327164</v>
      </c>
      <c r="C29" s="367">
        <f>+B29/$G$4</f>
        <v>155792.38095238095</v>
      </c>
      <c r="D29" s="14">
        <f>+KN_Westar!D48</f>
        <v>-38104</v>
      </c>
      <c r="E29" s="70">
        <f t="shared" si="0"/>
        <v>193896.38095238095</v>
      </c>
      <c r="F29" s="364">
        <f>+KN_Westar!A41</f>
        <v>37311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247</v>
      </c>
      <c r="B30" s="605">
        <f>+summary!B44</f>
        <v>-174989.20999999961</v>
      </c>
      <c r="C30" s="368">
        <f>+B30/$G$5</f>
        <v>-83328.195238095053</v>
      </c>
      <c r="D30" s="14">
        <f>+DEFS!$I$36+DEFS!$J$36+DEFS!$K$45+DEFS!$K$46+DEFS!$K$47+DEFS!$K$48+Duke!I53+Duke!I54+Duke!F40+Duke!G40+Duke!H40</f>
        <v>245448</v>
      </c>
      <c r="E30" s="70">
        <f t="shared" si="0"/>
        <v>-328776.19523809507</v>
      </c>
      <c r="F30" s="364">
        <f>+DEFS!A40</f>
        <v>37310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321804.7</v>
      </c>
      <c r="C31" s="367">
        <f>+B31/$G$4</f>
        <v>153240.33333333334</v>
      </c>
      <c r="D31" s="14">
        <f>+mewborne!D49</f>
        <v>126146</v>
      </c>
      <c r="E31" s="70">
        <f t="shared" si="0"/>
        <v>27094.333333333343</v>
      </c>
      <c r="F31" s="364">
        <f>+mewborne!A43</f>
        <v>37311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25570.800000000003</v>
      </c>
      <c r="C32" s="367">
        <f>+B32/$G$4</f>
        <v>12176.571428571429</v>
      </c>
      <c r="D32" s="14">
        <f>+PGETX!E48</f>
        <v>39954</v>
      </c>
      <c r="E32" s="70">
        <f t="shared" si="0"/>
        <v>-27777.428571428572</v>
      </c>
      <c r="F32" s="364">
        <f>+PGETX!E39</f>
        <v>37310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849653.64</v>
      </c>
      <c r="C33" s="367">
        <f>+B33/$G$4</f>
        <v>404596.97142857144</v>
      </c>
      <c r="D33" s="14">
        <f>+PNM!D30</f>
        <v>347035</v>
      </c>
      <c r="E33" s="70">
        <f t="shared" si="0"/>
        <v>57561.971428571444</v>
      </c>
      <c r="F33" s="364">
        <f>+PNM!A23</f>
        <v>37311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3470.41</v>
      </c>
      <c r="C34" s="367">
        <f>+B34/$G$4</f>
        <v>1652.5761904761903</v>
      </c>
      <c r="D34" s="14">
        <f>+EOG!D48</f>
        <v>-125980</v>
      </c>
      <c r="E34" s="70">
        <f t="shared" si="0"/>
        <v>127632.57619047619</v>
      </c>
      <c r="F34" s="363">
        <f>+EOG!A41</f>
        <v>37310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18382.63</v>
      </c>
      <c r="C35" s="367">
        <f>+B35/G5</f>
        <v>8753.6333333333332</v>
      </c>
      <c r="D35" s="14">
        <f>+Oasis!D47</f>
        <v>6748</v>
      </c>
      <c r="E35" s="70">
        <f>+C35-D35</f>
        <v>2005.6333333333332</v>
      </c>
      <c r="F35" s="363">
        <f>+Oasis!A40</f>
        <v>37311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3500.04</v>
      </c>
      <c r="C36" s="367">
        <f>+B36/$G$5</f>
        <v>1666.6857142857141</v>
      </c>
      <c r="D36" s="14">
        <f>+SidR!D48</f>
        <v>1489</v>
      </c>
      <c r="E36" s="70">
        <f t="shared" si="0"/>
        <v>177.68571428571408</v>
      </c>
      <c r="F36" s="364">
        <f>+SidR!A41</f>
        <v>37311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257</v>
      </c>
      <c r="B37" s="611">
        <f>+MiVida_Rich!D41</f>
        <v>-192285.66</v>
      </c>
      <c r="C37" s="367">
        <f>+B37/$G$5</f>
        <v>-91564.599999999991</v>
      </c>
      <c r="D37" s="14">
        <f>+MiVida_Rich!D48</f>
        <v>-45949</v>
      </c>
      <c r="E37" s="70">
        <f>+C37-D37</f>
        <v>-45615.599999999991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172331.44</v>
      </c>
      <c r="C38" s="367">
        <f>+B38/$G$5</f>
        <v>82062.590476190468</v>
      </c>
      <c r="D38" s="14">
        <f>+Dominion!D48</f>
        <v>75313</v>
      </c>
      <c r="E38" s="70">
        <f t="shared" si="0"/>
        <v>6749.5904761904676</v>
      </c>
      <c r="F38" s="364">
        <f>+Dominion!A41</f>
        <v>37311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-27185.369999999995</v>
      </c>
      <c r="C39" s="367">
        <f>+B39/$G$4</f>
        <v>-12945.414285714283</v>
      </c>
      <c r="D39" s="14">
        <f>+WTGmktg!D50</f>
        <v>537</v>
      </c>
      <c r="E39" s="70">
        <f t="shared" si="0"/>
        <v>-13482.414285714283</v>
      </c>
      <c r="F39" s="364">
        <f>+WTGmktg!A43</f>
        <v>37310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280</v>
      </c>
      <c r="B40" s="345">
        <f>+'WTG inc'!N43</f>
        <v>21368.61</v>
      </c>
      <c r="C40" s="367">
        <f>+B40/G4</f>
        <v>10175.528571428571</v>
      </c>
      <c r="D40" s="14">
        <f>+'WTG inc'!D50</f>
        <v>6737</v>
      </c>
      <c r="E40" s="70">
        <f>+C40-D40</f>
        <v>3438.528571428571</v>
      </c>
      <c r="F40" s="364">
        <f>+'WTG inc'!A43</f>
        <v>37307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-2954.7000000000003</v>
      </c>
      <c r="C41" s="367">
        <f>+B41/$G$5</f>
        <v>-1407</v>
      </c>
      <c r="D41" s="14">
        <f>+Devon!D48</f>
        <v>-1407</v>
      </c>
      <c r="E41" s="70">
        <f t="shared" si="0"/>
        <v>0</v>
      </c>
      <c r="F41" s="364">
        <f>+Devon!A41</f>
        <v>37311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-125350.09000000001</v>
      </c>
      <c r="C42" s="367">
        <f>+B42/$G$4</f>
        <v>-59690.519047619047</v>
      </c>
      <c r="D42" s="14">
        <f>+crosstex!D48</f>
        <v>-37040</v>
      </c>
      <c r="E42" s="70">
        <f t="shared" si="0"/>
        <v>-22650.519047619047</v>
      </c>
      <c r="F42" s="364">
        <f>+crosstex!A41</f>
        <v>37310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128669.78</v>
      </c>
      <c r="C43" s="367">
        <f>+B43/$G$4</f>
        <v>61271.323809523805</v>
      </c>
      <c r="D43" s="14">
        <f>+Amarillo!D48</f>
        <v>55566</v>
      </c>
      <c r="E43" s="70">
        <f t="shared" si="0"/>
        <v>5705.3238095238048</v>
      </c>
      <c r="F43" s="364">
        <f>+Amarillo!A41</f>
        <v>37311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295</v>
      </c>
      <c r="B44" s="605">
        <f>+Stratland!$D$41</f>
        <v>48490.31</v>
      </c>
      <c r="C44" s="368">
        <f>+B44/$G$4</f>
        <v>23090.623809523808</v>
      </c>
      <c r="D44" s="14">
        <f>+Stratland!D48</f>
        <v>17403</v>
      </c>
      <c r="E44" s="70">
        <f>+C44-D44</f>
        <v>5687.6238095238077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306</v>
      </c>
      <c r="B45" s="605">
        <f>+Plains!$N$43</f>
        <v>63241.56</v>
      </c>
      <c r="C45" s="608">
        <f>+B45/$G$4</f>
        <v>30115.028571428567</v>
      </c>
      <c r="D45" s="14">
        <f>+Plains!D50</f>
        <v>22284</v>
      </c>
      <c r="E45" s="70">
        <f>+C45-D45</f>
        <v>7831.0285714285674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48225.240000000005</v>
      </c>
      <c r="C46" s="368">
        <f>+B46/$G$4</f>
        <v>22964.400000000001</v>
      </c>
      <c r="D46" s="14">
        <f>+Continental!D50</f>
        <v>7169</v>
      </c>
      <c r="E46" s="70">
        <f t="shared" si="0"/>
        <v>15795.400000000001</v>
      </c>
      <c r="F46" s="364">
        <f>+Continental!A43</f>
        <v>37310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166457</v>
      </c>
      <c r="C47" s="368">
        <f>+B47/$G$5</f>
        <v>79265.238095238092</v>
      </c>
      <c r="D47" s="14">
        <f>+EPFS!D47</f>
        <v>93442</v>
      </c>
      <c r="E47" s="70">
        <f t="shared" si="0"/>
        <v>-14176.761904761908</v>
      </c>
      <c r="F47" s="363">
        <f>+EPFS!A41</f>
        <v>37311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38218.960000000006</v>
      </c>
      <c r="C48" s="369">
        <f>+B48/$G$4</f>
        <v>18199.504761904765</v>
      </c>
      <c r="D48" s="349">
        <f>+Agave!D31</f>
        <v>30826</v>
      </c>
      <c r="E48" s="72">
        <f t="shared" si="0"/>
        <v>-12626.495238095235</v>
      </c>
      <c r="F48" s="363">
        <f>+Agave!A25</f>
        <v>37311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2384176.3400000008</v>
      </c>
      <c r="C49" s="392">
        <f>SUBTOTAL(9,C26:C48)</f>
        <v>1135322.0666666667</v>
      </c>
      <c r="D49" s="393">
        <f>SUBTOTAL(9,D26:D48)</f>
        <v>504023</v>
      </c>
      <c r="E49" s="394">
        <f>SUBTOTAL(9,E26:E48)</f>
        <v>631299.06666666677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1656544.8200000005</v>
      </c>
      <c r="C51" s="392">
        <f>SUBTOTAL(9,C12:C48)</f>
        <v>788830.86666666681</v>
      </c>
      <c r="D51" s="393">
        <f>SUBTOTAL(9,D12:D48)</f>
        <v>549421</v>
      </c>
      <c r="E51" s="394">
        <f>SUBTOTAL(9,E12:E48)</f>
        <v>239409.86666666681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2.1</v>
      </c>
      <c r="H57" s="401">
        <f ca="1">NOW()</f>
        <v>41885.682909143521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2.1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2.1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150773</v>
      </c>
      <c r="C66" s="605">
        <f>+B66*$G$4</f>
        <v>316623.3</v>
      </c>
      <c r="D66" s="47">
        <f>+Mojave!D47</f>
        <v>124285.4</v>
      </c>
      <c r="E66" s="47">
        <f>+C66-D66</f>
        <v>192337.9</v>
      </c>
      <c r="F66" s="364">
        <f>+Mojave!A40</f>
        <v>37311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77115</v>
      </c>
      <c r="C67" s="605">
        <f>+B67*$G$4</f>
        <v>161941.5</v>
      </c>
      <c r="D67" s="47">
        <f>+SoCal!D47</f>
        <v>274784.3</v>
      </c>
      <c r="E67" s="47">
        <f>+C67-D67</f>
        <v>-112842.79999999999</v>
      </c>
      <c r="F67" s="364">
        <f>+SoCal!A40</f>
        <v>37311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134964.9</v>
      </c>
      <c r="D68" s="47">
        <f>+'El Paso'!C46</f>
        <v>-1582961.01</v>
      </c>
      <c r="E68" s="47">
        <f>+C68-D68</f>
        <v>1717925.91</v>
      </c>
      <c r="F68" s="364">
        <f>+'El Paso'!A39</f>
        <v>37311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48645</v>
      </c>
      <c r="C69" s="607">
        <f>+B69*$G$4</f>
        <v>102154.5</v>
      </c>
      <c r="D69" s="348">
        <f>+'PG&amp;E'!D47</f>
        <v>-101830.7</v>
      </c>
      <c r="E69" s="348">
        <f>+C69-D69</f>
        <v>203985.2</v>
      </c>
      <c r="F69" s="364">
        <f>+'PG&amp;E'!A40</f>
        <v>37312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340802</v>
      </c>
      <c r="C70" s="387">
        <f>SUBTOTAL(9,C66:C69)</f>
        <v>715684.2</v>
      </c>
      <c r="D70" s="387">
        <f>SUBTOTAL(9,D66:D69)</f>
        <v>-1285722.01</v>
      </c>
      <c r="E70" s="387">
        <f>SUBTOTAL(9,E66:E69)</f>
        <v>2001406.21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66561</v>
      </c>
      <c r="C73" s="606">
        <f>+B73*G57</f>
        <v>139778.1</v>
      </c>
      <c r="D73" s="200">
        <f>+'Red C'!D52</f>
        <v>485880.9</v>
      </c>
      <c r="E73" s="47">
        <f>+C73-D73</f>
        <v>-346102.80000000005</v>
      </c>
      <c r="F73" s="363">
        <f>+'Red C'!A45</f>
        <v>37312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288</v>
      </c>
      <c r="B74" s="367">
        <f>+Amoco!D40</f>
        <v>-2440</v>
      </c>
      <c r="C74" s="611">
        <f>+B74*$G$3</f>
        <v>-5124</v>
      </c>
      <c r="D74" s="47">
        <f>+Amoco!D47</f>
        <v>330143.8</v>
      </c>
      <c r="E74" s="47">
        <f>+C74-D74</f>
        <v>-335267.8</v>
      </c>
      <c r="F74" s="364">
        <f>+Amoco!A40</f>
        <v>37311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-63449</v>
      </c>
      <c r="C75" s="605">
        <f>+B75*$G$3</f>
        <v>-133242.9</v>
      </c>
      <c r="D75" s="47">
        <f>+'El Paso'!F46</f>
        <v>-657254.01</v>
      </c>
      <c r="E75" s="47">
        <f>+C75-D75</f>
        <v>524011.11</v>
      </c>
      <c r="F75" s="364">
        <f>+'El Paso'!A39</f>
        <v>37311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-14013</v>
      </c>
      <c r="C76" s="612">
        <f>+B76*$G$3</f>
        <v>-29427.300000000003</v>
      </c>
      <c r="D76" s="348">
        <f>+NW!E49</f>
        <v>-489492.18</v>
      </c>
      <c r="E76" s="348">
        <f>+C76-D76</f>
        <v>460064.88</v>
      </c>
      <c r="F76" s="363">
        <f>+NW!B41</f>
        <v>37311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-13341</v>
      </c>
      <c r="C77" s="387">
        <f>SUBTOTAL(9,C73:C76)</f>
        <v>-28016.099999999991</v>
      </c>
      <c r="D77" s="387">
        <f>SUBTOTAL(9,D73:D76)</f>
        <v>-330721.49000000005</v>
      </c>
      <c r="E77" s="387">
        <f>SUBTOTAL(9,E73:E76)</f>
        <v>302705.3899999999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67842</v>
      </c>
      <c r="C80" s="605">
        <f>+B80*$G$5</f>
        <v>142468.20000000001</v>
      </c>
      <c r="D80" s="47">
        <f>+NGPL!D45</f>
        <v>193757.15</v>
      </c>
      <c r="E80" s="47">
        <f>+C80-D80</f>
        <v>-51288.949999999983</v>
      </c>
      <c r="F80" s="364">
        <f>+NGPL!A38</f>
        <v>37312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7903</v>
      </c>
      <c r="C81" s="606">
        <f>+B81*$G$4</f>
        <v>16596.3</v>
      </c>
      <c r="D81" s="47">
        <f>+PEPL!D47</f>
        <v>162086.1</v>
      </c>
      <c r="E81" s="47">
        <f>+C81-D81</f>
        <v>-145489.80000000002</v>
      </c>
      <c r="F81" s="364">
        <f>+PEPL!A41</f>
        <v>37311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36932.700000000004</v>
      </c>
      <c r="D82" s="200">
        <f>+CIG!D49</f>
        <v>385897</v>
      </c>
      <c r="E82" s="70">
        <f>+C82-D82</f>
        <v>-348964.3</v>
      </c>
      <c r="F82" s="364">
        <f>+CIG!A42</f>
        <v>37310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46755</v>
      </c>
      <c r="C83" s="607">
        <f>+B83*G59</f>
        <v>98185.5</v>
      </c>
      <c r="D83" s="348">
        <f>+Lonestar!D50</f>
        <v>84003.96</v>
      </c>
      <c r="E83" s="348">
        <f>+C83-D83</f>
        <v>14181.539999999994</v>
      </c>
      <c r="F83" s="363">
        <f>+Lonestar!A43</f>
        <v>37311</v>
      </c>
      <c r="G83" s="32" t="s">
        <v>300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140087</v>
      </c>
      <c r="C84" s="387">
        <f>SUBTOTAL(9,C80:C83)</f>
        <v>294182.7</v>
      </c>
      <c r="D84" s="387">
        <f>SUBTOTAL(9,D80:D83)</f>
        <v>825744.21</v>
      </c>
      <c r="E84" s="387">
        <f>SUBTOTAL(9,E80:E83)</f>
        <v>-531561.51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467548</v>
      </c>
      <c r="C86" s="387">
        <f>SUBTOTAL(9,C66:C83)</f>
        <v>981850.79999999981</v>
      </c>
      <c r="D86" s="387">
        <f>SUBTOTAL(9,D66:D83)</f>
        <v>-790699.29</v>
      </c>
      <c r="E86" s="387">
        <f>SUBTOTAL(9,E66:E83)</f>
        <v>1772550.0899999996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2638395.62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1256378.8666666667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>
        <v>152740</v>
      </c>
      <c r="C26" s="436">
        <v>157125</v>
      </c>
      <c r="D26" s="481">
        <f t="shared" si="0"/>
        <v>4385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>
        <v>159107</v>
      </c>
      <c r="C27" s="436">
        <v>157125</v>
      </c>
      <c r="D27" s="481">
        <f t="shared" si="0"/>
        <v>-1982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>
        <v>156236</v>
      </c>
      <c r="C28" s="436">
        <v>157125</v>
      </c>
      <c r="D28" s="481">
        <f t="shared" si="0"/>
        <v>889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>
        <v>158404</v>
      </c>
      <c r="C29" s="436">
        <v>157124</v>
      </c>
      <c r="D29" s="481">
        <f t="shared" si="0"/>
        <v>-1280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3749707</v>
      </c>
      <c r="C37" s="410">
        <f>SUM(C6:C36)</f>
        <v>3752315</v>
      </c>
      <c r="D37" s="410">
        <f>SUM(D6:D36)</f>
        <v>2608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37311</v>
      </c>
      <c r="B40" s="285"/>
      <c r="C40" s="435"/>
      <c r="D40" s="307">
        <f>+D39+D37</f>
        <v>-2440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37311</v>
      </c>
      <c r="B46" s="32"/>
      <c r="C46" s="32"/>
      <c r="D46" s="374">
        <f>+D37*'by type_area'!G3</f>
        <v>5476.8</v>
      </c>
    </row>
    <row r="47" spans="1:16" x14ac:dyDescent="0.2">
      <c r="A47" s="32"/>
      <c r="B47" s="32"/>
      <c r="C47" s="32"/>
      <c r="D47" s="200">
        <f>+D46+D45</f>
        <v>330143.8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C29" sqref="C2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-1</v>
      </c>
      <c r="C24" s="24"/>
      <c r="D24" s="24">
        <f t="shared" si="0"/>
        <v>1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-57134</v>
      </c>
      <c r="C25" s="24">
        <v>-58600</v>
      </c>
      <c r="D25" s="24">
        <f t="shared" si="0"/>
        <v>-1466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-30029</v>
      </c>
      <c r="C26" s="24">
        <v>-30000</v>
      </c>
      <c r="D26" s="24">
        <f t="shared" si="0"/>
        <v>29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-42012</v>
      </c>
      <c r="C27" s="24">
        <v>-41600</v>
      </c>
      <c r="D27" s="24">
        <f t="shared" si="0"/>
        <v>412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-24303</v>
      </c>
      <c r="C28" s="24">
        <v>-24100</v>
      </c>
      <c r="D28" s="24">
        <f t="shared" si="0"/>
        <v>203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-353634</v>
      </c>
      <c r="C36" s="24">
        <f>SUM(C5:C35)</f>
        <v>-354440</v>
      </c>
      <c r="D36" s="24">
        <f t="shared" si="0"/>
        <v>-806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-1692.6000000000001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37311</v>
      </c>
      <c r="B40"/>
      <c r="C40" s="48"/>
      <c r="D40" s="138">
        <f>+D39+D38</f>
        <v>18382.63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37311</v>
      </c>
      <c r="B46" s="32"/>
      <c r="C46" s="32"/>
      <c r="D46" s="349">
        <f>+D36</f>
        <v>-806</v>
      </c>
    </row>
    <row r="47" spans="1:65" x14ac:dyDescent="0.2">
      <c r="A47" s="32"/>
      <c r="B47" s="32"/>
      <c r="C47" s="32"/>
      <c r="D47" s="14">
        <f>+D46+D45</f>
        <v>6748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G21" sqref="G2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775807</v>
      </c>
      <c r="C5" s="90">
        <v>800940</v>
      </c>
      <c r="D5" s="90">
        <f t="shared" ref="D5:D18" si="0">+C5-B5</f>
        <v>25133</v>
      </c>
      <c r="E5" s="275"/>
      <c r="F5" s="273"/>
    </row>
    <row r="6" spans="1:13" x14ac:dyDescent="0.2">
      <c r="A6" s="87">
        <v>78311</v>
      </c>
      <c r="B6" s="90">
        <f>271089+12681</f>
        <v>283770</v>
      </c>
      <c r="C6" s="90">
        <v>273783</v>
      </c>
      <c r="D6" s="90">
        <f t="shared" si="0"/>
        <v>-9987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f>19294+966+972+850+816+857+857</f>
        <v>24612</v>
      </c>
      <c r="C7" s="90"/>
      <c r="D7" s="90">
        <f t="shared" si="0"/>
        <v>-24612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762994</v>
      </c>
      <c r="C8" s="90">
        <v>892601</v>
      </c>
      <c r="D8" s="90">
        <f t="shared" si="0"/>
        <v>129607</v>
      </c>
      <c r="E8" s="455"/>
      <c r="F8" s="273"/>
    </row>
    <row r="9" spans="1:13" x14ac:dyDescent="0.2">
      <c r="A9" s="87">
        <v>500239</v>
      </c>
      <c r="B9" s="90">
        <v>886988</v>
      </c>
      <c r="C9" s="90">
        <v>798084</v>
      </c>
      <c r="D9" s="90">
        <f t="shared" si="0"/>
        <v>-88904</v>
      </c>
      <c r="E9" s="275"/>
      <c r="F9" s="273"/>
    </row>
    <row r="10" spans="1:13" x14ac:dyDescent="0.2">
      <c r="A10" s="87">
        <v>500293</v>
      </c>
      <c r="B10" s="90">
        <v>410180</v>
      </c>
      <c r="C10" s="90">
        <v>486635</v>
      </c>
      <c r="D10" s="90">
        <f t="shared" si="0"/>
        <v>76455</v>
      </c>
      <c r="E10" s="275"/>
      <c r="F10" s="273"/>
    </row>
    <row r="11" spans="1:13" x14ac:dyDescent="0.2">
      <c r="A11" s="87">
        <v>500302</v>
      </c>
      <c r="B11" s="90"/>
      <c r="C11" s="90">
        <v>7672</v>
      </c>
      <c r="D11" s="90">
        <f t="shared" si="0"/>
        <v>7672</v>
      </c>
      <c r="E11" s="275"/>
      <c r="F11" s="273"/>
    </row>
    <row r="12" spans="1:13" x14ac:dyDescent="0.2">
      <c r="A12" s="87">
        <v>500303</v>
      </c>
      <c r="B12" s="90"/>
      <c r="C12" s="90">
        <v>22440</v>
      </c>
      <c r="D12" s="90">
        <f t="shared" si="0"/>
        <v>22440</v>
      </c>
      <c r="E12" s="276"/>
      <c r="F12" s="465"/>
      <c r="G12" s="90"/>
    </row>
    <row r="13" spans="1:13" x14ac:dyDescent="0.2">
      <c r="A13" s="91">
        <v>500305</v>
      </c>
      <c r="B13" s="90">
        <v>1179804</v>
      </c>
      <c r="C13" s="90">
        <v>1263220</v>
      </c>
      <c r="D13" s="90">
        <f t="shared" si="0"/>
        <v>83416</v>
      </c>
      <c r="E13" s="275"/>
      <c r="F13" s="273"/>
    </row>
    <row r="14" spans="1:13" x14ac:dyDescent="0.2">
      <c r="A14" s="87">
        <v>500307</v>
      </c>
      <c r="B14" s="90">
        <v>78593</v>
      </c>
      <c r="C14" s="90">
        <v>48685</v>
      </c>
      <c r="D14" s="90">
        <f t="shared" si="0"/>
        <v>-29908</v>
      </c>
      <c r="E14" s="275"/>
      <c r="F14" s="273"/>
    </row>
    <row r="15" spans="1:13" x14ac:dyDescent="0.2">
      <c r="A15" s="87">
        <v>500313</v>
      </c>
      <c r="B15" s="90"/>
      <c r="C15" s="90">
        <v>2311</v>
      </c>
      <c r="D15" s="90">
        <f t="shared" si="0"/>
        <v>2311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176610</v>
      </c>
      <c r="C17" s="90"/>
      <c r="D17" s="90">
        <f t="shared" si="0"/>
        <v>-176610</v>
      </c>
      <c r="E17" s="275"/>
      <c r="F17" s="273"/>
      <c r="G17" s="557"/>
    </row>
    <row r="18" spans="1:7" x14ac:dyDescent="0.2">
      <c r="A18" s="87">
        <v>500657</v>
      </c>
      <c r="B18" s="88">
        <v>95400</v>
      </c>
      <c r="C18" s="88">
        <v>50392</v>
      </c>
      <c r="D18" s="94">
        <f t="shared" si="0"/>
        <v>-45008</v>
      </c>
      <c r="E18" s="275"/>
      <c r="F18" s="465"/>
    </row>
    <row r="19" spans="1:7" x14ac:dyDescent="0.2">
      <c r="A19" s="87"/>
      <c r="B19" s="88"/>
      <c r="C19" s="88"/>
      <c r="D19" s="88">
        <f>SUM(D5:D18)</f>
        <v>-27995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2.1</v>
      </c>
      <c r="E20" s="207"/>
      <c r="F20" s="465"/>
    </row>
    <row r="21" spans="1:7" x14ac:dyDescent="0.2">
      <c r="A21" s="87"/>
      <c r="B21" s="88"/>
      <c r="C21" s="88"/>
      <c r="D21" s="96">
        <f>+D20*D19</f>
        <v>-58789.5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37287</v>
      </c>
      <c r="B23" s="88"/>
      <c r="C23" s="88"/>
      <c r="D23" s="582">
        <f>121616.94-11831*2.08</f>
        <v>97008.46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37311</v>
      </c>
      <c r="B25" s="88"/>
      <c r="C25" s="88"/>
      <c r="D25" s="318">
        <f>+D23+D21</f>
        <v>38218.960000000006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37287</v>
      </c>
      <c r="B29" s="32"/>
      <c r="C29" s="32"/>
      <c r="D29" s="567">
        <f>70652-11831</f>
        <v>58821</v>
      </c>
    </row>
    <row r="30" spans="1:7" x14ac:dyDescent="0.2">
      <c r="A30" s="49">
        <f>+A25</f>
        <v>37311</v>
      </c>
      <c r="B30" s="32"/>
      <c r="C30" s="32"/>
      <c r="D30" s="349">
        <f>+D19</f>
        <v>-27995</v>
      </c>
    </row>
    <row r="31" spans="1:7" x14ac:dyDescent="0.2">
      <c r="A31" s="32"/>
      <c r="B31" s="32"/>
      <c r="C31" s="32"/>
      <c r="D31" s="14">
        <f>+D30+D29</f>
        <v>30826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2" workbookViewId="0">
      <selection activeCell="C29" sqref="C29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38362</v>
      </c>
      <c r="C23" s="11">
        <v>39089</v>
      </c>
      <c r="D23" s="11">
        <v>30657</v>
      </c>
      <c r="E23" s="11">
        <v>31023</v>
      </c>
      <c r="F23" s="25">
        <f t="shared" si="2"/>
        <v>1093</v>
      </c>
      <c r="G23" s="25"/>
    </row>
    <row r="24" spans="1:7" x14ac:dyDescent="0.2">
      <c r="A24" s="41">
        <v>21</v>
      </c>
      <c r="B24" s="11">
        <v>38790</v>
      </c>
      <c r="C24" s="11">
        <v>39089</v>
      </c>
      <c r="D24" s="11">
        <v>27625</v>
      </c>
      <c r="E24" s="11">
        <v>29023</v>
      </c>
      <c r="F24" s="25">
        <f t="shared" si="2"/>
        <v>1697</v>
      </c>
      <c r="G24" s="25"/>
    </row>
    <row r="25" spans="1:7" x14ac:dyDescent="0.2">
      <c r="A25" s="41">
        <v>22</v>
      </c>
      <c r="B25" s="11">
        <v>39729</v>
      </c>
      <c r="C25" s="11">
        <v>39089</v>
      </c>
      <c r="D25" s="11">
        <v>27891</v>
      </c>
      <c r="E25" s="11">
        <v>29023</v>
      </c>
      <c r="F25" s="25">
        <f t="shared" si="2"/>
        <v>492</v>
      </c>
      <c r="G25" s="25"/>
    </row>
    <row r="26" spans="1:7" x14ac:dyDescent="0.2">
      <c r="A26" s="41">
        <v>23</v>
      </c>
      <c r="B26" s="11">
        <v>41425</v>
      </c>
      <c r="C26" s="11">
        <v>39089</v>
      </c>
      <c r="D26" s="129">
        <v>24731</v>
      </c>
      <c r="E26" s="11">
        <v>29023</v>
      </c>
      <c r="F26" s="25">
        <f t="shared" si="2"/>
        <v>1956</v>
      </c>
    </row>
    <row r="27" spans="1:7" x14ac:dyDescent="0.2">
      <c r="A27" s="41">
        <v>24</v>
      </c>
      <c r="B27" s="11">
        <v>39283</v>
      </c>
      <c r="C27" s="11">
        <v>39089</v>
      </c>
      <c r="D27" s="11">
        <v>32359</v>
      </c>
      <c r="E27" s="11">
        <v>29023</v>
      </c>
      <c r="F27" s="25">
        <f t="shared" si="2"/>
        <v>-3530</v>
      </c>
    </row>
    <row r="28" spans="1:7" x14ac:dyDescent="0.2">
      <c r="A28" s="41">
        <v>25</v>
      </c>
      <c r="B28" s="11">
        <v>33294</v>
      </c>
      <c r="C28" s="11">
        <v>39089</v>
      </c>
      <c r="D28" s="11">
        <v>29582</v>
      </c>
      <c r="E28" s="11">
        <v>29023</v>
      </c>
      <c r="F28" s="25">
        <f t="shared" si="2"/>
        <v>5236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1068295</v>
      </c>
      <c r="C35" s="11">
        <f>SUM(C4:C34)</f>
        <v>1077669</v>
      </c>
      <c r="D35" s="11">
        <f>SUM(D4:D34)</f>
        <v>586932</v>
      </c>
      <c r="E35" s="11">
        <f>SUM(E4:E34)</f>
        <v>590535</v>
      </c>
      <c r="F35" s="11">
        <f>+E35-D35+C35-B35</f>
        <v>12977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2.1</v>
      </c>
    </row>
    <row r="38" spans="1:7" x14ac:dyDescent="0.2">
      <c r="C38" s="48"/>
      <c r="D38" s="47"/>
      <c r="E38" s="48"/>
      <c r="F38" s="46">
        <f>+F37*F35</f>
        <v>27251.7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37312</v>
      </c>
      <c r="C41" s="106"/>
      <c r="D41" s="106"/>
      <c r="E41" s="106"/>
      <c r="F41" s="106">
        <f>+F38+F40</f>
        <v>478769.75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37312</v>
      </c>
      <c r="D47" s="349">
        <f>+F35</f>
        <v>12977</v>
      </c>
      <c r="E47" s="11"/>
      <c r="F47" s="11"/>
      <c r="G47" s="25"/>
    </row>
    <row r="48" spans="1:7" x14ac:dyDescent="0.2">
      <c r="D48" s="14">
        <f>+D47+D46</f>
        <v>26661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E33" sqref="E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182113</v>
      </c>
      <c r="C25" s="11">
        <v>201233</v>
      </c>
      <c r="D25" s="11"/>
      <c r="E25" s="11">
        <v>-19301</v>
      </c>
      <c r="F25" s="11">
        <f t="shared" si="2"/>
        <v>-181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186315</v>
      </c>
      <c r="C26" s="11">
        <v>192397</v>
      </c>
      <c r="D26" s="11"/>
      <c r="E26" s="11">
        <v>-7735</v>
      </c>
      <c r="F26" s="11">
        <f t="shared" si="2"/>
        <v>-1653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172591</v>
      </c>
      <c r="C27" s="11">
        <v>173419</v>
      </c>
      <c r="D27" s="11"/>
      <c r="E27" s="11">
        <v>-2646</v>
      </c>
      <c r="F27" s="11">
        <f t="shared" si="2"/>
        <v>-1818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186600</v>
      </c>
      <c r="C28" s="11">
        <v>193343</v>
      </c>
      <c r="D28" s="11"/>
      <c r="E28" s="11">
        <v>-2646</v>
      </c>
      <c r="F28" s="11">
        <f t="shared" si="2"/>
        <v>4097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4374668</v>
      </c>
      <c r="C36" s="11">
        <f>SUM(C5:C35)</f>
        <v>4516814</v>
      </c>
      <c r="D36" s="11">
        <f>SUM(D5:D35)</f>
        <v>0</v>
      </c>
      <c r="E36" s="11">
        <f>SUM(E5:E35)</f>
        <v>-120968</v>
      </c>
      <c r="F36" s="11">
        <f>SUM(F5:F35)</f>
        <v>21178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37311</v>
      </c>
      <c r="F41" s="332">
        <f>+F39+F36</f>
        <v>-14013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37311</v>
      </c>
      <c r="C48" s="32"/>
      <c r="D48" s="32"/>
      <c r="E48" s="374">
        <f>+F36*'by type_area'!G3</f>
        <v>44473.8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-489492.18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C31" sqref="C3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">
      <c r="A28" s="10">
        <v>21</v>
      </c>
      <c r="B28" s="11">
        <v>83048</v>
      </c>
      <c r="C28" s="11">
        <v>91226</v>
      </c>
      <c r="D28" s="11">
        <f t="shared" si="0"/>
        <v>8178</v>
      </c>
      <c r="E28" s="10"/>
      <c r="F28" s="11"/>
      <c r="G28" s="11"/>
      <c r="H28" s="11"/>
    </row>
    <row r="29" spans="1:8" x14ac:dyDescent="0.2">
      <c r="A29" s="10">
        <v>22</v>
      </c>
      <c r="B29" s="11">
        <v>94026</v>
      </c>
      <c r="C29" s="11">
        <v>93799</v>
      </c>
      <c r="D29" s="11">
        <f t="shared" si="0"/>
        <v>-227</v>
      </c>
      <c r="E29" s="10"/>
      <c r="F29" s="11"/>
      <c r="G29" s="11"/>
      <c r="H29" s="11"/>
    </row>
    <row r="30" spans="1:8" x14ac:dyDescent="0.2">
      <c r="A30" s="10">
        <v>23</v>
      </c>
      <c r="B30" s="11">
        <v>94004</v>
      </c>
      <c r="C30" s="11">
        <v>93799</v>
      </c>
      <c r="D30" s="11">
        <f t="shared" si="0"/>
        <v>-205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2151032</v>
      </c>
      <c r="C39" s="11">
        <f>SUM(C8:C38)</f>
        <v>2147940</v>
      </c>
      <c r="D39" s="11">
        <f>SUM(D8:D38)</f>
        <v>-3092</v>
      </c>
      <c r="E39" s="10"/>
      <c r="F39" s="11"/>
      <c r="G39" s="11"/>
      <c r="H39" s="11"/>
    </row>
    <row r="40" spans="1:8" x14ac:dyDescent="0.2">
      <c r="A40" s="26"/>
      <c r="D40" s="75">
        <f>+summary!G4</f>
        <v>2.1</v>
      </c>
      <c r="E40" s="26"/>
      <c r="H40" s="75"/>
    </row>
    <row r="41" spans="1:8" x14ac:dyDescent="0.2">
      <c r="D41" s="195">
        <f>+D40*D39</f>
        <v>-6493.2000000000007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37310</v>
      </c>
      <c r="D43" s="196">
        <f>+D42+D41</f>
        <v>22181.8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37310</v>
      </c>
      <c r="B49" s="32"/>
      <c r="C49" s="32"/>
      <c r="D49" s="349">
        <f>+D39</f>
        <v>-3092</v>
      </c>
    </row>
    <row r="50" spans="1:4" x14ac:dyDescent="0.2">
      <c r="A50" s="32"/>
      <c r="B50" s="32"/>
      <c r="C50" s="32"/>
      <c r="D50" s="14">
        <f>+D49+D48</f>
        <v>-45252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6" workbookViewId="0">
      <selection activeCell="B45" sqref="B45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249</v>
      </c>
      <c r="J6" s="15"/>
    </row>
    <row r="7" spans="1:14" x14ac:dyDescent="0.2">
      <c r="A7" s="57">
        <v>37306</v>
      </c>
      <c r="I7" s="3" t="s">
        <v>255</v>
      </c>
      <c r="J7" s="15"/>
    </row>
    <row r="8" spans="1:14" x14ac:dyDescent="0.2">
      <c r="A8" s="248">
        <v>50895</v>
      </c>
      <c r="B8" s="339">
        <f>4791-4550</f>
        <v>241</v>
      </c>
      <c r="J8" s="15"/>
    </row>
    <row r="9" spans="1:14" x14ac:dyDescent="0.2">
      <c r="A9" s="248">
        <v>60874</v>
      </c>
      <c r="B9" s="339">
        <v>1898</v>
      </c>
      <c r="J9" s="15"/>
    </row>
    <row r="10" spans="1:14" x14ac:dyDescent="0.2">
      <c r="A10" s="248">
        <v>78169</v>
      </c>
      <c r="B10" s="339">
        <f>370713-345099-16581-16483</f>
        <v>-7450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11408-9805</f>
        <v>1603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2737-2716</f>
        <v>21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3080-11751</f>
        <v>-8671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1232692-1261790</f>
        <v>-29098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-41457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2.1</v>
      </c>
      <c r="C19" s="199">
        <f>+B19*B18</f>
        <v>-87059.7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1442416.9000000001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2.1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37306</v>
      </c>
      <c r="F39" s="349">
        <f>+B18</f>
        <v>-41457</v>
      </c>
      <c r="G39" s="349">
        <f>+B31</f>
        <v>0</v>
      </c>
      <c r="H39" s="349">
        <f>+B46</f>
        <v>3275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336243</v>
      </c>
      <c r="G40" s="14">
        <f>+G39+G38</f>
        <v>117857</v>
      </c>
      <c r="H40" s="14">
        <f>+H39+H38</f>
        <v>196710</v>
      </c>
      <c r="I40" s="14">
        <f>+H40+G40+F40</f>
        <v>650810</v>
      </c>
    </row>
    <row r="41" spans="1:9" x14ac:dyDescent="0.2">
      <c r="G41" s="32"/>
      <c r="H41" s="15"/>
      <c r="I41" s="32"/>
    </row>
    <row r="42" spans="1:9" x14ac:dyDescent="0.2">
      <c r="A42" s="245">
        <v>37310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2095</v>
      </c>
      <c r="G45" s="32"/>
      <c r="H45" s="380"/>
      <c r="I45" s="14"/>
    </row>
    <row r="46" spans="1:9" x14ac:dyDescent="0.2">
      <c r="B46" s="14">
        <f>SUM(B43:B45)</f>
        <v>3275</v>
      </c>
      <c r="G46" s="32"/>
      <c r="H46" s="380"/>
      <c r="I46" s="14"/>
    </row>
    <row r="47" spans="1:9" x14ac:dyDescent="0.2">
      <c r="B47" s="199">
        <f>+summary!G5</f>
        <v>2.1</v>
      </c>
      <c r="C47" s="199">
        <f>+B47*B46</f>
        <v>6877.5</v>
      </c>
      <c r="H47" s="380"/>
      <c r="I47" s="14"/>
    </row>
    <row r="48" spans="1:9" x14ac:dyDescent="0.2">
      <c r="C48" s="321">
        <f>+C47+C40</f>
        <v>862753.6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2677541.6500000004</v>
      </c>
      <c r="I57" s="14">
        <f>SUM(I40:I54)</f>
        <v>706143</v>
      </c>
    </row>
    <row r="61" spans="1:9" x14ac:dyDescent="0.2">
      <c r="C61" s="15">
        <f>+DEFS!F49</f>
        <v>-2852530.8600000003</v>
      </c>
    </row>
    <row r="62" spans="1:9" x14ac:dyDescent="0.2">
      <c r="C62" s="15">
        <f>+C61+C57</f>
        <v>-174989.20999999996</v>
      </c>
      <c r="I62" s="31">
        <f>+I57+DEFS!K49</f>
        <v>245448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1442416.9000000001</v>
      </c>
      <c r="C72" s="14">
        <f>+F40</f>
        <v>336243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862753.6</v>
      </c>
      <c r="C74" s="14">
        <f>+H40</f>
        <v>196710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-644774.72000000009</v>
      </c>
      <c r="C78" s="14">
        <f>+DEFS!J36</f>
        <v>-163526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-174989.20999999961</v>
      </c>
      <c r="C83" s="16">
        <f>SUM(C72:C82)</f>
        <v>245448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A46" sqref="A4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35314</v>
      </c>
      <c r="E22" s="11">
        <v>34133</v>
      </c>
      <c r="F22" s="11">
        <f t="shared" si="0"/>
        <v>-1181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35347</v>
      </c>
      <c r="E23" s="11">
        <v>34133</v>
      </c>
      <c r="F23" s="11">
        <f t="shared" si="0"/>
        <v>-1214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35428</v>
      </c>
      <c r="E24" s="11">
        <v>34133</v>
      </c>
      <c r="F24" s="11">
        <f t="shared" si="0"/>
        <v>-1295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35215</v>
      </c>
      <c r="E25" s="11">
        <v>34133</v>
      </c>
      <c r="F25" s="11">
        <f t="shared" si="0"/>
        <v>-1082</v>
      </c>
      <c r="I25" s="11"/>
      <c r="J25" s="24"/>
    </row>
    <row r="26" spans="1:10" x14ac:dyDescent="0.2">
      <c r="A26" s="10">
        <v>23</v>
      </c>
      <c r="B26" s="11"/>
      <c r="C26" s="11"/>
      <c r="D26" s="11">
        <v>35358</v>
      </c>
      <c r="E26" s="11">
        <v>34133</v>
      </c>
      <c r="F26" s="11">
        <f t="shared" si="0"/>
        <v>-1225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798087</v>
      </c>
      <c r="E35" s="11">
        <f>SUM(E4:E34)</f>
        <v>784484</v>
      </c>
      <c r="F35" s="11">
        <f>SUM(F4:F34)</f>
        <v>-13603</v>
      </c>
      <c r="G35" s="11"/>
      <c r="H35" s="49">
        <f>+A40</f>
        <v>37310</v>
      </c>
      <c r="I35" s="349">
        <f>+C36</f>
        <v>0</v>
      </c>
      <c r="J35" s="349">
        <f>+E36</f>
        <v>-13603</v>
      </c>
      <c r="K35" s="206"/>
      <c r="L35" s="14"/>
    </row>
    <row r="36" spans="1:13" x14ac:dyDescent="0.2">
      <c r="C36" s="25">
        <f>+C35-B35</f>
        <v>0</v>
      </c>
      <c r="E36" s="25">
        <f>+E35-D35</f>
        <v>-13603</v>
      </c>
      <c r="F36" s="25">
        <f>+E36+C36</f>
        <v>-13603</v>
      </c>
      <c r="H36" s="32"/>
      <c r="I36" s="14">
        <f>+I35+I34</f>
        <v>-183967</v>
      </c>
      <c r="J36" s="14">
        <f>+J35+J34</f>
        <v>-163526</v>
      </c>
      <c r="K36" s="14">
        <f>+J36+I36</f>
        <v>-347493</v>
      </c>
      <c r="L36" s="14"/>
    </row>
    <row r="37" spans="1:13" x14ac:dyDescent="0.2">
      <c r="C37" s="313">
        <f>+summary!G5</f>
        <v>2.1</v>
      </c>
      <c r="E37" s="104">
        <f>+C37</f>
        <v>2.1</v>
      </c>
      <c r="F37" s="138">
        <f>+F36*E37</f>
        <v>-28566.300000000003</v>
      </c>
    </row>
    <row r="38" spans="1:13" x14ac:dyDescent="0.2">
      <c r="C38" s="138">
        <f>+C37*C36</f>
        <v>0</v>
      </c>
      <c r="E38" s="136">
        <f>+E37*E36</f>
        <v>-28566.300000000003</v>
      </c>
      <c r="F38" s="138">
        <f>+E38+C38</f>
        <v>-28566.300000000003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37310</v>
      </c>
      <c r="B40" s="2" t="s">
        <v>45</v>
      </c>
      <c r="C40" s="314">
        <f>+C39+C38</f>
        <v>-1035385.61</v>
      </c>
      <c r="D40" s="252"/>
      <c r="E40" s="314">
        <f>+E39+E38</f>
        <v>-644774.72000000009</v>
      </c>
      <c r="F40" s="314">
        <f>+E40+C40</f>
        <v>-1680160.33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-2852530.8600000003</v>
      </c>
      <c r="G49" s="246"/>
      <c r="K49" s="14">
        <f>SUM(K36:K48)</f>
        <v>-460695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2677541.6500000004</v>
      </c>
      <c r="M51" s="14">
        <f>+Duke!I57</f>
        <v>706143</v>
      </c>
    </row>
    <row r="53" spans="3:13" x14ac:dyDescent="0.2">
      <c r="F53" s="104">
        <f>+F51+F49</f>
        <v>-174989.20999999996</v>
      </c>
      <c r="M53" s="16">
        <f>+M51+K49</f>
        <v>245448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-163526</v>
      </c>
      <c r="C74" s="247">
        <f>+E40</f>
        <v>-644774.72000000009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196710</v>
      </c>
      <c r="C77" s="259">
        <f>+Duke!C48</f>
        <v>862753.6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336243</v>
      </c>
      <c r="C79" s="259">
        <f>+Duke!C20</f>
        <v>1442416.9000000001</v>
      </c>
    </row>
    <row r="81" spans="2:3" x14ac:dyDescent="0.2">
      <c r="B81" s="31">
        <f>SUM(B68:B80)</f>
        <v>245448</v>
      </c>
      <c r="C81" s="259">
        <f>SUM(C68:C80)</f>
        <v>-174989.20999999996</v>
      </c>
    </row>
    <row r="82" spans="2:3" x14ac:dyDescent="0.2">
      <c r="C82">
        <f>+C81/B81</f>
        <v>-0.71293801538411383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D32" sqref="D32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5670</v>
      </c>
      <c r="C26" s="11">
        <v>6011</v>
      </c>
      <c r="D26" s="11"/>
      <c r="E26" s="11">
        <v>6</v>
      </c>
      <c r="F26" s="129">
        <v>1027</v>
      </c>
      <c r="G26" s="11">
        <v>581</v>
      </c>
      <c r="H26" s="11">
        <v>1661</v>
      </c>
      <c r="I26" s="11">
        <v>895</v>
      </c>
      <c r="J26" s="25">
        <f t="shared" si="0"/>
        <v>-865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5708</v>
      </c>
      <c r="C27" s="11">
        <v>6011</v>
      </c>
      <c r="D27" s="11"/>
      <c r="E27" s="11">
        <v>6</v>
      </c>
      <c r="F27" s="129">
        <v>1021</v>
      </c>
      <c r="G27" s="11">
        <v>581</v>
      </c>
      <c r="H27" s="11">
        <v>1535</v>
      </c>
      <c r="I27" s="11">
        <v>895</v>
      </c>
      <c r="J27" s="25">
        <f t="shared" si="0"/>
        <v>-771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5756</v>
      </c>
      <c r="C28" s="11">
        <v>6011</v>
      </c>
      <c r="D28" s="11"/>
      <c r="E28" s="11">
        <v>6</v>
      </c>
      <c r="F28" s="129">
        <v>751</v>
      </c>
      <c r="G28" s="11">
        <v>581</v>
      </c>
      <c r="H28" s="11"/>
      <c r="I28" s="11">
        <v>895</v>
      </c>
      <c r="J28" s="25">
        <f t="shared" si="0"/>
        <v>986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5775</v>
      </c>
      <c r="C29" s="11">
        <v>6011</v>
      </c>
      <c r="D29" s="11"/>
      <c r="E29" s="11">
        <v>6</v>
      </c>
      <c r="F29" s="129">
        <v>416</v>
      </c>
      <c r="G29" s="11">
        <v>581</v>
      </c>
      <c r="H29" s="11">
        <v>747</v>
      </c>
      <c r="I29" s="11">
        <v>895</v>
      </c>
      <c r="J29" s="25">
        <f t="shared" si="0"/>
        <v>555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5749</v>
      </c>
      <c r="C30" s="11">
        <v>6011</v>
      </c>
      <c r="D30" s="11"/>
      <c r="E30" s="11">
        <v>6</v>
      </c>
      <c r="F30" s="129">
        <v>1054</v>
      </c>
      <c r="G30" s="11">
        <v>581</v>
      </c>
      <c r="H30" s="11">
        <v>1960</v>
      </c>
      <c r="I30" s="11">
        <v>895</v>
      </c>
      <c r="J30" s="25">
        <f t="shared" si="0"/>
        <v>-1270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5758</v>
      </c>
      <c r="C31" s="11">
        <v>6011</v>
      </c>
      <c r="D31" s="11"/>
      <c r="E31" s="11">
        <v>6</v>
      </c>
      <c r="F31" s="129">
        <v>833</v>
      </c>
      <c r="G31" s="11">
        <v>581</v>
      </c>
      <c r="H31" s="11">
        <v>1714</v>
      </c>
      <c r="I31" s="11">
        <v>895</v>
      </c>
      <c r="J31" s="25">
        <f t="shared" si="0"/>
        <v>-812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131241</v>
      </c>
      <c r="C39" s="11">
        <f t="shared" si="1"/>
        <v>141764</v>
      </c>
      <c r="D39" s="11">
        <f t="shared" si="1"/>
        <v>252</v>
      </c>
      <c r="E39" s="11">
        <f t="shared" si="1"/>
        <v>144</v>
      </c>
      <c r="F39" s="129">
        <f t="shared" si="1"/>
        <v>20788</v>
      </c>
      <c r="G39" s="11">
        <f t="shared" si="1"/>
        <v>13944</v>
      </c>
      <c r="H39" s="11">
        <f t="shared" si="1"/>
        <v>34324</v>
      </c>
      <c r="I39" s="11">
        <f t="shared" si="1"/>
        <v>21480</v>
      </c>
      <c r="J39" s="25">
        <f t="shared" si="1"/>
        <v>-9273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-19473.3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37311</v>
      </c>
      <c r="C43" s="48"/>
      <c r="J43" s="138">
        <f>+J42+J41</f>
        <v>321804.7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37311</v>
      </c>
      <c r="B48" s="32"/>
      <c r="C48" s="32"/>
      <c r="D48" s="349">
        <f>+J39</f>
        <v>-9273</v>
      </c>
      <c r="L48"/>
    </row>
    <row r="49" spans="1:12" x14ac:dyDescent="0.2">
      <c r="A49" s="32"/>
      <c r="B49" s="32"/>
      <c r="C49" s="32"/>
      <c r="D49" s="14">
        <f>+D48+D47</f>
        <v>126146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2" workbookViewId="0">
      <selection activeCell="D26" sqref="D2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>
        <v>-310</v>
      </c>
      <c r="E27" s="410"/>
      <c r="F27" s="307">
        <f t="shared" si="0"/>
        <v>310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>
        <v>-2008</v>
      </c>
      <c r="E28" s="410"/>
      <c r="F28" s="307">
        <f t="shared" si="0"/>
        <v>2008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>
        <v>-151</v>
      </c>
      <c r="E29" s="410"/>
      <c r="F29" s="307">
        <f t="shared" si="0"/>
        <v>151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>
        <v>-44</v>
      </c>
      <c r="E30" s="410"/>
      <c r="F30" s="307">
        <f t="shared" si="0"/>
        <v>44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-10259</v>
      </c>
      <c r="E39" s="410">
        <f>SUM(E8:E38)</f>
        <v>0</v>
      </c>
      <c r="F39" s="410">
        <f>SUM(F8:F38)</f>
        <v>10259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21543.9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37310</v>
      </c>
      <c r="B43" s="285"/>
      <c r="C43" s="435"/>
      <c r="D43" s="435"/>
      <c r="E43" s="435"/>
      <c r="F43" s="416">
        <f>+F42+F41</f>
        <v>173778.53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37310</v>
      </c>
      <c r="B48" s="32"/>
      <c r="C48" s="32"/>
      <c r="D48" s="349">
        <f>+F39</f>
        <v>10259</v>
      </c>
      <c r="E48" s="11"/>
    </row>
    <row r="49" spans="1:5" x14ac:dyDescent="0.2">
      <c r="A49" s="32"/>
      <c r="B49" s="32"/>
      <c r="C49" s="32"/>
      <c r="D49" s="14">
        <f>+D48+D47</f>
        <v>-358100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18" workbookViewId="0">
      <selection activeCell="C20" sqref="C20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2.1</v>
      </c>
      <c r="J3" s="373">
        <f ca="1">NOW()</f>
        <v>41885.682909143521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2.1</v>
      </c>
    </row>
    <row r="5" spans="1:33" ht="15" customHeight="1" x14ac:dyDescent="0.2">
      <c r="B5" s="553"/>
      <c r="F5" s="549" t="s">
        <v>117</v>
      </c>
      <c r="G5" s="550">
        <f>+'[3]1001'!$H$39</f>
        <v>2.1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849653.64</v>
      </c>
      <c r="C8" s="275">
        <f>+B8/$G$4</f>
        <v>404596.97142857144</v>
      </c>
      <c r="D8" s="364">
        <f>+PNM!A23</f>
        <v>37311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478769.75</v>
      </c>
      <c r="C9" s="275">
        <f>+B9/$G$4</f>
        <v>227985.59523809524</v>
      </c>
      <c r="D9" s="363">
        <f>+Conoco!A41</f>
        <v>37312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316623.3</v>
      </c>
      <c r="C10" s="275">
        <f>+Mojave!D40</f>
        <v>150773</v>
      </c>
      <c r="D10" s="364">
        <f>+Mojave!A40</f>
        <v>37311</v>
      </c>
      <c r="E10" s="32" t="s">
        <v>84</v>
      </c>
      <c r="F10" s="32" t="s">
        <v>153</v>
      </c>
      <c r="G10" s="32" t="s">
        <v>100</v>
      </c>
      <c r="H10" s="609" t="s">
        <v>314</v>
      </c>
      <c r="I10" s="60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321804.7</v>
      </c>
      <c r="C11" s="275">
        <f>+B11/$G$4</f>
        <v>153240.33333333334</v>
      </c>
      <c r="D11" s="364">
        <f>+mewborne!A43</f>
        <v>37311</v>
      </c>
      <c r="E11" s="32" t="s">
        <v>85</v>
      </c>
      <c r="F11" s="32" t="s">
        <v>299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614">
        <f>+KN_Westar!F41</f>
        <v>327164</v>
      </c>
      <c r="C12" s="275">
        <f>+B12/$G$4</f>
        <v>155792.38095238095</v>
      </c>
      <c r="D12" s="364">
        <f>+KN_Westar!A41</f>
        <v>37311</v>
      </c>
      <c r="E12" s="32" t="s">
        <v>85</v>
      </c>
      <c r="F12" s="32" t="s">
        <v>153</v>
      </c>
      <c r="G12" s="32" t="s">
        <v>100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3</v>
      </c>
      <c r="B13" s="614">
        <f>+'Amoco Abo'!$F$43</f>
        <v>173778.53</v>
      </c>
      <c r="C13" s="275">
        <f>+B13/$G$4</f>
        <v>82751.68095238095</v>
      </c>
      <c r="D13" s="364">
        <f>+'Amoco Abo'!A43</f>
        <v>37310</v>
      </c>
      <c r="E13" s="32" t="s">
        <v>85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172331.44</v>
      </c>
      <c r="C14" s="275">
        <f>+B14/$G$5</f>
        <v>82062.590476190468</v>
      </c>
      <c r="D14" s="364">
        <f>+Dominion!A41</f>
        <v>37311</v>
      </c>
      <c r="E14" s="32" t="s">
        <v>85</v>
      </c>
      <c r="F14" s="32" t="s">
        <v>299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129</v>
      </c>
      <c r="B15" s="345">
        <f>+EPFS!D41</f>
        <v>166457</v>
      </c>
      <c r="C15" s="206">
        <f>+B15/$G$5</f>
        <v>79265.238095238092</v>
      </c>
      <c r="D15" s="363">
        <f>+EPFS!A41</f>
        <v>37311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161941.5</v>
      </c>
      <c r="C16" s="206">
        <f>+SoCal!F40</f>
        <v>77115</v>
      </c>
      <c r="D16" s="363">
        <f>+SoCal!A40</f>
        <v>37311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142468.20000000001</v>
      </c>
      <c r="C17" s="275">
        <f>+NGPL!H38</f>
        <v>67842</v>
      </c>
      <c r="D17" s="364">
        <f>+NGPL!A38</f>
        <v>37312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139778.1</v>
      </c>
      <c r="C18" s="347">
        <f>+'Red C'!$F$45</f>
        <v>66561</v>
      </c>
      <c r="D18" s="363">
        <f>+'Red C'!A45</f>
        <v>37312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1">
        <f>+Agave!$D$25</f>
        <v>38218.960000000006</v>
      </c>
      <c r="C19" s="462">
        <f>+B19/$G$4</f>
        <v>18199.504761904765</v>
      </c>
      <c r="D19" s="461">
        <f>+Agave!A25</f>
        <v>37311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128669.78</v>
      </c>
      <c r="C20" s="275">
        <f>+B20/$G$4</f>
        <v>61271.323809523805</v>
      </c>
      <c r="D20" s="364">
        <f>+Amarillo!A41</f>
        <v>37311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114</v>
      </c>
      <c r="B21" s="345">
        <f>+C21*$G$4</f>
        <v>102154.5</v>
      </c>
      <c r="C21" s="206">
        <f>+'PG&amp;E'!D40</f>
        <v>48645</v>
      </c>
      <c r="D21" s="364">
        <f>+'PG&amp;E'!A40</f>
        <v>37312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31</v>
      </c>
      <c r="B22" s="345">
        <f>+C22*$G$5</f>
        <v>98185.5</v>
      </c>
      <c r="C22" s="275">
        <f>+Lonestar!F43</f>
        <v>46755</v>
      </c>
      <c r="D22" s="363">
        <f>+Lonestar!A43</f>
        <v>37311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5">
        <f>+C23*$G$3</f>
        <v>69528.900000000009</v>
      </c>
      <c r="C23" s="275">
        <f>+williams!J40</f>
        <v>33109</v>
      </c>
      <c r="D23" s="363">
        <f>+williams!A40</f>
        <v>37312</v>
      </c>
      <c r="E23" s="204" t="s">
        <v>85</v>
      </c>
      <c r="F23" s="204" t="s">
        <v>153</v>
      </c>
      <c r="G23" s="204" t="s">
        <v>290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306</v>
      </c>
      <c r="B24" s="345">
        <f>+Plains!$N$43</f>
        <v>63241.56</v>
      </c>
      <c r="C24" s="206">
        <f>+B24/$G$4</f>
        <v>30115.028571428567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139</v>
      </c>
      <c r="B25" s="345">
        <f>+'Citizens-Griffith'!D41</f>
        <v>64294.3</v>
      </c>
      <c r="C25" s="275">
        <f>+B25/$G$4</f>
        <v>30616.333333333332</v>
      </c>
      <c r="D25" s="363">
        <f>+'Citizens-Griffith'!A41</f>
        <v>37312</v>
      </c>
      <c r="E25" s="204" t="s">
        <v>85</v>
      </c>
      <c r="F25" s="204" t="s">
        <v>300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32" t="s">
        <v>297</v>
      </c>
      <c r="B26" s="345">
        <f>+Stratland!$D$41</f>
        <v>48490.31</v>
      </c>
      <c r="C26" s="275">
        <f>+B26/$G$4</f>
        <v>23090.623809523808</v>
      </c>
      <c r="D26" s="363">
        <f>+Stratland!A41</f>
        <v>37287</v>
      </c>
      <c r="E26" s="32" t="s">
        <v>85</v>
      </c>
      <c r="F26" s="32" t="s">
        <v>299</v>
      </c>
      <c r="G26" s="32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204" t="s">
        <v>109</v>
      </c>
      <c r="B27" s="345">
        <f>+Continental!F43</f>
        <v>48225.240000000005</v>
      </c>
      <c r="C27" s="206">
        <f>+B27/$G$4</f>
        <v>22964.400000000001</v>
      </c>
      <c r="D27" s="363">
        <f>+Continental!A43</f>
        <v>37310</v>
      </c>
      <c r="E27" s="204" t="s">
        <v>85</v>
      </c>
      <c r="F27" s="204" t="s">
        <v>153</v>
      </c>
      <c r="G27" s="204" t="s">
        <v>115</v>
      </c>
      <c r="H27" s="204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127</v>
      </c>
      <c r="B28" s="345">
        <f>+Calpine!D41</f>
        <v>35298.6</v>
      </c>
      <c r="C28" s="206">
        <f>+B28/$G$4</f>
        <v>16808.857142857141</v>
      </c>
      <c r="D28" s="363">
        <f>+Calpine!A41</f>
        <v>37311</v>
      </c>
      <c r="E28" s="204" t="s">
        <v>85</v>
      </c>
      <c r="F28" s="204" t="s">
        <v>152</v>
      </c>
      <c r="G28" s="204" t="s">
        <v>99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110</v>
      </c>
      <c r="B29" s="345">
        <f>+C29*$G$4</f>
        <v>36932.700000000004</v>
      </c>
      <c r="C29" s="275">
        <f>+CIG!D42</f>
        <v>17587</v>
      </c>
      <c r="D29" s="364">
        <f>+CIG!A42</f>
        <v>37310</v>
      </c>
      <c r="E29" s="204" t="s">
        <v>84</v>
      </c>
      <c r="F29" s="32" t="s">
        <v>153</v>
      </c>
      <c r="G29" s="32" t="s">
        <v>113</v>
      </c>
      <c r="H29" s="609" t="s">
        <v>314</v>
      </c>
      <c r="I29" s="613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204" t="s">
        <v>146</v>
      </c>
      <c r="B30" s="345">
        <f>+PGETX!$H$39</f>
        <v>25570.800000000003</v>
      </c>
      <c r="C30" s="275">
        <f>+B30/$G$4</f>
        <v>12176.571428571429</v>
      </c>
      <c r="D30" s="363">
        <f>+PGETX!E39</f>
        <v>37310</v>
      </c>
      <c r="E30" s="204" t="s">
        <v>85</v>
      </c>
      <c r="F30" s="204" t="s">
        <v>153</v>
      </c>
      <c r="G30" s="204" t="s">
        <v>102</v>
      </c>
      <c r="H30" s="204"/>
      <c r="I30" s="24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142</v>
      </c>
      <c r="B31" s="346">
        <f>+C31*$G$4</f>
        <v>16596.3</v>
      </c>
      <c r="C31" s="347">
        <f>+PEPL!D41</f>
        <v>7903</v>
      </c>
      <c r="D31" s="363">
        <f>+PEPL!A41</f>
        <v>37311</v>
      </c>
      <c r="E31" s="204" t="s">
        <v>84</v>
      </c>
      <c r="F31" s="204" t="s">
        <v>300</v>
      </c>
      <c r="G31" s="204" t="s">
        <v>100</v>
      </c>
      <c r="H31" s="32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04" t="s">
        <v>71</v>
      </c>
      <c r="B32" s="346">
        <f>+transcol!$D$43</f>
        <v>22181.8</v>
      </c>
      <c r="C32" s="347">
        <f>+B32/$G$4</f>
        <v>10562.761904761905</v>
      </c>
      <c r="D32" s="363">
        <f>+transcol!A43</f>
        <v>37310</v>
      </c>
      <c r="E32" s="204" t="s">
        <v>85</v>
      </c>
      <c r="F32" s="204" t="s">
        <v>152</v>
      </c>
      <c r="G32" s="204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280</v>
      </c>
      <c r="B33" s="345">
        <f>+'WTG inc'!N43</f>
        <v>21368.61</v>
      </c>
      <c r="C33" s="275">
        <f>+B33/$G$4</f>
        <v>10175.528571428571</v>
      </c>
      <c r="D33" s="364">
        <f>+'WTG inc'!A43</f>
        <v>37307</v>
      </c>
      <c r="E33" s="32" t="s">
        <v>85</v>
      </c>
      <c r="F33" s="32" t="s">
        <v>152</v>
      </c>
      <c r="G33" s="32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6</v>
      </c>
      <c r="B34" s="614">
        <f>+Oasis!$D$40</f>
        <v>18382.63</v>
      </c>
      <c r="C34" s="206">
        <f>+B34/$G$5</f>
        <v>8753.6333333333332</v>
      </c>
      <c r="D34" s="364">
        <f>+Oasis!A40</f>
        <v>37311</v>
      </c>
      <c r="E34" s="32" t="s">
        <v>85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4" customFormat="1" ht="13.5" customHeight="1" x14ac:dyDescent="0.2">
      <c r="A35" s="204" t="s">
        <v>87</v>
      </c>
      <c r="B35" s="614">
        <f>+NNG!$D$24</f>
        <v>17843.97</v>
      </c>
      <c r="C35" s="275">
        <f>+B35/$G$4</f>
        <v>8497.1285714285714</v>
      </c>
      <c r="D35" s="363">
        <f>+NNG!A24</f>
        <v>37311</v>
      </c>
      <c r="E35" s="204" t="s">
        <v>85</v>
      </c>
      <c r="F35" s="204" t="s">
        <v>299</v>
      </c>
      <c r="G35" s="204" t="s">
        <v>100</v>
      </c>
      <c r="H35" s="204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54" customFormat="1" ht="13.5" customHeight="1" x14ac:dyDescent="0.2">
      <c r="A36" s="32" t="s">
        <v>131</v>
      </c>
      <c r="B36" s="614">
        <f>+SidR!D41</f>
        <v>3500.04</v>
      </c>
      <c r="C36" s="275">
        <f>+B36/$G$5</f>
        <v>1666.6857142857141</v>
      </c>
      <c r="D36" s="364">
        <f>+SidR!A41</f>
        <v>37311</v>
      </c>
      <c r="E36" s="32" t="s">
        <v>85</v>
      </c>
      <c r="F36" s="32" t="s">
        <v>151</v>
      </c>
      <c r="G36" s="32" t="s">
        <v>102</v>
      </c>
      <c r="H36" s="32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32" t="s">
        <v>103</v>
      </c>
      <c r="B37" s="615">
        <f>+EOG!$J$41</f>
        <v>3470.41</v>
      </c>
      <c r="C37" s="71">
        <f>+B37/$G$4</f>
        <v>1652.5761904761903</v>
      </c>
      <c r="D37" s="363">
        <f>+EOG!A41</f>
        <v>37310</v>
      </c>
      <c r="E37" s="32" t="s">
        <v>85</v>
      </c>
      <c r="F37" s="32" t="s">
        <v>299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4112925.07</v>
      </c>
      <c r="C38" s="69">
        <f>SUM(C8:C37)</f>
        <v>1958535.7476190473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-574798.09000000008</v>
      </c>
      <c r="C41" s="206">
        <f>+B41/$G$4</f>
        <v>-273713.37619047624</v>
      </c>
      <c r="D41" s="363">
        <f>+Citizens!A18</f>
        <v>37310</v>
      </c>
      <c r="E41" s="204" t="s">
        <v>85</v>
      </c>
      <c r="F41" s="204" t="s">
        <v>300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-263481.5</v>
      </c>
      <c r="C42" s="206">
        <f>+B42/$G$4</f>
        <v>-125467.38095238095</v>
      </c>
      <c r="D42" s="364">
        <f>+'NS Steel'!A41</f>
        <v>37311</v>
      </c>
      <c r="E42" s="32" t="s">
        <v>85</v>
      </c>
      <c r="F42" s="32" t="s">
        <v>153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257</v>
      </c>
      <c r="B43" s="345">
        <f>+MiVida_Rich!D41</f>
        <v>-192285.66</v>
      </c>
      <c r="C43" s="206">
        <f>+B43/$G$5</f>
        <v>-91564.599999999991</v>
      </c>
      <c r="D43" s="363">
        <f>+MiVida_Rich!A41</f>
        <v>37287</v>
      </c>
      <c r="E43" s="204" t="s">
        <v>85</v>
      </c>
      <c r="F43" s="204" t="s">
        <v>151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310</v>
      </c>
      <c r="B44" s="346">
        <f>+Duke!B83</f>
        <v>-174989.20999999961</v>
      </c>
      <c r="C44" s="347">
        <f>+B44/$G$5</f>
        <v>-83328.195238095053</v>
      </c>
      <c r="D44" s="363">
        <f>+DEFS!A40</f>
        <v>37310</v>
      </c>
      <c r="E44" s="204" t="s">
        <v>85</v>
      </c>
      <c r="F44" s="32" t="s">
        <v>152</v>
      </c>
      <c r="G44" s="32" t="s">
        <v>100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5" customFormat="1" ht="13.5" customHeight="1" x14ac:dyDescent="0.2">
      <c r="A45" s="32" t="s">
        <v>215</v>
      </c>
      <c r="B45" s="345">
        <f>+crosstex!F41</f>
        <v>-125350.09000000001</v>
      </c>
      <c r="C45" s="206">
        <f>+B45/$G$4</f>
        <v>-59690.519047619047</v>
      </c>
      <c r="D45" s="364">
        <f>+crosstex!A41</f>
        <v>37310</v>
      </c>
      <c r="E45" s="32" t="s">
        <v>85</v>
      </c>
      <c r="F45" s="32" t="s">
        <v>151</v>
      </c>
      <c r="G45" s="32" t="s">
        <v>100</v>
      </c>
      <c r="H45" s="351"/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204" t="s">
        <v>95</v>
      </c>
      <c r="B46" s="345">
        <f>+burlington!D42</f>
        <v>-60633.16</v>
      </c>
      <c r="C46" s="275">
        <f>+B46/$G$3</f>
        <v>-28872.933333333334</v>
      </c>
      <c r="D46" s="363">
        <f>+burlington!A42</f>
        <v>37311</v>
      </c>
      <c r="E46" s="204" t="s">
        <v>85</v>
      </c>
      <c r="F46" s="32" t="s">
        <v>153</v>
      </c>
      <c r="G46" s="32" t="s">
        <v>113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4" customFormat="1" ht="13.5" customHeight="1" x14ac:dyDescent="0.2">
      <c r="A47" s="32" t="s">
        <v>1</v>
      </c>
      <c r="B47" s="345">
        <f>+C47*$G$3</f>
        <v>-29427.300000000003</v>
      </c>
      <c r="C47" s="206">
        <f>+NW!$F$41</f>
        <v>-14013</v>
      </c>
      <c r="D47" s="363">
        <f>+NW!B41</f>
        <v>37311</v>
      </c>
      <c r="E47" s="32" t="s">
        <v>84</v>
      </c>
      <c r="F47" s="32" t="s">
        <v>152</v>
      </c>
      <c r="G47" s="32" t="s">
        <v>115</v>
      </c>
      <c r="H47" s="351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204" t="s">
        <v>203</v>
      </c>
      <c r="B48" s="346">
        <f>+WTGmktg!J43</f>
        <v>-27185.369999999995</v>
      </c>
      <c r="C48" s="206">
        <f>+B48/$G$4</f>
        <v>-12945.414285714283</v>
      </c>
      <c r="D48" s="363">
        <f>+WTGmktg!A43</f>
        <v>37310</v>
      </c>
      <c r="E48" s="32" t="s">
        <v>85</v>
      </c>
      <c r="F48" s="204" t="s">
        <v>152</v>
      </c>
      <c r="G48" s="204" t="s">
        <v>115</v>
      </c>
      <c r="H48" s="204"/>
      <c r="I48" s="32"/>
      <c r="J48" s="32"/>
      <c r="K48" s="32"/>
      <c r="L48" s="32"/>
      <c r="M48" s="32" t="s">
        <v>243</v>
      </c>
      <c r="N48" s="379">
        <v>23995</v>
      </c>
      <c r="O48" s="70">
        <v>-1023166</v>
      </c>
      <c r="P48" s="32" t="s">
        <v>245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277</v>
      </c>
      <c r="B49" s="345">
        <f>+SWGasTrans!$D$41</f>
        <v>-20022.37</v>
      </c>
      <c r="C49" s="275">
        <f>+B49/$G$4</f>
        <v>-9534.4619047619035</v>
      </c>
      <c r="D49" s="363">
        <f>+SWGasTrans!A41</f>
        <v>37311</v>
      </c>
      <c r="E49" s="32" t="s">
        <v>85</v>
      </c>
      <c r="F49" s="32" t="s">
        <v>152</v>
      </c>
      <c r="G49" s="32" t="s">
        <v>99</v>
      </c>
      <c r="H49" s="32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4" customFormat="1" ht="13.5" customHeight="1" x14ac:dyDescent="0.2">
      <c r="A50" s="204" t="s">
        <v>33</v>
      </c>
      <c r="B50" s="345">
        <f>+'El Paso'!C39*summary!G4+'El Paso'!E39*summary!G3</f>
        <v>1722</v>
      </c>
      <c r="C50" s="275">
        <f>+'El Paso'!H39</f>
        <v>820</v>
      </c>
      <c r="D50" s="363">
        <f>+'El Paso'!A39</f>
        <v>37311</v>
      </c>
      <c r="E50" s="204" t="s">
        <v>84</v>
      </c>
      <c r="F50" s="204" t="s">
        <v>153</v>
      </c>
      <c r="G50" s="204" t="s">
        <v>100</v>
      </c>
      <c r="H50" s="32"/>
      <c r="I50" s="204"/>
      <c r="J50" s="204"/>
      <c r="K50" s="204"/>
      <c r="L50" s="204"/>
      <c r="M50" s="204" t="s">
        <v>242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">
      <c r="A51" s="32" t="s">
        <v>209</v>
      </c>
      <c r="B51" s="345">
        <f>+Devon!D41</f>
        <v>-2954.7000000000003</v>
      </c>
      <c r="C51" s="275">
        <f>+B51/$G$5</f>
        <v>-1407</v>
      </c>
      <c r="D51" s="364">
        <f>+Devon!A41</f>
        <v>37311</v>
      </c>
      <c r="E51" s="32" t="s">
        <v>85</v>
      </c>
      <c r="F51" s="32" t="s">
        <v>300</v>
      </c>
      <c r="G51" s="32" t="s">
        <v>99</v>
      </c>
      <c r="H51" s="32" t="s">
        <v>311</v>
      </c>
      <c r="I51" s="204"/>
      <c r="J51" s="204"/>
      <c r="K51" s="204"/>
      <c r="L51" s="204"/>
      <c r="M51" s="204"/>
      <c r="N51" s="469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">
      <c r="A52" s="32" t="s">
        <v>288</v>
      </c>
      <c r="B52" s="348">
        <f>+C52*$G$3</f>
        <v>-5124</v>
      </c>
      <c r="C52" s="71">
        <f>+Amoco!D40</f>
        <v>-2440</v>
      </c>
      <c r="D52" s="364">
        <f>+Amoco!A40</f>
        <v>37311</v>
      </c>
      <c r="E52" s="32" t="s">
        <v>84</v>
      </c>
      <c r="F52" s="32" t="s">
        <v>152</v>
      </c>
      <c r="G52" s="32" t="s">
        <v>115</v>
      </c>
      <c r="H52" s="249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-1474529.45</v>
      </c>
      <c r="C53" s="206">
        <f>SUM(C41:C52)</f>
        <v>-702156.88095238071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2638395.62</v>
      </c>
      <c r="C55" s="354">
        <f>+C53+C38</f>
        <v>1256378.8666666667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-86830</v>
      </c>
      <c r="C6" s="80"/>
      <c r="D6" s="80">
        <f t="shared" ref="D6:D14" si="0">+C6-B6</f>
        <v>86830</v>
      </c>
    </row>
    <row r="7" spans="1:4" x14ac:dyDescent="0.2">
      <c r="A7" s="32">
        <v>3531</v>
      </c>
      <c r="B7" s="309">
        <v>-726436</v>
      </c>
      <c r="C7" s="80">
        <v>-288699</v>
      </c>
      <c r="D7" s="80">
        <f t="shared" si="0"/>
        <v>437737</v>
      </c>
    </row>
    <row r="8" spans="1:4" x14ac:dyDescent="0.2">
      <c r="A8" s="32">
        <v>60667</v>
      </c>
      <c r="B8" s="309">
        <v>-18</v>
      </c>
      <c r="C8" s="80">
        <v>-813591</v>
      </c>
      <c r="D8" s="80">
        <f t="shared" si="0"/>
        <v>-813573</v>
      </c>
    </row>
    <row r="9" spans="1:4" x14ac:dyDescent="0.2">
      <c r="A9" s="32">
        <v>60749</v>
      </c>
      <c r="B9" s="309">
        <v>74665</v>
      </c>
      <c r="C9" s="80">
        <v>-187467</v>
      </c>
      <c r="D9" s="80">
        <f t="shared" si="0"/>
        <v>-262132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-554637</v>
      </c>
      <c r="C11" s="80"/>
      <c r="D11" s="80">
        <f t="shared" si="0"/>
        <v>554637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3499</v>
      </c>
    </row>
    <row r="19" spans="1:5" x14ac:dyDescent="0.2">
      <c r="A19" s="32" t="s">
        <v>81</v>
      </c>
      <c r="B19" s="69"/>
      <c r="C19" s="69"/>
      <c r="D19" s="73">
        <f>+summary!G4</f>
        <v>2.1</v>
      </c>
    </row>
    <row r="20" spans="1:5" x14ac:dyDescent="0.2">
      <c r="B20" s="69"/>
      <c r="C20" s="69"/>
      <c r="D20" s="75">
        <f>+D19*D18</f>
        <v>7347.9000000000005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37311</v>
      </c>
      <c r="B24" s="69"/>
      <c r="C24" s="69"/>
      <c r="D24" s="331">
        <f>+D22+D20</f>
        <v>17843.97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37311</v>
      </c>
      <c r="D33" s="349">
        <f>+D18</f>
        <v>3499</v>
      </c>
    </row>
    <row r="34" spans="1:4" x14ac:dyDescent="0.2">
      <c r="D34" s="14">
        <f>+D33+D32</f>
        <v>7845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-87324</v>
      </c>
      <c r="C5" s="90">
        <v>-48567</v>
      </c>
      <c r="D5" s="90">
        <f t="shared" ref="D5:D13" si="0">+C5-B5</f>
        <v>38757</v>
      </c>
      <c r="E5" s="69"/>
      <c r="F5" s="201"/>
    </row>
    <row r="6" spans="1:11" x14ac:dyDescent="0.2">
      <c r="A6" s="87">
        <v>9238</v>
      </c>
      <c r="B6" s="90">
        <v>-17704</v>
      </c>
      <c r="C6" s="90">
        <v>-24000</v>
      </c>
      <c r="D6" s="90">
        <f t="shared" si="0"/>
        <v>-6296</v>
      </c>
      <c r="E6" s="275"/>
      <c r="F6" s="201"/>
      <c r="K6" s="65"/>
    </row>
    <row r="7" spans="1:11" x14ac:dyDescent="0.2">
      <c r="A7" s="87">
        <v>56422</v>
      </c>
      <c r="B7" s="90">
        <v>-1852317</v>
      </c>
      <c r="C7" s="90">
        <v>-1755952</v>
      </c>
      <c r="D7" s="90">
        <f t="shared" si="0"/>
        <v>96365</v>
      </c>
      <c r="E7" s="275"/>
      <c r="F7" s="201"/>
    </row>
    <row r="8" spans="1:11" x14ac:dyDescent="0.2">
      <c r="A8" s="87">
        <v>58710</v>
      </c>
      <c r="B8" s="90">
        <v>-4947</v>
      </c>
      <c r="C8" s="90">
        <v>-32201</v>
      </c>
      <c r="D8" s="90">
        <f t="shared" si="0"/>
        <v>-27254</v>
      </c>
      <c r="E8" s="275"/>
      <c r="F8" s="201"/>
    </row>
    <row r="9" spans="1:11" x14ac:dyDescent="0.2">
      <c r="A9" s="87">
        <v>60921</v>
      </c>
      <c r="B9" s="90">
        <v>-1349786</v>
      </c>
      <c r="C9" s="90">
        <v>-1407461</v>
      </c>
      <c r="D9" s="90">
        <f t="shared" si="0"/>
        <v>-57675</v>
      </c>
      <c r="E9" s="275"/>
      <c r="F9" s="201"/>
    </row>
    <row r="10" spans="1:11" x14ac:dyDescent="0.2">
      <c r="A10" s="87">
        <v>78026</v>
      </c>
      <c r="B10" s="90"/>
      <c r="C10" s="90">
        <v>13200</v>
      </c>
      <c r="D10" s="90">
        <f t="shared" si="0"/>
        <v>13200</v>
      </c>
      <c r="E10" s="275"/>
      <c r="F10" s="465"/>
    </row>
    <row r="11" spans="1:11" x14ac:dyDescent="0.2">
      <c r="A11" s="87">
        <v>500084</v>
      </c>
      <c r="B11" s="90">
        <v>-52026</v>
      </c>
      <c r="C11" s="90">
        <v>-72000</v>
      </c>
      <c r="D11" s="90">
        <f t="shared" si="0"/>
        <v>-19974</v>
      </c>
      <c r="E11" s="276"/>
      <c r="F11" s="465"/>
    </row>
    <row r="12" spans="1:11" x14ac:dyDescent="0.2">
      <c r="A12" s="317">
        <v>500085</v>
      </c>
      <c r="B12" s="90">
        <v>-3597</v>
      </c>
      <c r="C12" s="90"/>
      <c r="D12" s="90">
        <f t="shared" si="0"/>
        <v>3597</v>
      </c>
      <c r="E12" s="275"/>
      <c r="F12" s="465"/>
    </row>
    <row r="13" spans="1:11" x14ac:dyDescent="0.2">
      <c r="A13" s="87">
        <v>500097</v>
      </c>
      <c r="B13" s="90">
        <v>-65055</v>
      </c>
      <c r="C13" s="90">
        <v>-98961</v>
      </c>
      <c r="D13" s="90">
        <f t="shared" si="0"/>
        <v>-33906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6814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2.1</v>
      </c>
      <c r="E18" s="277"/>
      <c r="F18" s="465"/>
    </row>
    <row r="19" spans="1:7" x14ac:dyDescent="0.2">
      <c r="A19" s="87"/>
      <c r="B19" s="88"/>
      <c r="C19" s="88"/>
      <c r="D19" s="96">
        <f>+D18*D17</f>
        <v>14309.400000000001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37311</v>
      </c>
      <c r="B23" s="88"/>
      <c r="C23" s="88"/>
      <c r="D23" s="318">
        <f>+D21+D19</f>
        <v>849653.64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37311</v>
      </c>
      <c r="B29" s="32"/>
      <c r="C29" s="32"/>
      <c r="D29" s="349">
        <f>+D17</f>
        <v>6814</v>
      </c>
    </row>
    <row r="30" spans="1:7" x14ac:dyDescent="0.2">
      <c r="A30" s="32"/>
      <c r="B30" s="32"/>
      <c r="C30" s="32"/>
      <c r="D30" s="14">
        <f>+D29+D28</f>
        <v>347035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3" workbookViewId="0">
      <selection activeCell="B28" sqref="B2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>
        <v>52677</v>
      </c>
      <c r="C23" s="327">
        <v>52684</v>
      </c>
      <c r="D23" s="327">
        <v>-284</v>
      </c>
      <c r="E23" s="327"/>
      <c r="F23" s="327">
        <v>28432</v>
      </c>
      <c r="G23" s="327">
        <v>28452</v>
      </c>
      <c r="H23" s="90">
        <f t="shared" si="0"/>
        <v>311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>
        <v>48733</v>
      </c>
      <c r="C24" s="327">
        <v>48684</v>
      </c>
      <c r="D24" s="327">
        <v>-66783</v>
      </c>
      <c r="E24" s="327">
        <v>-78600</v>
      </c>
      <c r="F24" s="327">
        <v>28393</v>
      </c>
      <c r="G24" s="327">
        <v>28452</v>
      </c>
      <c r="H24" s="90">
        <f t="shared" si="0"/>
        <v>-11807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>
        <v>45700</v>
      </c>
      <c r="C25" s="327">
        <v>45653</v>
      </c>
      <c r="D25" s="327">
        <v>-35088</v>
      </c>
      <c r="E25" s="327">
        <v>-43800</v>
      </c>
      <c r="F25" s="327">
        <v>28192</v>
      </c>
      <c r="G25" s="327">
        <v>28452</v>
      </c>
      <c r="H25" s="90">
        <f t="shared" si="0"/>
        <v>-8499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>
        <v>45671</v>
      </c>
      <c r="C26" s="327">
        <v>45681</v>
      </c>
      <c r="D26" s="327">
        <v>-39139</v>
      </c>
      <c r="E26" s="327">
        <v>-39801</v>
      </c>
      <c r="F26" s="327">
        <v>28343</v>
      </c>
      <c r="G26" s="327">
        <v>28415</v>
      </c>
      <c r="H26" s="90">
        <f t="shared" si="0"/>
        <v>-580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>
        <v>45716</v>
      </c>
      <c r="C27" s="327">
        <v>45684</v>
      </c>
      <c r="D27" s="327">
        <v>-39099</v>
      </c>
      <c r="E27" s="327">
        <v>-35469</v>
      </c>
      <c r="F27" s="327">
        <v>28277</v>
      </c>
      <c r="G27" s="327">
        <v>28309</v>
      </c>
      <c r="H27" s="90">
        <f t="shared" si="0"/>
        <v>3630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1020028</v>
      </c>
      <c r="C34" s="287">
        <f t="shared" si="2"/>
        <v>1012033</v>
      </c>
      <c r="D34" s="14">
        <f t="shared" si="2"/>
        <v>-183849</v>
      </c>
      <c r="E34" s="14">
        <f t="shared" si="2"/>
        <v>-234030</v>
      </c>
      <c r="F34" s="14">
        <f t="shared" si="2"/>
        <v>669981</v>
      </c>
      <c r="G34" s="14">
        <f t="shared" si="2"/>
        <v>660533</v>
      </c>
      <c r="H34" s="14">
        <f t="shared" si="2"/>
        <v>-67624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37312</v>
      </c>
      <c r="B38" s="14"/>
      <c r="C38" s="14"/>
      <c r="D38" s="14"/>
      <c r="E38" s="14"/>
      <c r="F38" s="14"/>
      <c r="G38" s="14"/>
      <c r="H38" s="150">
        <f>+H37+H34</f>
        <v>67842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37312</v>
      </c>
      <c r="B44" s="32"/>
      <c r="C44" s="32"/>
      <c r="D44" s="374">
        <f>+H34*'by type_area'!G4</f>
        <v>-142010.4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193757.15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5" workbookViewId="0">
      <selection activeCell="C37" sqref="C37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">
      <c r="A24" s="10">
        <v>21</v>
      </c>
      <c r="B24" s="11">
        <v>-17995</v>
      </c>
      <c r="C24" s="11">
        <v>-19960</v>
      </c>
      <c r="D24" s="25">
        <f t="shared" si="0"/>
        <v>-1965</v>
      </c>
      <c r="F24" s="25"/>
    </row>
    <row r="25" spans="1:8" x14ac:dyDescent="0.2">
      <c r="A25" s="10">
        <v>22</v>
      </c>
      <c r="B25" s="11">
        <v>-1134</v>
      </c>
      <c r="C25" s="11">
        <v>-19960</v>
      </c>
      <c r="D25" s="25">
        <f t="shared" si="0"/>
        <v>-18826</v>
      </c>
      <c r="F25" s="25"/>
    </row>
    <row r="26" spans="1:8" x14ac:dyDescent="0.2">
      <c r="A26" s="10">
        <v>23</v>
      </c>
      <c r="B26" s="11">
        <v>-20002</v>
      </c>
      <c r="C26" s="11">
        <v>-19960</v>
      </c>
      <c r="D26" s="25">
        <f t="shared" si="0"/>
        <v>42</v>
      </c>
      <c r="F26" s="25"/>
    </row>
    <row r="27" spans="1:8" x14ac:dyDescent="0.2">
      <c r="A27" s="10">
        <v>24</v>
      </c>
      <c r="B27" s="11">
        <v>-19999</v>
      </c>
      <c r="C27" s="11">
        <v>-19960</v>
      </c>
      <c r="D27" s="25">
        <f t="shared" si="0"/>
        <v>39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-451131</v>
      </c>
      <c r="C35" s="11">
        <f>SUM(C4:C34)</f>
        <v>-478317</v>
      </c>
      <c r="D35" s="11">
        <f>SUM(D4:D34)</f>
        <v>-27186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37311</v>
      </c>
      <c r="D40" s="51">
        <f>+D38+D35</f>
        <v>150773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37311</v>
      </c>
      <c r="B46" s="32"/>
      <c r="C46" s="32"/>
      <c r="D46" s="374">
        <f>+D35*'by type_area'!G4</f>
        <v>-57090.600000000006</v>
      </c>
    </row>
    <row r="47" spans="1:4" x14ac:dyDescent="0.2">
      <c r="A47" s="32"/>
      <c r="B47" s="32"/>
      <c r="C47" s="32"/>
      <c r="D47" s="200">
        <f>+D46+D45</f>
        <v>124285.4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C27" sqref="C2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12760</v>
      </c>
      <c r="C23" s="11">
        <v>11000</v>
      </c>
      <c r="D23" s="11">
        <v>8908</v>
      </c>
      <c r="E23" s="11">
        <v>8700</v>
      </c>
      <c r="F23" s="11"/>
      <c r="G23" s="11"/>
      <c r="H23" s="11"/>
      <c r="I23" s="11"/>
      <c r="J23" s="11">
        <f t="shared" si="0"/>
        <v>-1968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10963</v>
      </c>
      <c r="C24" s="11">
        <v>14000</v>
      </c>
      <c r="D24" s="11">
        <v>9111</v>
      </c>
      <c r="E24" s="11">
        <v>9700</v>
      </c>
      <c r="F24" s="11"/>
      <c r="G24" s="11"/>
      <c r="H24" s="11"/>
      <c r="I24" s="11"/>
      <c r="J24" s="11">
        <f t="shared" si="0"/>
        <v>3626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12406</v>
      </c>
      <c r="C25" s="11">
        <v>14000</v>
      </c>
      <c r="D25" s="11">
        <v>9057</v>
      </c>
      <c r="E25" s="11">
        <v>10186</v>
      </c>
      <c r="F25" s="11"/>
      <c r="G25" s="11"/>
      <c r="H25" s="11"/>
      <c r="I25" s="11"/>
      <c r="J25" s="11">
        <f t="shared" si="0"/>
        <v>2723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10756</v>
      </c>
      <c r="C26" s="11">
        <v>14500</v>
      </c>
      <c r="D26" s="11">
        <v>8551</v>
      </c>
      <c r="E26" s="11">
        <v>10686</v>
      </c>
      <c r="F26" s="11"/>
      <c r="G26" s="11"/>
      <c r="H26" s="11"/>
      <c r="I26" s="11"/>
      <c r="J26" s="11">
        <f t="shared" si="0"/>
        <v>5879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221445</v>
      </c>
      <c r="C35" s="11">
        <f t="shared" ref="C35:I35" si="1">SUM(C4:C34)</f>
        <v>213300</v>
      </c>
      <c r="D35" s="11">
        <f t="shared" si="1"/>
        <v>196056</v>
      </c>
      <c r="E35" s="11">
        <f t="shared" si="1"/>
        <v>194772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-7322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-15376.2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37310</v>
      </c>
      <c r="J41" s="319">
        <f>+J39+J37</f>
        <v>3470.41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37310</v>
      </c>
      <c r="B47" s="32"/>
      <c r="C47" s="32"/>
      <c r="D47" s="349">
        <f>+J35</f>
        <v>-7322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-125980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9" workbookViewId="0">
      <selection activeCell="D30" sqref="D3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-19847</v>
      </c>
      <c r="E25" s="24">
        <v>-20850</v>
      </c>
      <c r="F25" s="24">
        <f t="shared" si="0"/>
        <v>-1003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-32898</v>
      </c>
      <c r="E26" s="24">
        <v>-32850</v>
      </c>
      <c r="F26" s="24">
        <f t="shared" si="0"/>
        <v>48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-20431</v>
      </c>
      <c r="E27" s="24">
        <v>-23304</v>
      </c>
      <c r="F27" s="24">
        <f t="shared" si="0"/>
        <v>-2873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-19407</v>
      </c>
      <c r="E28" s="24">
        <v>-16100</v>
      </c>
      <c r="F28" s="24">
        <f t="shared" si="0"/>
        <v>3307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-18863</v>
      </c>
      <c r="E29" s="24">
        <v>-16100</v>
      </c>
      <c r="F29" s="24">
        <f t="shared" si="0"/>
        <v>2763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-431006</v>
      </c>
      <c r="E37" s="24">
        <f>SUM(E6:E36)</f>
        <v>-432128</v>
      </c>
      <c r="F37" s="24">
        <f>SUM(F6:F36)</f>
        <v>-1122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-2356.2000000000003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37311</v>
      </c>
      <c r="E41" s="14"/>
      <c r="F41" s="104">
        <f>+F40+F39</f>
        <v>327164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37311</v>
      </c>
      <c r="B47" s="32"/>
      <c r="C47" s="32"/>
      <c r="D47" s="349">
        <f>+F37</f>
        <v>-1122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-38104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E51" sqref="E5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">
      <c r="A28" s="10">
        <v>21</v>
      </c>
      <c r="B28" s="11"/>
      <c r="C28" s="11"/>
      <c r="D28" s="11"/>
      <c r="E28" s="11">
        <v>135</v>
      </c>
      <c r="F28" s="25">
        <f t="shared" si="0"/>
        <v>135</v>
      </c>
    </row>
    <row r="29" spans="1:10" x14ac:dyDescent="0.2">
      <c r="A29" s="10">
        <v>22</v>
      </c>
      <c r="B29" s="11"/>
      <c r="C29" s="11"/>
      <c r="D29" s="11"/>
      <c r="E29" s="11">
        <v>135</v>
      </c>
      <c r="F29" s="25">
        <f t="shared" si="0"/>
        <v>135</v>
      </c>
    </row>
    <row r="30" spans="1:10" x14ac:dyDescent="0.2">
      <c r="A30" s="10">
        <v>23</v>
      </c>
      <c r="B30" s="11"/>
      <c r="C30" s="11"/>
      <c r="D30" s="11"/>
      <c r="E30" s="11">
        <v>135</v>
      </c>
      <c r="F30" s="25">
        <f t="shared" si="0"/>
        <v>135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2588</v>
      </c>
      <c r="F39" s="25">
        <f>SUM(F8:F38)</f>
        <v>2588</v>
      </c>
    </row>
    <row r="40" spans="1:6" x14ac:dyDescent="0.2">
      <c r="A40" s="26"/>
      <c r="C40" s="14"/>
      <c r="F40" s="253">
        <f>+summary!G4</f>
        <v>2.1</v>
      </c>
    </row>
    <row r="41" spans="1:6" x14ac:dyDescent="0.2">
      <c r="F41" s="138">
        <f>+F40*F39</f>
        <v>5434.8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37310</v>
      </c>
      <c r="C43" s="48"/>
      <c r="F43" s="138">
        <f>+F42+F41</f>
        <v>48225.240000000005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37310</v>
      </c>
      <c r="B49" s="32"/>
      <c r="C49" s="32"/>
      <c r="D49" s="349">
        <f>+F39</f>
        <v>2588</v>
      </c>
    </row>
    <row r="50" spans="1:4" x14ac:dyDescent="0.2">
      <c r="A50" s="32"/>
      <c r="B50" s="32"/>
      <c r="C50" s="32"/>
      <c r="D50" s="14">
        <f>+D49+D48</f>
        <v>7169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37310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37310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41" sqref="C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-1712074</v>
      </c>
      <c r="I19" s="119">
        <f>+C37</f>
        <v>-1694208</v>
      </c>
      <c r="J19" s="119">
        <f>+I19-H19</f>
        <v>17866</v>
      </c>
      <c r="K19" s="411">
        <f>+D38</f>
        <v>2.1</v>
      </c>
      <c r="L19" s="416">
        <f>+K19*J19</f>
        <v>37518.6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148358</v>
      </c>
      <c r="K24" s="407"/>
      <c r="L24" s="110">
        <f>+L19+L17</f>
        <v>119203.69999999984</v>
      </c>
      <c r="M24" s="2"/>
      <c r="N24" s="34"/>
    </row>
    <row r="25" spans="1:14" x14ac:dyDescent="0.2">
      <c r="A25" s="10">
        <v>20</v>
      </c>
      <c r="B25" s="129">
        <v>-84869</v>
      </c>
      <c r="C25" s="11">
        <v>-85300</v>
      </c>
      <c r="D25" s="25">
        <f t="shared" si="0"/>
        <v>-431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>
        <v>-83828</v>
      </c>
      <c r="C26" s="11">
        <v>-84261</v>
      </c>
      <c r="D26" s="25">
        <f t="shared" si="0"/>
        <v>-433</v>
      </c>
      <c r="G26" s="2" t="s">
        <v>185</v>
      </c>
      <c r="H26" s="24"/>
      <c r="I26" s="24"/>
      <c r="J26" s="110"/>
      <c r="K26" s="407"/>
      <c r="L26" s="24">
        <f>+L24/K19</f>
        <v>56763.666666666584</v>
      </c>
    </row>
    <row r="27" spans="1:14" x14ac:dyDescent="0.2">
      <c r="A27" s="10">
        <v>22</v>
      </c>
      <c r="B27" s="129">
        <v>-84074</v>
      </c>
      <c r="C27" s="11">
        <v>-86272</v>
      </c>
      <c r="D27" s="25">
        <f t="shared" si="0"/>
        <v>-2198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>
        <v>-83123</v>
      </c>
      <c r="C28" s="11">
        <v>-84052</v>
      </c>
      <c r="D28" s="25">
        <f t="shared" si="0"/>
        <v>-929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>
        <v>-81315</v>
      </c>
      <c r="C29" s="11">
        <v>-84052</v>
      </c>
      <c r="D29" s="25">
        <f t="shared" si="0"/>
        <v>-2737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-1712074</v>
      </c>
      <c r="C37" s="11">
        <f>SUM(C6:C36)</f>
        <v>-1694208</v>
      </c>
      <c r="D37" s="25">
        <f>SUM(D6:D36)</f>
        <v>17866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37518.6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37311</v>
      </c>
      <c r="C41" s="48"/>
      <c r="D41" s="138">
        <f>+D40+D39</f>
        <v>35298.6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37311</v>
      </c>
      <c r="B46" s="32"/>
      <c r="C46" s="32"/>
      <c r="D46" s="349">
        <f>+D37</f>
        <v>17866</v>
      </c>
    </row>
    <row r="47" spans="1:4" x14ac:dyDescent="0.2">
      <c r="A47" s="32"/>
      <c r="B47" s="32"/>
      <c r="C47" s="32"/>
      <c r="D47" s="14">
        <f>+D46+D45</f>
        <v>103898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43" sqref="C43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">
      <c r="A26" s="10">
        <v>21</v>
      </c>
      <c r="B26" s="11">
        <v>37880</v>
      </c>
      <c r="C26" s="11">
        <v>40108</v>
      </c>
      <c r="D26" s="25">
        <f t="shared" si="0"/>
        <v>2228</v>
      </c>
    </row>
    <row r="27" spans="1:4" x14ac:dyDescent="0.2">
      <c r="A27" s="10">
        <v>22</v>
      </c>
      <c r="B27" s="11">
        <v>37247</v>
      </c>
      <c r="C27" s="11">
        <v>40108</v>
      </c>
      <c r="D27" s="25">
        <f t="shared" si="0"/>
        <v>2861</v>
      </c>
    </row>
    <row r="28" spans="1:4" x14ac:dyDescent="0.2">
      <c r="A28" s="10">
        <v>23</v>
      </c>
      <c r="B28" s="11">
        <v>37136</v>
      </c>
      <c r="C28" s="11">
        <v>37702</v>
      </c>
      <c r="D28" s="25">
        <f t="shared" si="0"/>
        <v>566</v>
      </c>
    </row>
    <row r="29" spans="1:4" x14ac:dyDescent="0.2">
      <c r="A29" s="10">
        <v>24</v>
      </c>
      <c r="B29" s="11">
        <v>37826</v>
      </c>
      <c r="C29" s="11">
        <v>40100</v>
      </c>
      <c r="D29" s="25">
        <f t="shared" si="0"/>
        <v>2274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872243</v>
      </c>
      <c r="C37" s="11">
        <f>SUM(C6:C36)</f>
        <v>903453</v>
      </c>
      <c r="D37" s="25">
        <f>SUM(D6:D36)</f>
        <v>31210</v>
      </c>
    </row>
    <row r="38" spans="1:4" x14ac:dyDescent="0.2">
      <c r="A38" s="26"/>
      <c r="B38" s="31"/>
      <c r="C38" s="14"/>
      <c r="D38" s="326">
        <f>+summary!G5</f>
        <v>2.1</v>
      </c>
    </row>
    <row r="39" spans="1:4" x14ac:dyDescent="0.2">
      <c r="D39" s="138">
        <f>+D38*D37</f>
        <v>65541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37311</v>
      </c>
      <c r="C41" s="48"/>
      <c r="D41" s="138">
        <f>+D40+D39</f>
        <v>166457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37311</v>
      </c>
      <c r="B46" s="32"/>
      <c r="C46" s="32"/>
      <c r="D46" s="349">
        <f>+D37</f>
        <v>31210</v>
      </c>
    </row>
    <row r="47" spans="1:4" x14ac:dyDescent="0.2">
      <c r="A47" s="32"/>
      <c r="B47" s="32"/>
      <c r="C47" s="32"/>
      <c r="D47" s="14">
        <f>+D46+D45</f>
        <v>93442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29" sqref="C2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265715</v>
      </c>
      <c r="C23" s="11">
        <v>289822</v>
      </c>
      <c r="D23" s="129"/>
      <c r="E23" s="11">
        <v>5170</v>
      </c>
      <c r="F23" s="11">
        <v>59179</v>
      </c>
      <c r="G23" s="11">
        <v>62347</v>
      </c>
      <c r="H23" s="129">
        <v>132402</v>
      </c>
      <c r="I23" s="11">
        <v>145053</v>
      </c>
      <c r="J23" s="11">
        <f t="shared" si="0"/>
        <v>45096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303431</v>
      </c>
      <c r="C24" s="11">
        <v>284670</v>
      </c>
      <c r="D24" s="11"/>
      <c r="E24" s="11">
        <v>2659</v>
      </c>
      <c r="F24" s="11">
        <v>66982</v>
      </c>
      <c r="G24" s="11">
        <v>79878</v>
      </c>
      <c r="H24" s="11">
        <v>136456</v>
      </c>
      <c r="I24" s="11">
        <v>140810</v>
      </c>
      <c r="J24" s="11">
        <f t="shared" si="0"/>
        <v>1148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310222</v>
      </c>
      <c r="C25" s="11">
        <v>298119</v>
      </c>
      <c r="D25" s="11"/>
      <c r="E25" s="11">
        <v>6484</v>
      </c>
      <c r="F25" s="11">
        <v>37553</v>
      </c>
      <c r="G25" s="11">
        <v>41168</v>
      </c>
      <c r="H25" s="11">
        <v>113554</v>
      </c>
      <c r="I25" s="11">
        <v>115219</v>
      </c>
      <c r="J25" s="11">
        <f t="shared" si="0"/>
        <v>-339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301877</v>
      </c>
      <c r="C26" s="11">
        <v>297710</v>
      </c>
      <c r="D26" s="11"/>
      <c r="E26" s="11">
        <v>4609</v>
      </c>
      <c r="F26" s="11">
        <v>38106</v>
      </c>
      <c r="G26" s="11">
        <v>41168</v>
      </c>
      <c r="H26" s="11">
        <v>108993</v>
      </c>
      <c r="I26" s="11">
        <v>102575</v>
      </c>
      <c r="J26" s="11">
        <f t="shared" si="0"/>
        <v>-2914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301970</v>
      </c>
      <c r="C27" s="11">
        <v>298848</v>
      </c>
      <c r="D27" s="11"/>
      <c r="E27" s="11">
        <v>4782</v>
      </c>
      <c r="F27" s="11">
        <v>40357</v>
      </c>
      <c r="G27" s="11">
        <v>41168</v>
      </c>
      <c r="H27" s="11">
        <v>97760</v>
      </c>
      <c r="I27" s="11">
        <v>97631</v>
      </c>
      <c r="J27" s="11">
        <f t="shared" si="0"/>
        <v>2342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304070</v>
      </c>
      <c r="C28" s="11">
        <v>300932</v>
      </c>
      <c r="D28" s="11"/>
      <c r="E28" s="11"/>
      <c r="F28" s="11">
        <v>40471</v>
      </c>
      <c r="G28" s="11">
        <v>41168</v>
      </c>
      <c r="H28" s="11">
        <v>113314</v>
      </c>
      <c r="I28" s="11">
        <v>112600</v>
      </c>
      <c r="J28" s="11">
        <f t="shared" si="0"/>
        <v>-3155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7653286</v>
      </c>
      <c r="C35" s="11">
        <f t="shared" ref="C35:I35" si="3">SUM(C4:C34)</f>
        <v>7673676</v>
      </c>
      <c r="D35" s="11">
        <f t="shared" si="3"/>
        <v>421386</v>
      </c>
      <c r="E35" s="11">
        <f t="shared" si="3"/>
        <v>443216</v>
      </c>
      <c r="F35" s="11">
        <f t="shared" si="3"/>
        <v>1008190</v>
      </c>
      <c r="G35" s="11">
        <f t="shared" si="3"/>
        <v>1004259</v>
      </c>
      <c r="H35" s="11">
        <f t="shared" si="3"/>
        <v>3068615</v>
      </c>
      <c r="I35" s="11">
        <f t="shared" si="3"/>
        <v>3063435</v>
      </c>
      <c r="J35" s="11">
        <f>SUM(J4:J34)</f>
        <v>33109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37312</v>
      </c>
      <c r="J40" s="51">
        <f>+J38+J35</f>
        <v>33109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37312</v>
      </c>
      <c r="B47" s="32"/>
      <c r="C47" s="32"/>
      <c r="D47" s="374">
        <f>+J35*'by type_area'!G3</f>
        <v>69528.900000000009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69528.900000000009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">
      <c r="A26" s="10">
        <v>21</v>
      </c>
      <c r="B26" s="11">
        <v>45127</v>
      </c>
      <c r="C26" s="11">
        <v>45397</v>
      </c>
      <c r="D26" s="25">
        <f t="shared" si="0"/>
        <v>270</v>
      </c>
    </row>
    <row r="27" spans="1:4" x14ac:dyDescent="0.2">
      <c r="A27" s="10">
        <v>22</v>
      </c>
      <c r="B27" s="11">
        <v>36224</v>
      </c>
      <c r="C27" s="11">
        <v>35937</v>
      </c>
      <c r="D27" s="25">
        <f t="shared" si="0"/>
        <v>-287</v>
      </c>
    </row>
    <row r="28" spans="1:4" x14ac:dyDescent="0.2">
      <c r="A28" s="10">
        <v>23</v>
      </c>
      <c r="B28" s="11">
        <v>42838</v>
      </c>
      <c r="C28" s="11">
        <v>42872</v>
      </c>
      <c r="D28" s="25">
        <f t="shared" si="0"/>
        <v>34</v>
      </c>
    </row>
    <row r="29" spans="1:4" x14ac:dyDescent="0.2">
      <c r="A29" s="10">
        <v>24</v>
      </c>
      <c r="B29" s="11">
        <v>43486</v>
      </c>
      <c r="C29" s="11">
        <v>41270</v>
      </c>
      <c r="D29" s="25">
        <f t="shared" si="0"/>
        <v>-2216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994111</v>
      </c>
      <c r="C37" s="11">
        <f>SUM(C6:C36)</f>
        <v>995051</v>
      </c>
      <c r="D37" s="25">
        <f>SUM(D6:D36)</f>
        <v>940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1974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37311</v>
      </c>
      <c r="C41" s="48"/>
      <c r="D41" s="138">
        <f>+D40+D39</f>
        <v>3500.04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37311</v>
      </c>
      <c r="B47" s="32"/>
      <c r="C47" s="32"/>
      <c r="D47" s="349">
        <f>+D37</f>
        <v>940</v>
      </c>
    </row>
    <row r="48" spans="1:4" x14ac:dyDescent="0.2">
      <c r="A48" s="32"/>
      <c r="B48" s="32"/>
      <c r="C48" s="32"/>
      <c r="D48" s="14">
        <f>+D47+D46</f>
        <v>1489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A41" sqref="A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-1859</v>
      </c>
      <c r="C25" s="11">
        <v>-657</v>
      </c>
      <c r="D25" s="25">
        <f t="shared" si="0"/>
        <v>1202</v>
      </c>
    </row>
    <row r="26" spans="1:15" x14ac:dyDescent="0.2">
      <c r="A26" s="10">
        <v>21</v>
      </c>
      <c r="B26" s="11">
        <v>-347</v>
      </c>
      <c r="C26" s="11">
        <v>-657</v>
      </c>
      <c r="D26" s="25">
        <f t="shared" si="0"/>
        <v>-310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-485</v>
      </c>
      <c r="C27" s="11">
        <v>-657</v>
      </c>
      <c r="D27" s="25">
        <f t="shared" si="0"/>
        <v>-172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-613</v>
      </c>
      <c r="C28" s="11">
        <v>-657</v>
      </c>
      <c r="D28" s="25">
        <f t="shared" si="0"/>
        <v>-44</v>
      </c>
    </row>
    <row r="29" spans="1:15" x14ac:dyDescent="0.2">
      <c r="A29" s="10">
        <v>24</v>
      </c>
      <c r="B29" s="11">
        <v>-1775</v>
      </c>
      <c r="C29" s="11">
        <v>-657</v>
      </c>
      <c r="D29" s="25">
        <f t="shared" si="0"/>
        <v>1118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-29078</v>
      </c>
      <c r="C37" s="11">
        <f>SUM(C6:C36)</f>
        <v>-15103</v>
      </c>
      <c r="D37" s="25">
        <f>SUM(D6:D36)</f>
        <v>13975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29347.5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37311</v>
      </c>
      <c r="C41" s="48"/>
      <c r="D41" s="138">
        <f>+D40+D39</f>
        <v>-263481.5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37311</v>
      </c>
      <c r="B49" s="32"/>
      <c r="C49" s="32"/>
      <c r="D49" s="349">
        <f>+D37</f>
        <v>13975</v>
      </c>
    </row>
    <row r="50" spans="1:4" x14ac:dyDescent="0.2">
      <c r="A50" s="32"/>
      <c r="B50" s="32"/>
      <c r="C50" s="32"/>
      <c r="D50" s="14">
        <f>+D49+D48</f>
        <v>-369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">
      <c r="A25" s="10">
        <v>20</v>
      </c>
      <c r="B25" s="11">
        <v>-50001</v>
      </c>
      <c r="C25" s="11">
        <v>-69999</v>
      </c>
      <c r="D25" s="25">
        <f t="shared" si="0"/>
        <v>-19998</v>
      </c>
    </row>
    <row r="26" spans="1:4" x14ac:dyDescent="0.2">
      <c r="A26" s="10">
        <v>21</v>
      </c>
      <c r="B26" s="11">
        <v>-36526</v>
      </c>
      <c r="C26" s="11">
        <v>-50000</v>
      </c>
      <c r="D26" s="25">
        <f t="shared" si="0"/>
        <v>-13474</v>
      </c>
    </row>
    <row r="27" spans="1:4" x14ac:dyDescent="0.2">
      <c r="A27" s="10">
        <v>22</v>
      </c>
      <c r="B27" s="11">
        <v>-39318</v>
      </c>
      <c r="C27" s="11">
        <v>-35000</v>
      </c>
      <c r="D27" s="25">
        <f t="shared" si="0"/>
        <v>4318</v>
      </c>
    </row>
    <row r="28" spans="1:4" x14ac:dyDescent="0.2">
      <c r="A28" s="10">
        <v>23</v>
      </c>
      <c r="B28" s="11">
        <v>-23799</v>
      </c>
      <c r="C28" s="11">
        <v>-16000</v>
      </c>
      <c r="D28" s="25">
        <f t="shared" si="0"/>
        <v>7799</v>
      </c>
    </row>
    <row r="29" spans="1:4" x14ac:dyDescent="0.2">
      <c r="A29" s="10">
        <v>24</v>
      </c>
      <c r="B29" s="11">
        <v>-3979</v>
      </c>
      <c r="C29" s="11">
        <v>-5000</v>
      </c>
      <c r="D29" s="25">
        <f t="shared" si="0"/>
        <v>-1021</v>
      </c>
    </row>
    <row r="30" spans="1:4" x14ac:dyDescent="0.2">
      <c r="A30" s="10">
        <v>25</v>
      </c>
      <c r="B30" s="11">
        <v>-41787</v>
      </c>
      <c r="C30" s="11">
        <v>-35000</v>
      </c>
      <c r="D30" s="25">
        <f t="shared" si="0"/>
        <v>6787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-1094532</v>
      </c>
      <c r="C37" s="11">
        <f>SUM(C6:C36)</f>
        <v>-1075167</v>
      </c>
      <c r="D37" s="25">
        <f>SUM(D6:D36)</f>
        <v>19365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40666.5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37312</v>
      </c>
      <c r="C41" s="48"/>
      <c r="D41" s="138">
        <f>+D40+D39</f>
        <v>64294.3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37312</v>
      </c>
      <c r="B47" s="32"/>
      <c r="C47" s="32"/>
      <c r="D47" s="349">
        <f>+D37</f>
        <v>19365</v>
      </c>
    </row>
    <row r="48" spans="1:4" x14ac:dyDescent="0.2">
      <c r="A48" s="32"/>
      <c r="B48" s="32"/>
      <c r="C48" s="32"/>
      <c r="D48" s="14">
        <f>+D47+D46</f>
        <v>34307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-2898</v>
      </c>
      <c r="D5" s="90">
        <f>+C5-B5</f>
        <v>-2895</v>
      </c>
      <c r="E5" s="275"/>
      <c r="F5" s="273"/>
    </row>
    <row r="6" spans="1:13" x14ac:dyDescent="0.2">
      <c r="A6" s="87">
        <v>500046</v>
      </c>
      <c r="B6" s="90">
        <v>-9479</v>
      </c>
      <c r="C6" s="90"/>
      <c r="D6" s="90">
        <f t="shared" ref="D6:D11" si="0">+C6-B6</f>
        <v>9479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-19679</v>
      </c>
      <c r="C8" s="90">
        <v>-39376</v>
      </c>
      <c r="D8" s="90">
        <f t="shared" si="0"/>
        <v>-19697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-13113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</v>
      </c>
      <c r="E13" s="277"/>
      <c r="F13" s="273"/>
    </row>
    <row r="14" spans="1:13" x14ac:dyDescent="0.2">
      <c r="A14" s="87"/>
      <c r="B14" s="88"/>
      <c r="C14" s="88"/>
      <c r="D14" s="96">
        <f>+D13*D12</f>
        <v>-27537.300000000003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37310</v>
      </c>
      <c r="B18" s="88"/>
      <c r="C18" s="88"/>
      <c r="D18" s="318">
        <f>+D16+D14</f>
        <v>-574798.09000000008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-13113</v>
      </c>
    </row>
    <row r="24" spans="1:7" x14ac:dyDescent="0.2">
      <c r="A24" s="49">
        <f>+A18</f>
        <v>37310</v>
      </c>
      <c r="B24" s="32"/>
      <c r="C24" s="32"/>
      <c r="D24" s="14">
        <f>+D23+D22</f>
        <v>-54536</v>
      </c>
      <c r="E24" s="344">
        <f>+D18/D24</f>
        <v>10.539791880592638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C30" sqref="C3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">
      <c r="A26" s="10">
        <v>21</v>
      </c>
      <c r="B26" s="11">
        <v>-69502</v>
      </c>
      <c r="C26" s="11">
        <v>-65394</v>
      </c>
      <c r="D26" s="25">
        <f t="shared" si="0"/>
        <v>4108</v>
      </c>
    </row>
    <row r="27" spans="1:4" x14ac:dyDescent="0.2">
      <c r="A27" s="10">
        <v>22</v>
      </c>
      <c r="B27" s="11">
        <v>-74831</v>
      </c>
      <c r="C27" s="11">
        <v>-79942</v>
      </c>
      <c r="D27" s="25">
        <f t="shared" si="0"/>
        <v>-5111</v>
      </c>
    </row>
    <row r="28" spans="1:4" x14ac:dyDescent="0.2">
      <c r="A28" s="10">
        <v>23</v>
      </c>
      <c r="B28" s="11">
        <v>-70809</v>
      </c>
      <c r="C28" s="11">
        <v>-71599</v>
      </c>
      <c r="D28" s="25">
        <f t="shared" si="0"/>
        <v>-790</v>
      </c>
    </row>
    <row r="29" spans="1:4" x14ac:dyDescent="0.2">
      <c r="A29" s="10">
        <v>24</v>
      </c>
      <c r="B29" s="11">
        <v>-67841</v>
      </c>
      <c r="C29" s="11">
        <v>-71522</v>
      </c>
      <c r="D29" s="25">
        <f t="shared" si="0"/>
        <v>-3681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-1258825</v>
      </c>
      <c r="C37" s="11">
        <f>SUM(C6:C36)</f>
        <v>-1270514</v>
      </c>
      <c r="D37" s="25">
        <f>SUM(D6:D36)</f>
        <v>-11689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37311</v>
      </c>
      <c r="C41" s="48"/>
      <c r="D41" s="25">
        <f>+D40+D37</f>
        <v>7903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37311</v>
      </c>
      <c r="B46" s="32"/>
      <c r="C46" s="32"/>
      <c r="D46" s="374">
        <f>+D37*'by type_area'!G4</f>
        <v>-24546.9</v>
      </c>
    </row>
    <row r="47" spans="1:4" x14ac:dyDescent="0.2">
      <c r="A47" s="32"/>
      <c r="B47" s="32"/>
      <c r="C47" s="32"/>
      <c r="D47" s="200">
        <f>+D46+D45</f>
        <v>162086.1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-90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-139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-125</v>
      </c>
      <c r="C26" s="11">
        <v>-143</v>
      </c>
      <c r="D26" s="11"/>
      <c r="E26" s="11"/>
      <c r="F26" s="11">
        <v>-1086</v>
      </c>
      <c r="G26" s="11">
        <v>-786</v>
      </c>
      <c r="H26" s="11"/>
      <c r="I26" s="11"/>
      <c r="J26" s="11">
        <f t="shared" si="0"/>
        <v>282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-94</v>
      </c>
      <c r="C27" s="11">
        <v>-143</v>
      </c>
      <c r="D27" s="11"/>
      <c r="E27" s="11"/>
      <c r="F27" s="11">
        <v>-850</v>
      </c>
      <c r="G27" s="11">
        <v>-1278</v>
      </c>
      <c r="H27" s="11"/>
      <c r="I27" s="11"/>
      <c r="J27" s="11">
        <f t="shared" si="0"/>
        <v>-477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-64</v>
      </c>
      <c r="C28" s="11">
        <v>-143</v>
      </c>
      <c r="D28" s="11"/>
      <c r="E28" s="11"/>
      <c r="F28" s="11">
        <v>-552</v>
      </c>
      <c r="G28" s="11">
        <v>-1278</v>
      </c>
      <c r="H28" s="11"/>
      <c r="I28" s="11"/>
      <c r="J28" s="11">
        <f t="shared" si="0"/>
        <v>-805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-3226</v>
      </c>
      <c r="C37" s="11">
        <f t="shared" ref="C37:I37" si="1">SUM(C6:C36)</f>
        <v>-3289</v>
      </c>
      <c r="D37" s="11">
        <f t="shared" si="1"/>
        <v>0</v>
      </c>
      <c r="E37" s="11">
        <f t="shared" si="1"/>
        <v>0</v>
      </c>
      <c r="F37" s="11">
        <f t="shared" si="1"/>
        <v>-23889</v>
      </c>
      <c r="G37" s="11">
        <f t="shared" si="1"/>
        <v>-19062</v>
      </c>
      <c r="H37" s="11">
        <f t="shared" si="1"/>
        <v>0</v>
      </c>
      <c r="I37" s="11">
        <f t="shared" si="1"/>
        <v>0</v>
      </c>
      <c r="J37" s="11">
        <f>SUM(J6:J36)</f>
        <v>4764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10004.4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37310</v>
      </c>
      <c r="J43" s="319">
        <f>+J41+J39</f>
        <v>-27185.369999999995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37310</v>
      </c>
      <c r="B49" s="32"/>
      <c r="C49" s="32"/>
      <c r="D49" s="349">
        <f>+J37</f>
        <v>4764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537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L21" workbookViewId="0">
      <selection activeCell="M29" sqref="M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-689</v>
      </c>
      <c r="M25" s="11">
        <v>-824</v>
      </c>
      <c r="N25" s="11">
        <f t="shared" si="0"/>
        <v>-135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>
        <v>-725</v>
      </c>
      <c r="M26" s="11">
        <v>-824</v>
      </c>
      <c r="N26" s="11">
        <f t="shared" si="0"/>
        <v>-99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>
        <v>-743</v>
      </c>
      <c r="M27" s="11">
        <v>-824</v>
      </c>
      <c r="N27" s="11">
        <f t="shared" si="0"/>
        <v>-81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>
        <v>-708</v>
      </c>
      <c r="M28" s="11">
        <v>-824</v>
      </c>
      <c r="N28" s="11">
        <f t="shared" si="0"/>
        <v>-116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-17134</v>
      </c>
      <c r="M37" s="11">
        <f>SUM(M6:M36)</f>
        <v>-18952</v>
      </c>
      <c r="N37" s="11">
        <f t="shared" si="1"/>
        <v>-1818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-3817.8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37307</v>
      </c>
      <c r="N43" s="319">
        <f>+N41+N39</f>
        <v>21368.61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37307</v>
      </c>
      <c r="B49" s="32"/>
      <c r="C49" s="32"/>
      <c r="D49" s="349">
        <f>+N37</f>
        <v>-1818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6737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">
      <c r="A26" s="10">
        <v>21</v>
      </c>
      <c r="B26" s="11">
        <v>264</v>
      </c>
      <c r="C26" s="11">
        <v>150</v>
      </c>
      <c r="D26" s="25">
        <f t="shared" si="0"/>
        <v>-114</v>
      </c>
    </row>
    <row r="27" spans="1:4" x14ac:dyDescent="0.2">
      <c r="A27" s="10">
        <v>22</v>
      </c>
      <c r="B27" s="11">
        <v>25</v>
      </c>
      <c r="C27" s="11">
        <v>150</v>
      </c>
      <c r="D27" s="25">
        <f t="shared" si="0"/>
        <v>125</v>
      </c>
    </row>
    <row r="28" spans="1:4" x14ac:dyDescent="0.2">
      <c r="A28" s="10">
        <v>23</v>
      </c>
      <c r="B28" s="11">
        <v>180</v>
      </c>
      <c r="C28" s="11">
        <v>150</v>
      </c>
      <c r="D28" s="25">
        <f t="shared" si="0"/>
        <v>-30</v>
      </c>
    </row>
    <row r="29" spans="1:4" x14ac:dyDescent="0.2">
      <c r="A29" s="10">
        <v>24</v>
      </c>
      <c r="B29" s="11">
        <v>258</v>
      </c>
      <c r="C29" s="11">
        <v>71</v>
      </c>
      <c r="D29" s="25">
        <f t="shared" si="0"/>
        <v>-187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4598</v>
      </c>
      <c r="C37" s="11">
        <f>SUM(C6:C36)</f>
        <v>3521</v>
      </c>
      <c r="D37" s="25">
        <f>SUM(D6:D36)</f>
        <v>-1077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-2261.7000000000003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37311</v>
      </c>
      <c r="C41" s="48"/>
      <c r="D41" s="138">
        <f>+D40+D39</f>
        <v>172331.44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37311</v>
      </c>
      <c r="B47" s="32"/>
      <c r="C47" s="32"/>
      <c r="D47" s="349">
        <f>+D37</f>
        <v>-1077</v>
      </c>
    </row>
    <row r="48" spans="1:4" x14ac:dyDescent="0.2">
      <c r="A48" s="32"/>
      <c r="B48" s="32"/>
      <c r="C48" s="32"/>
      <c r="D48" s="14">
        <f>+D47+D46</f>
        <v>75313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52" sqref="A5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">
      <c r="A26" s="10">
        <v>21</v>
      </c>
      <c r="B26" s="11"/>
      <c r="C26" s="11">
        <v>482</v>
      </c>
      <c r="D26" s="25">
        <f t="shared" si="0"/>
        <v>482</v>
      </c>
    </row>
    <row r="27" spans="1:4" x14ac:dyDescent="0.2">
      <c r="A27" s="10">
        <v>22</v>
      </c>
      <c r="B27" s="11"/>
      <c r="C27" s="11">
        <v>482</v>
      </c>
      <c r="D27" s="25">
        <f t="shared" si="0"/>
        <v>482</v>
      </c>
    </row>
    <row r="28" spans="1:4" x14ac:dyDescent="0.2">
      <c r="A28" s="10">
        <v>23</v>
      </c>
      <c r="B28" s="11"/>
      <c r="C28" s="11">
        <v>482</v>
      </c>
      <c r="D28" s="25">
        <f t="shared" si="0"/>
        <v>482</v>
      </c>
    </row>
    <row r="29" spans="1:4" x14ac:dyDescent="0.2">
      <c r="A29" s="10">
        <v>24</v>
      </c>
      <c r="B29" s="11"/>
      <c r="C29" s="11">
        <v>482</v>
      </c>
      <c r="D29" s="25">
        <f t="shared" si="0"/>
        <v>482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8747</v>
      </c>
      <c r="C37" s="11">
        <f>SUM(C6:C36)</f>
        <v>7340</v>
      </c>
      <c r="D37" s="25">
        <f>SUM(D6:D36)</f>
        <v>-1407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-2954.7000000000003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37311</v>
      </c>
      <c r="C41" s="48"/>
      <c r="D41" s="138">
        <f>+D40+D39</f>
        <v>-2954.7000000000003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37311</v>
      </c>
      <c r="B47" s="32"/>
      <c r="C47" s="32"/>
      <c r="D47" s="349">
        <f>+D37</f>
        <v>-1407</v>
      </c>
    </row>
    <row r="48" spans="1:4" x14ac:dyDescent="0.2">
      <c r="A48" s="32"/>
      <c r="B48" s="32"/>
      <c r="C48" s="32"/>
      <c r="D48" s="14">
        <f>+D47+D46</f>
        <v>-1407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6" workbookViewId="0">
      <selection activeCell="B28" sqref="B28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>
        <v>-2538</v>
      </c>
      <c r="E24" s="11">
        <v>-2020</v>
      </c>
      <c r="F24" s="11">
        <f t="shared" si="0"/>
        <v>518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>
        <v>-10183</v>
      </c>
      <c r="E25" s="11">
        <v>-10020</v>
      </c>
      <c r="F25" s="11">
        <f t="shared" si="0"/>
        <v>163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>
        <v>-27820</v>
      </c>
      <c r="E26" s="11">
        <v>-27530</v>
      </c>
      <c r="F26" s="11">
        <f t="shared" si="0"/>
        <v>290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>
        <v>-10000</v>
      </c>
      <c r="D27" s="11">
        <v>-32751</v>
      </c>
      <c r="E27" s="11">
        <v>-32428</v>
      </c>
      <c r="F27" s="11">
        <f t="shared" si="0"/>
        <v>-9677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>
        <v>-20705</v>
      </c>
      <c r="C28" s="11">
        <v>-10000</v>
      </c>
      <c r="D28" s="11">
        <v>-32992</v>
      </c>
      <c r="E28" s="11">
        <v>-32428</v>
      </c>
      <c r="F28" s="11">
        <f t="shared" si="0"/>
        <v>11269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-208940</v>
      </c>
      <c r="C36" s="44">
        <f>SUM(C5:C35)</f>
        <v>-200000</v>
      </c>
      <c r="D36" s="43">
        <f>SUM(D5:D35)</f>
        <v>-983262</v>
      </c>
      <c r="E36" s="43">
        <f>SUM(E5:E35)</f>
        <v>-980127</v>
      </c>
      <c r="F36" s="11">
        <f>SUM(F5:F35)</f>
        <v>12075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2.1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25357.5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37311</v>
      </c>
      <c r="B43" s="32"/>
      <c r="C43" s="106"/>
      <c r="D43" s="106"/>
      <c r="E43" s="106"/>
      <c r="F43" s="24">
        <f>+F42+F36</f>
        <v>46755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37311</v>
      </c>
      <c r="B49" s="32"/>
      <c r="C49" s="32"/>
      <c r="D49" s="76">
        <f>+F36</f>
        <v>12075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84003.96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-2199</v>
      </c>
      <c r="C25" s="24">
        <v>-1736</v>
      </c>
      <c r="D25" s="24">
        <v>-2346</v>
      </c>
      <c r="E25" s="24">
        <v>-2000</v>
      </c>
      <c r="F25" s="24">
        <f t="shared" si="0"/>
        <v>809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-2170</v>
      </c>
      <c r="C26" s="24">
        <v>-1736</v>
      </c>
      <c r="D26" s="24">
        <v>-2500</v>
      </c>
      <c r="E26" s="24">
        <v>-2000</v>
      </c>
      <c r="F26" s="24">
        <f t="shared" si="0"/>
        <v>934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-2347</v>
      </c>
      <c r="C27" s="24">
        <v>-1736</v>
      </c>
      <c r="D27" s="24">
        <v>-1771</v>
      </c>
      <c r="E27" s="24">
        <v>-2000</v>
      </c>
      <c r="F27" s="24">
        <f t="shared" si="0"/>
        <v>382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-2161</v>
      </c>
      <c r="C28" s="24">
        <v>-1736</v>
      </c>
      <c r="D28" s="24"/>
      <c r="E28" s="24"/>
      <c r="F28" s="24">
        <f t="shared" si="0"/>
        <v>425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-49304</v>
      </c>
      <c r="C37" s="24">
        <f>SUM(C6:C36)</f>
        <v>-49743</v>
      </c>
      <c r="D37" s="24">
        <f>SUM(D6:D36)</f>
        <v>-40366</v>
      </c>
      <c r="E37" s="24">
        <f>SUM(E6:E36)</f>
        <v>-44000</v>
      </c>
      <c r="F37" s="24">
        <f>SUM(F6:F36)</f>
        <v>-4073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-8553.3000000000011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37310</v>
      </c>
      <c r="C41" s="319"/>
      <c r="D41" s="262"/>
      <c r="E41" s="262"/>
      <c r="F41" s="104">
        <f>+F40+F39</f>
        <v>-125350.09000000001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37310</v>
      </c>
      <c r="B47" s="32"/>
      <c r="C47" s="32"/>
      <c r="D47" s="349">
        <f>+F37</f>
        <v>-4073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-37040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1" workbookViewId="0">
      <selection activeCell="C25" sqref="C25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315</v>
      </c>
      <c r="D5" s="121" t="s">
        <v>19</v>
      </c>
      <c r="E5" s="121" t="s">
        <v>315</v>
      </c>
      <c r="F5" s="121" t="s">
        <v>19</v>
      </c>
      <c r="G5" s="121" t="s">
        <v>315</v>
      </c>
      <c r="H5" s="121" t="s">
        <v>19</v>
      </c>
      <c r="I5" s="121" t="s">
        <v>315</v>
      </c>
      <c r="J5" s="121" t="s">
        <v>19</v>
      </c>
      <c r="K5" s="121" t="s">
        <v>315</v>
      </c>
      <c r="L5" s="121" t="s">
        <v>19</v>
      </c>
      <c r="M5" s="121" t="s">
        <v>315</v>
      </c>
      <c r="N5" s="121" t="s">
        <v>19</v>
      </c>
      <c r="O5" s="121" t="s">
        <v>315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-2198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73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-2380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255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-2788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672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>
        <v>-3897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1772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>
        <v>-3429</v>
      </c>
      <c r="C26" s="24">
        <v>-2100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1304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>
        <v>-3624</v>
      </c>
      <c r="C27" s="24">
        <v>-2100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1499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>
        <v>-3490</v>
      </c>
      <c r="C28" s="24">
        <v>-2100</v>
      </c>
      <c r="D28" s="24"/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1365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>
        <v>-3596</v>
      </c>
      <c r="C29" s="24">
        <v>-2100</v>
      </c>
      <c r="D29" s="24"/>
      <c r="E29" s="24">
        <v>-21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1475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-69511</v>
      </c>
      <c r="C37" s="24">
        <f t="shared" si="1"/>
        <v>-50400</v>
      </c>
      <c r="D37" s="24">
        <f t="shared" si="1"/>
        <v>-10</v>
      </c>
      <c r="E37" s="24">
        <f t="shared" si="1"/>
        <v>-596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18525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38902.5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37311</v>
      </c>
      <c r="E41" s="14"/>
      <c r="O41" s="441"/>
      <c r="P41" s="104">
        <f>+P40+P39</f>
        <v>128669.78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37311</v>
      </c>
      <c r="B47" s="32"/>
      <c r="C47" s="32"/>
      <c r="D47" s="349">
        <f>+P37</f>
        <v>18525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55566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0" sqref="C3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276</v>
      </c>
      <c r="C3" s="87"/>
      <c r="D3" s="87"/>
    </row>
    <row r="4" spans="1:4" x14ac:dyDescent="0.2">
      <c r="A4" s="3"/>
      <c r="B4" s="328" t="s">
        <v>275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">
      <c r="A26" s="10">
        <v>21</v>
      </c>
      <c r="B26" s="11">
        <v>-14432</v>
      </c>
      <c r="C26" s="11">
        <v>-14000</v>
      </c>
      <c r="D26" s="25">
        <f t="shared" si="0"/>
        <v>432</v>
      </c>
    </row>
    <row r="27" spans="1:4" x14ac:dyDescent="0.2">
      <c r="A27" s="10">
        <v>22</v>
      </c>
      <c r="B27" s="11">
        <v>-15470</v>
      </c>
      <c r="C27" s="11">
        <v>-14000</v>
      </c>
      <c r="D27" s="25">
        <f t="shared" si="0"/>
        <v>1470</v>
      </c>
    </row>
    <row r="28" spans="1:4" x14ac:dyDescent="0.2">
      <c r="A28" s="10">
        <v>23</v>
      </c>
      <c r="B28" s="129">
        <v>-14866</v>
      </c>
      <c r="C28" s="11">
        <v>-14000</v>
      </c>
      <c r="D28" s="25">
        <f t="shared" si="0"/>
        <v>866</v>
      </c>
    </row>
    <row r="29" spans="1:4" x14ac:dyDescent="0.2">
      <c r="A29" s="10">
        <v>24</v>
      </c>
      <c r="B29" s="11">
        <v>-15127</v>
      </c>
      <c r="C29" s="11">
        <v>-14000</v>
      </c>
      <c r="D29" s="25">
        <f t="shared" si="0"/>
        <v>1127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-443227</v>
      </c>
      <c r="C37" s="11">
        <f>SUM(C6:C36)</f>
        <v>-439819</v>
      </c>
      <c r="D37" s="25">
        <f>SUM(D6:D36)</f>
        <v>3408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7156.8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37311</v>
      </c>
      <c r="C41" s="48"/>
      <c r="D41" s="138">
        <f>+D40+D39</f>
        <v>-20022.37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37311</v>
      </c>
      <c r="B47" s="32"/>
      <c r="C47" s="32"/>
      <c r="D47" s="349">
        <f>+D37</f>
        <v>3408</v>
      </c>
    </row>
    <row r="48" spans="1:4" x14ac:dyDescent="0.2">
      <c r="A48" s="32"/>
      <c r="B48" s="32"/>
      <c r="C48" s="32"/>
      <c r="D48" s="14">
        <f>+D47+D46</f>
        <v>3396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295</v>
      </c>
      <c r="C3" s="87"/>
      <c r="D3" s="87"/>
    </row>
    <row r="4" spans="1:4" x14ac:dyDescent="0.2">
      <c r="A4" s="3"/>
      <c r="B4" s="328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2.1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279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2.1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B27" sqref="B2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">
      <c r="A26" s="10">
        <v>20</v>
      </c>
      <c r="B26" s="129">
        <v>138725</v>
      </c>
      <c r="C26" s="11">
        <v>138233</v>
      </c>
      <c r="D26" s="25">
        <f t="shared" si="0"/>
        <v>-492</v>
      </c>
    </row>
    <row r="27" spans="1:4" x14ac:dyDescent="0.2">
      <c r="A27" s="10">
        <v>21</v>
      </c>
      <c r="B27" s="129">
        <v>157606</v>
      </c>
      <c r="C27" s="11">
        <v>157187</v>
      </c>
      <c r="D27" s="25">
        <f t="shared" si="0"/>
        <v>-419</v>
      </c>
    </row>
    <row r="28" spans="1:4" x14ac:dyDescent="0.2">
      <c r="A28" s="10">
        <v>22</v>
      </c>
      <c r="B28" s="11">
        <v>157405</v>
      </c>
      <c r="C28" s="11">
        <v>155124</v>
      </c>
      <c r="D28" s="25">
        <f t="shared" si="0"/>
        <v>-2281</v>
      </c>
    </row>
    <row r="29" spans="1:4" x14ac:dyDescent="0.2">
      <c r="A29" s="10">
        <v>23</v>
      </c>
      <c r="B29" s="11">
        <v>161681</v>
      </c>
      <c r="C29" s="11">
        <v>160214</v>
      </c>
      <c r="D29" s="25">
        <f t="shared" si="0"/>
        <v>-1467</v>
      </c>
    </row>
    <row r="30" spans="1:4" x14ac:dyDescent="0.2">
      <c r="A30" s="10">
        <v>24</v>
      </c>
      <c r="B30" s="11">
        <v>167315</v>
      </c>
      <c r="C30" s="11">
        <v>170043</v>
      </c>
      <c r="D30" s="25">
        <f t="shared" si="0"/>
        <v>2728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3563780</v>
      </c>
      <c r="C38" s="11">
        <f>SUM(C7:C37)</f>
        <v>3564242</v>
      </c>
      <c r="D38" s="11">
        <f>SUM(D7:D37)</f>
        <v>462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970.2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37311</v>
      </c>
      <c r="D42" s="319">
        <f>+D41+D40</f>
        <v>-60633.16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37311</v>
      </c>
      <c r="B48" s="32"/>
      <c r="C48" s="32"/>
      <c r="D48" s="349">
        <f>+D38</f>
        <v>462</v>
      </c>
    </row>
    <row r="49" spans="1:4" x14ac:dyDescent="0.2">
      <c r="A49" s="32"/>
      <c r="B49" s="32"/>
      <c r="C49" s="32"/>
      <c r="D49" s="14">
        <f>+D48+D47</f>
        <v>-29155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3" workbookViewId="0">
      <selection activeCell="B29" sqref="B29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">
      <c r="A24" s="10">
        <v>21</v>
      </c>
      <c r="B24" s="129">
        <v>-220577</v>
      </c>
      <c r="C24" s="11">
        <v>-220039</v>
      </c>
      <c r="D24" s="25">
        <f t="shared" si="0"/>
        <v>538</v>
      </c>
    </row>
    <row r="25" spans="1:4" x14ac:dyDescent="0.2">
      <c r="A25" s="10">
        <v>22</v>
      </c>
      <c r="B25" s="11">
        <v>-185202</v>
      </c>
      <c r="C25" s="11">
        <v>-184139</v>
      </c>
      <c r="D25" s="25">
        <f t="shared" si="0"/>
        <v>1063</v>
      </c>
    </row>
    <row r="26" spans="1:4" x14ac:dyDescent="0.2">
      <c r="A26" s="10">
        <v>23</v>
      </c>
      <c r="B26" s="129">
        <v>-199507</v>
      </c>
      <c r="C26" s="11">
        <v>-198230</v>
      </c>
      <c r="D26" s="25">
        <f t="shared" si="0"/>
        <v>1277</v>
      </c>
    </row>
    <row r="27" spans="1:4" x14ac:dyDescent="0.2">
      <c r="A27" s="10">
        <v>24</v>
      </c>
      <c r="B27" s="129">
        <v>-184779</v>
      </c>
      <c r="C27" s="11">
        <v>-184230</v>
      </c>
      <c r="D27" s="25">
        <f t="shared" si="0"/>
        <v>549</v>
      </c>
    </row>
    <row r="28" spans="1:4" x14ac:dyDescent="0.2">
      <c r="A28" s="10">
        <v>25</v>
      </c>
      <c r="B28" s="129">
        <v>-184969</v>
      </c>
      <c r="C28" s="11">
        <v>-181930</v>
      </c>
      <c r="D28" s="25">
        <f t="shared" si="0"/>
        <v>3039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-5845207</v>
      </c>
      <c r="C35" s="11">
        <f>SUM(C4:C34)</f>
        <v>-5825284</v>
      </c>
      <c r="D35" s="11">
        <f>SUM(D4:D34)</f>
        <v>19923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37312</v>
      </c>
      <c r="D40" s="51">
        <f>+D38+D35</f>
        <v>48645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37312</v>
      </c>
      <c r="B46" s="32"/>
      <c r="C46" s="32"/>
      <c r="D46" s="374">
        <f>+D35*'by type_area'!G4</f>
        <v>41838.300000000003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-101830.7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C29" sqref="C2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">
      <c r="A24" s="10">
        <v>21</v>
      </c>
      <c r="B24" s="11">
        <v>-603746</v>
      </c>
      <c r="C24" s="11">
        <v>-615885</v>
      </c>
      <c r="D24" s="129"/>
      <c r="E24" s="11"/>
      <c r="F24" s="25">
        <f t="shared" si="0"/>
        <v>-12139</v>
      </c>
      <c r="H24" s="10"/>
      <c r="I24" s="11"/>
      <c r="K24" s="25"/>
    </row>
    <row r="25" spans="1:11" x14ac:dyDescent="0.2">
      <c r="A25" s="10">
        <v>22</v>
      </c>
      <c r="B25" s="11">
        <v>-530120</v>
      </c>
      <c r="C25" s="11">
        <v>-532986</v>
      </c>
      <c r="D25" s="11"/>
      <c r="E25" s="11"/>
      <c r="F25" s="25">
        <f t="shared" si="0"/>
        <v>-2866</v>
      </c>
      <c r="H25" s="10"/>
      <c r="I25" s="11"/>
    </row>
    <row r="26" spans="1:11" x14ac:dyDescent="0.2">
      <c r="A26" s="10">
        <v>23</v>
      </c>
      <c r="B26" s="11">
        <v>-464082</v>
      </c>
      <c r="C26" s="11">
        <v>-462576</v>
      </c>
      <c r="D26" s="11"/>
      <c r="E26" s="11"/>
      <c r="F26" s="25">
        <f t="shared" si="0"/>
        <v>1506</v>
      </c>
      <c r="H26" s="10"/>
      <c r="I26" s="11"/>
    </row>
    <row r="27" spans="1:11" x14ac:dyDescent="0.2">
      <c r="A27" s="10">
        <v>24</v>
      </c>
      <c r="B27" s="11">
        <v>-499408</v>
      </c>
      <c r="C27" s="11">
        <v>-498282</v>
      </c>
      <c r="D27" s="11"/>
      <c r="E27" s="11"/>
      <c r="F27" s="25">
        <f t="shared" si="0"/>
        <v>1126</v>
      </c>
      <c r="H27" s="10"/>
      <c r="I27" s="11"/>
      <c r="K27" s="25"/>
    </row>
    <row r="28" spans="1:11" x14ac:dyDescent="0.2">
      <c r="A28" s="10">
        <v>25</v>
      </c>
      <c r="B28" s="11">
        <v>-478849</v>
      </c>
      <c r="C28" s="11">
        <v>-472622</v>
      </c>
      <c r="D28" s="11"/>
      <c r="E28" s="11"/>
      <c r="F28" s="25">
        <f t="shared" si="0"/>
        <v>6227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-14756749</v>
      </c>
      <c r="C35" s="11">
        <f>SUM(C4:C34)</f>
        <v>-14773646</v>
      </c>
      <c r="D35" s="11">
        <f>SUM(D4:D34)</f>
        <v>0</v>
      </c>
      <c r="E35" s="11">
        <f>SUM(E4:E34)</f>
        <v>0</v>
      </c>
      <c r="F35" s="11">
        <f>SUM(F4:F34)</f>
        <v>-16897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37311</v>
      </c>
      <c r="D40" s="246"/>
      <c r="E40" s="246"/>
      <c r="F40" s="51">
        <f>+F38+F35</f>
        <v>77115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37311</v>
      </c>
      <c r="B46" s="32"/>
      <c r="C46" s="32"/>
      <c r="D46" s="472">
        <f>+F35*'by type_area'!G4</f>
        <v>-35483.700000000004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274784.3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7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-44980</v>
      </c>
      <c r="C22" s="11">
        <v>-6327</v>
      </c>
      <c r="D22" s="11"/>
      <c r="E22" s="11">
        <v>-37867</v>
      </c>
      <c r="F22" s="11"/>
      <c r="G22" s="11"/>
      <c r="H22" s="11">
        <f t="shared" si="0"/>
        <v>786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-79475</v>
      </c>
      <c r="C23" s="11">
        <v>217</v>
      </c>
      <c r="D23" s="11"/>
      <c r="E23" s="11">
        <v>-78867</v>
      </c>
      <c r="F23" s="11"/>
      <c r="G23" s="11"/>
      <c r="H23" s="11">
        <f t="shared" si="0"/>
        <v>825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>
        <v>-84585</v>
      </c>
      <c r="C24" s="11">
        <v>-39260</v>
      </c>
      <c r="D24" s="11"/>
      <c r="E24" s="11">
        <v>-44867</v>
      </c>
      <c r="F24" s="11"/>
      <c r="G24" s="11"/>
      <c r="H24" s="11">
        <f t="shared" si="0"/>
        <v>458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>
        <v>-38806</v>
      </c>
      <c r="C25" s="11">
        <v>-16110</v>
      </c>
      <c r="D25" s="11"/>
      <c r="E25" s="11">
        <v>-21903</v>
      </c>
      <c r="F25" s="11"/>
      <c r="G25" s="11"/>
      <c r="H25" s="11">
        <f t="shared" si="0"/>
        <v>793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>
        <v>-154970</v>
      </c>
      <c r="C26" s="11">
        <v>-60639</v>
      </c>
      <c r="D26" s="11"/>
      <c r="E26" s="11">
        <v>-92786</v>
      </c>
      <c r="F26" s="11"/>
      <c r="G26" s="11"/>
      <c r="H26" s="11">
        <f t="shared" si="0"/>
        <v>1545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-1255463</v>
      </c>
      <c r="C35" s="44">
        <f t="shared" si="3"/>
        <v>-306961</v>
      </c>
      <c r="D35" s="11">
        <f t="shared" si="3"/>
        <v>0</v>
      </c>
      <c r="E35" s="44">
        <f t="shared" si="3"/>
        <v>-941024</v>
      </c>
      <c r="F35" s="11">
        <f t="shared" si="3"/>
        <v>0</v>
      </c>
      <c r="G35" s="11">
        <f t="shared" si="3"/>
        <v>0</v>
      </c>
      <c r="H35" s="11">
        <f t="shared" si="3"/>
        <v>7478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15703.800000000001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37310</v>
      </c>
      <c r="F39" s="471"/>
      <c r="G39" s="471"/>
      <c r="H39" s="319">
        <f>+H38+H37</f>
        <v>25570.800000000003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37310</v>
      </c>
      <c r="E47" s="457">
        <f>+H35</f>
        <v>7478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39954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E29" sqref="E29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-353629</v>
      </c>
      <c r="E25" s="11">
        <v>-363113</v>
      </c>
      <c r="F25" s="11"/>
      <c r="G25" s="11"/>
      <c r="H25" s="24">
        <f t="shared" si="0"/>
        <v>-9484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-334931</v>
      </c>
      <c r="E26" s="11">
        <v>-331083</v>
      </c>
      <c r="F26" s="11"/>
      <c r="G26" s="11"/>
      <c r="H26" s="24">
        <f t="shared" si="0"/>
        <v>3848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-312703</v>
      </c>
      <c r="E27" s="11">
        <v>-312265</v>
      </c>
      <c r="F27" s="11"/>
      <c r="G27" s="11"/>
      <c r="H27" s="24">
        <f t="shared" si="0"/>
        <v>438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-337074</v>
      </c>
      <c r="E28" s="11">
        <v>-332515</v>
      </c>
      <c r="F28" s="11"/>
      <c r="G28" s="11"/>
      <c r="H28" s="24">
        <f t="shared" si="0"/>
        <v>4559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-7893926</v>
      </c>
      <c r="E36" s="11">
        <f t="shared" si="15"/>
        <v>-7971983</v>
      </c>
      <c r="F36" s="11">
        <f t="shared" si="15"/>
        <v>0</v>
      </c>
      <c r="G36" s="11">
        <f t="shared" si="15"/>
        <v>0</v>
      </c>
      <c r="H36" s="11">
        <f t="shared" si="15"/>
        <v>-78057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-78057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37311</v>
      </c>
      <c r="B39" s="2" t="s">
        <v>45</v>
      </c>
      <c r="C39" s="131">
        <f>+C38+C37</f>
        <v>64269</v>
      </c>
      <c r="D39" s="252"/>
      <c r="E39" s="131">
        <f>+E38+E37</f>
        <v>-63449</v>
      </c>
      <c r="F39" s="252"/>
      <c r="G39" s="131"/>
      <c r="H39" s="131">
        <f>+H38+H36</f>
        <v>820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37311</v>
      </c>
      <c r="B45" s="32"/>
      <c r="C45" s="47">
        <f>+C37*summary!G4</f>
        <v>0</v>
      </c>
      <c r="D45" s="205"/>
      <c r="E45" s="376">
        <f>+E37*summary!G3</f>
        <v>-163919.70000000001</v>
      </c>
      <c r="F45" s="47">
        <f>+E45+C45</f>
        <v>-163919.70000000001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C55" sqref="C5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37312</v>
      </c>
      <c r="I23" s="11">
        <f>+B39</f>
        <v>4627484</v>
      </c>
      <c r="J23" s="11">
        <f>+C39</f>
        <v>4661904</v>
      </c>
      <c r="K23" s="11">
        <f>+D39</f>
        <v>398629</v>
      </c>
      <c r="L23" s="11">
        <f>+E39</f>
        <v>400698</v>
      </c>
      <c r="M23" s="42">
        <f>+J23-I23+L23-K23</f>
        <v>36489</v>
      </c>
      <c r="N23" s="102">
        <f>+summary!G3</f>
        <v>2.1</v>
      </c>
      <c r="O23" s="496">
        <f>+N23*M23</f>
        <v>76626.900000000009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126289</v>
      </c>
      <c r="N24" s="102"/>
      <c r="O24" s="102">
        <f>SUM(O9:O23)</f>
        <v>644743.24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187508</v>
      </c>
      <c r="C27" s="11">
        <v>187342</v>
      </c>
      <c r="D27" s="11">
        <v>21188</v>
      </c>
      <c r="E27" s="11">
        <v>21555</v>
      </c>
      <c r="F27" s="11">
        <f t="shared" si="5"/>
        <v>201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187960</v>
      </c>
      <c r="C28" s="150">
        <v>187342</v>
      </c>
      <c r="D28" s="150">
        <v>21340</v>
      </c>
      <c r="E28" s="150">
        <v>21555</v>
      </c>
      <c r="F28" s="11">
        <f t="shared" si="5"/>
        <v>-403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185355</v>
      </c>
      <c r="C29" s="150">
        <v>187342</v>
      </c>
      <c r="D29" s="150">
        <v>20288</v>
      </c>
      <c r="E29" s="150">
        <v>21555</v>
      </c>
      <c r="F29" s="11">
        <f t="shared" si="5"/>
        <v>3254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188089</v>
      </c>
      <c r="C30" s="150">
        <v>187141</v>
      </c>
      <c r="D30" s="150">
        <v>20904</v>
      </c>
      <c r="E30" s="150">
        <v>21555</v>
      </c>
      <c r="F30" s="11">
        <f t="shared" si="5"/>
        <v>-297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184984</v>
      </c>
      <c r="C31" s="150">
        <v>187342</v>
      </c>
      <c r="D31" s="150">
        <v>20988</v>
      </c>
      <c r="E31" s="150">
        <v>21555</v>
      </c>
      <c r="F31" s="11">
        <f t="shared" si="5"/>
        <v>2925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190204</v>
      </c>
      <c r="C32" s="150">
        <v>190349</v>
      </c>
      <c r="D32" s="150">
        <v>19796</v>
      </c>
      <c r="E32" s="150">
        <v>18547</v>
      </c>
      <c r="F32" s="11">
        <f t="shared" si="5"/>
        <v>-1104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4627484</v>
      </c>
      <c r="C39" s="150">
        <f>SUM(C8:C38)</f>
        <v>4661904</v>
      </c>
      <c r="D39" s="150">
        <f>SUM(D8:D38)</f>
        <v>398629</v>
      </c>
      <c r="E39" s="150">
        <f>SUM(E8:E38)</f>
        <v>400698</v>
      </c>
      <c r="F39" s="11">
        <f t="shared" si="5"/>
        <v>36489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37312</v>
      </c>
      <c r="B45" s="32"/>
      <c r="C45" s="106"/>
      <c r="D45" s="106"/>
      <c r="E45" s="106"/>
      <c r="F45" s="24">
        <f>+F44+F39</f>
        <v>66561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37312</v>
      </c>
      <c r="B51" s="32"/>
      <c r="C51" s="32"/>
      <c r="D51" s="349">
        <f>+F39*summary!G3</f>
        <v>76626.900000000009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485880.9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7.2997836570964987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2002-02-26T22:48:52Z</cp:lastPrinted>
  <dcterms:created xsi:type="dcterms:W3CDTF">2000-03-28T16:52:23Z</dcterms:created>
  <dcterms:modified xsi:type="dcterms:W3CDTF">2014-09-03T14:23:23Z</dcterms:modified>
</cp:coreProperties>
</file>