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15" yWindow="-180" windowWidth="9570" windowHeight="11640" tabRatio="721"/>
  </bookViews>
  <sheets>
    <sheet name="TW 2001 &amp; 2002 DTH COMPARISON" sheetId="22" r:id="rId1"/>
    <sheet name="TW DTH past 12-Month" sheetId="41" r:id="rId2"/>
    <sheet name="TW Corrections" sheetId="18" r:id="rId3"/>
  </sheets>
  <definedNames>
    <definedName name="_xlnm.Print_Area" localSheetId="1">'TW DTH past 12-Month'!$A$1:$X$25</definedName>
  </definedNames>
  <calcPr calcId="152511"/>
</workbook>
</file>

<file path=xl/calcChain.xml><?xml version="1.0" encoding="utf-8"?>
<calcChain xmlns="http://schemas.openxmlformats.org/spreadsheetml/2006/main">
  <c r="B8" i="22" l="1"/>
  <c r="N8" i="22" s="1"/>
  <c r="B9" i="22"/>
  <c r="N9" i="22" s="1"/>
  <c r="B10" i="22"/>
  <c r="N10" i="22" s="1"/>
  <c r="C10" i="22"/>
  <c r="C11" i="22" s="1"/>
  <c r="C12" i="22" s="1"/>
  <c r="D10" i="22"/>
  <c r="D11" i="22" s="1"/>
  <c r="D12" i="22" s="1"/>
  <c r="E10" i="22"/>
  <c r="E11" i="22" s="1"/>
  <c r="E12" i="22" s="1"/>
  <c r="F10" i="22"/>
  <c r="G10" i="22"/>
  <c r="H10" i="22"/>
  <c r="H13" i="22" s="1"/>
  <c r="H14" i="22" s="1"/>
  <c r="I10" i="22"/>
  <c r="J10" i="22"/>
  <c r="J11" i="22" s="1"/>
  <c r="J12" i="22" s="1"/>
  <c r="K10" i="22"/>
  <c r="K11" i="22" s="1"/>
  <c r="K12" i="22" s="1"/>
  <c r="L10" i="22"/>
  <c r="L11" i="22" s="1"/>
  <c r="L12" i="22" s="1"/>
  <c r="M10" i="22"/>
  <c r="M11" i="22" s="1"/>
  <c r="M12" i="22" s="1"/>
  <c r="F11" i="22"/>
  <c r="F12" i="22" s="1"/>
  <c r="G11" i="22"/>
  <c r="G12" i="22" s="1"/>
  <c r="H11" i="22"/>
  <c r="H12" i="22" s="1"/>
  <c r="I11" i="22"/>
  <c r="I12" i="22"/>
  <c r="D13" i="22"/>
  <c r="D14" i="22" s="1"/>
  <c r="F13" i="22"/>
  <c r="F14" i="22" s="1"/>
  <c r="G13" i="22"/>
  <c r="I13" i="22"/>
  <c r="L13" i="22"/>
  <c r="L14" i="22" s="1"/>
  <c r="G14" i="22"/>
  <c r="I14" i="22"/>
  <c r="N16" i="22"/>
  <c r="N18" i="22"/>
  <c r="N19" i="22"/>
  <c r="N20" i="22"/>
  <c r="N21" i="22"/>
  <c r="B22" i="22"/>
  <c r="N22" i="22" s="1"/>
  <c r="C22" i="22"/>
  <c r="D22" i="22"/>
  <c r="D23" i="22" s="1"/>
  <c r="D24" i="22" s="1"/>
  <c r="E22" i="22"/>
  <c r="E23" i="22" s="1"/>
  <c r="E24" i="22" s="1"/>
  <c r="F22" i="22"/>
  <c r="F23" i="22" s="1"/>
  <c r="F24" i="22" s="1"/>
  <c r="G22" i="22"/>
  <c r="G23" i="22" s="1"/>
  <c r="G24" i="22" s="1"/>
  <c r="H22" i="22"/>
  <c r="I22" i="22"/>
  <c r="J22" i="22"/>
  <c r="K22" i="22"/>
  <c r="L22" i="22"/>
  <c r="L23" i="22" s="1"/>
  <c r="L24" i="22" s="1"/>
  <c r="M22" i="22"/>
  <c r="M23" i="22" s="1"/>
  <c r="M24" i="22" s="1"/>
  <c r="B23" i="22"/>
  <c r="B24" i="22" s="1"/>
  <c r="C23" i="22"/>
  <c r="H23" i="22"/>
  <c r="H24" i="22" s="1"/>
  <c r="I23" i="22"/>
  <c r="I24" i="22" s="1"/>
  <c r="J23" i="22"/>
  <c r="J24" i="22" s="1"/>
  <c r="K23" i="22"/>
  <c r="C24" i="22"/>
  <c r="K24" i="22"/>
  <c r="E31" i="22"/>
  <c r="F31" i="22"/>
  <c r="F34" i="22" s="1"/>
  <c r="F35" i="22" s="1"/>
  <c r="G31" i="22"/>
  <c r="H31" i="22"/>
  <c r="I31" i="22"/>
  <c r="I34" i="22" s="1"/>
  <c r="I35" i="22" s="1"/>
  <c r="J31" i="22"/>
  <c r="K31" i="22"/>
  <c r="K34" i="22" s="1"/>
  <c r="K35" i="22" s="1"/>
  <c r="L31" i="22"/>
  <c r="L36" i="22" s="1"/>
  <c r="L37" i="22" s="1"/>
  <c r="M31" i="22"/>
  <c r="E32" i="22"/>
  <c r="F32" i="22"/>
  <c r="F33" i="22" s="1"/>
  <c r="F36" i="22" s="1"/>
  <c r="F37" i="22" s="1"/>
  <c r="G32" i="22"/>
  <c r="G33" i="22" s="1"/>
  <c r="H32" i="22"/>
  <c r="H33" i="22" s="1"/>
  <c r="I32" i="22"/>
  <c r="I33" i="22" s="1"/>
  <c r="J32" i="22"/>
  <c r="K32" i="22"/>
  <c r="L32" i="22"/>
  <c r="M32" i="22"/>
  <c r="B33" i="22"/>
  <c r="C33" i="22"/>
  <c r="C34" i="22" s="1"/>
  <c r="C35" i="22" s="1"/>
  <c r="D33" i="22"/>
  <c r="D34" i="22" s="1"/>
  <c r="D35" i="22" s="1"/>
  <c r="E33" i="22"/>
  <c r="J33" i="22"/>
  <c r="J34" i="22" s="1"/>
  <c r="J35" i="22" s="1"/>
  <c r="K33" i="22"/>
  <c r="L33" i="22"/>
  <c r="L34" i="22" s="1"/>
  <c r="L35" i="22" s="1"/>
  <c r="M33" i="22"/>
  <c r="E34" i="22"/>
  <c r="E35" i="22" s="1"/>
  <c r="M34" i="22"/>
  <c r="M35" i="22" s="1"/>
  <c r="C36" i="22"/>
  <c r="C37" i="22" s="1"/>
  <c r="E36" i="22"/>
  <c r="E37" i="22" s="1"/>
  <c r="K36" i="22"/>
  <c r="K37" i="22" s="1"/>
  <c r="M36" i="22"/>
  <c r="M37" i="22" s="1"/>
  <c r="N39" i="22"/>
  <c r="N41" i="22"/>
  <c r="N42" i="22"/>
  <c r="N43" i="22"/>
  <c r="N44" i="22"/>
  <c r="B45" i="22"/>
  <c r="C45" i="22"/>
  <c r="C46" i="22" s="1"/>
  <c r="D45" i="22"/>
  <c r="D46" i="22" s="1"/>
  <c r="D47" i="22" s="1"/>
  <c r="E45" i="22"/>
  <c r="E46" i="22" s="1"/>
  <c r="E47" i="22" s="1"/>
  <c r="F45" i="22"/>
  <c r="F46" i="22" s="1"/>
  <c r="F47" i="22" s="1"/>
  <c r="G45" i="22"/>
  <c r="H45" i="22"/>
  <c r="I45" i="22"/>
  <c r="J45" i="22"/>
  <c r="K45" i="22"/>
  <c r="K46" i="22" s="1"/>
  <c r="K47" i="22" s="1"/>
  <c r="L45" i="22"/>
  <c r="L46" i="22" s="1"/>
  <c r="L47" i="22" s="1"/>
  <c r="M45" i="22"/>
  <c r="M46" i="22" s="1"/>
  <c r="M47" i="22" s="1"/>
  <c r="N45" i="22"/>
  <c r="B46" i="22"/>
  <c r="G46" i="22"/>
  <c r="G47" i="22" s="1"/>
  <c r="H46" i="22"/>
  <c r="H47" i="22" s="1"/>
  <c r="I46" i="22"/>
  <c r="I47" i="22" s="1"/>
  <c r="J46" i="22"/>
  <c r="B47" i="22"/>
  <c r="J47" i="22"/>
  <c r="G3" i="18"/>
  <c r="J3" i="18"/>
  <c r="G4" i="18"/>
  <c r="J4" i="18"/>
  <c r="I1" i="41"/>
  <c r="N8" i="41"/>
  <c r="O8" i="41"/>
  <c r="O11" i="41" s="1"/>
  <c r="O12" i="41" s="1"/>
  <c r="P8" i="41"/>
  <c r="Q8" i="41"/>
  <c r="R8" i="41"/>
  <c r="S8" i="41"/>
  <c r="S13" i="41" s="1"/>
  <c r="S14" i="41" s="1"/>
  <c r="T8" i="41"/>
  <c r="T13" i="41" s="1"/>
  <c r="T14" i="41" s="1"/>
  <c r="U8" i="41"/>
  <c r="V8" i="41"/>
  <c r="W8" i="41"/>
  <c r="W11" i="41" s="1"/>
  <c r="W12" i="41" s="1"/>
  <c r="N9" i="41"/>
  <c r="N10" i="41" s="1"/>
  <c r="O9" i="41"/>
  <c r="P9" i="41"/>
  <c r="P10" i="41" s="1"/>
  <c r="Q9" i="41"/>
  <c r="X9" i="41" s="1"/>
  <c r="R9" i="41"/>
  <c r="S9" i="41"/>
  <c r="S10" i="41" s="1"/>
  <c r="S11" i="41" s="1"/>
  <c r="S12" i="41" s="1"/>
  <c r="T9" i="41"/>
  <c r="U9" i="41"/>
  <c r="V9" i="41"/>
  <c r="V10" i="41" s="1"/>
  <c r="W9" i="41"/>
  <c r="B10" i="41"/>
  <c r="B13" i="41" s="1"/>
  <c r="B14" i="41" s="1"/>
  <c r="C10" i="41"/>
  <c r="C13" i="41" s="1"/>
  <c r="C14" i="41" s="1"/>
  <c r="D10" i="41"/>
  <c r="D13" i="41" s="1"/>
  <c r="D14" i="41" s="1"/>
  <c r="E10" i="41"/>
  <c r="F10" i="41"/>
  <c r="G10" i="41"/>
  <c r="G11" i="41" s="1"/>
  <c r="G12" i="41" s="1"/>
  <c r="H10" i="41"/>
  <c r="I10" i="41"/>
  <c r="I13" i="41" s="1"/>
  <c r="I14" i="41" s="1"/>
  <c r="J10" i="41"/>
  <c r="J11" i="41" s="1"/>
  <c r="J12" i="41" s="1"/>
  <c r="K10" i="41"/>
  <c r="K13" i="41" s="1"/>
  <c r="K14" i="41" s="1"/>
  <c r="L10" i="41"/>
  <c r="M10" i="41"/>
  <c r="O10" i="41"/>
  <c r="R10" i="41"/>
  <c r="R13" i="41" s="1"/>
  <c r="R14" i="41" s="1"/>
  <c r="T10" i="41"/>
  <c r="U10" i="41"/>
  <c r="W10" i="41"/>
  <c r="C11" i="41"/>
  <c r="C12" i="41" s="1"/>
  <c r="E11" i="41"/>
  <c r="E12" i="41" s="1"/>
  <c r="F11" i="41"/>
  <c r="H11" i="41"/>
  <c r="H12" i="41" s="1"/>
  <c r="K11" i="41"/>
  <c r="K12" i="41" s="1"/>
  <c r="M11" i="41"/>
  <c r="M12" i="41" s="1"/>
  <c r="U11" i="41"/>
  <c r="U12" i="41" s="1"/>
  <c r="F12" i="41"/>
  <c r="E13" i="41"/>
  <c r="E14" i="41" s="1"/>
  <c r="F13" i="41"/>
  <c r="G13" i="41"/>
  <c r="G14" i="41" s="1"/>
  <c r="H13" i="41"/>
  <c r="M13" i="41"/>
  <c r="M14" i="41" s="1"/>
  <c r="O13" i="41"/>
  <c r="O14" i="41" s="1"/>
  <c r="U13" i="41"/>
  <c r="U14" i="41" s="1"/>
  <c r="W13" i="41"/>
  <c r="W14" i="41" s="1"/>
  <c r="F14" i="41"/>
  <c r="H14" i="41"/>
  <c r="X16" i="41"/>
  <c r="X18" i="41"/>
  <c r="X19" i="41"/>
  <c r="X20" i="41"/>
  <c r="X21" i="41"/>
  <c r="B22" i="41"/>
  <c r="B23" i="41" s="1"/>
  <c r="B24" i="41" s="1"/>
  <c r="C22" i="41"/>
  <c r="D22" i="41"/>
  <c r="D23" i="41" s="1"/>
  <c r="D24" i="41" s="1"/>
  <c r="E22" i="41"/>
  <c r="F22" i="41"/>
  <c r="G22" i="41"/>
  <c r="G23" i="41" s="1"/>
  <c r="G24" i="41" s="1"/>
  <c r="H22" i="41"/>
  <c r="I22" i="41"/>
  <c r="J22" i="41"/>
  <c r="J23" i="41" s="1"/>
  <c r="J24" i="41" s="1"/>
  <c r="K22" i="41"/>
  <c r="L22" i="41"/>
  <c r="L23" i="41" s="1"/>
  <c r="M22" i="41"/>
  <c r="M23" i="41" s="1"/>
  <c r="M24" i="41" s="1"/>
  <c r="N22" i="41"/>
  <c r="O22" i="41"/>
  <c r="P22" i="41"/>
  <c r="P23" i="41" s="1"/>
  <c r="P24" i="41" s="1"/>
  <c r="Q22" i="41"/>
  <c r="Q23" i="41" s="1"/>
  <c r="Q24" i="41" s="1"/>
  <c r="R22" i="41"/>
  <c r="R23" i="41" s="1"/>
  <c r="R24" i="41" s="1"/>
  <c r="S22" i="41"/>
  <c r="T22" i="41"/>
  <c r="T23" i="41" s="1"/>
  <c r="T24" i="41" s="1"/>
  <c r="U22" i="41"/>
  <c r="U23" i="41" s="1"/>
  <c r="U24" i="41" s="1"/>
  <c r="V22" i="41"/>
  <c r="W22" i="41"/>
  <c r="C23" i="41"/>
  <c r="C24" i="41" s="1"/>
  <c r="E23" i="41"/>
  <c r="E24" i="41" s="1"/>
  <c r="F23" i="41"/>
  <c r="F24" i="41" s="1"/>
  <c r="H23" i="41"/>
  <c r="K23" i="41"/>
  <c r="K24" i="41" s="1"/>
  <c r="N23" i="41"/>
  <c r="N24" i="41" s="1"/>
  <c r="O23" i="41"/>
  <c r="S23" i="41"/>
  <c r="S24" i="41" s="1"/>
  <c r="V23" i="41"/>
  <c r="V24" i="41" s="1"/>
  <c r="W23" i="41"/>
  <c r="H24" i="41"/>
  <c r="I24" i="41"/>
  <c r="O24" i="41"/>
  <c r="W24" i="41"/>
  <c r="G36" i="22" l="1"/>
  <c r="G37" i="22" s="1"/>
  <c r="G34" i="22"/>
  <c r="G35" i="22" s="1"/>
  <c r="H34" i="22"/>
  <c r="H35" i="22" s="1"/>
  <c r="P13" i="41"/>
  <c r="P14" i="41" s="1"/>
  <c r="P11" i="41"/>
  <c r="P12" i="41" s="1"/>
  <c r="N33" i="22"/>
  <c r="X23" i="41"/>
  <c r="X24" i="41" s="1"/>
  <c r="L24" i="41"/>
  <c r="V11" i="41"/>
  <c r="V12" i="41" s="1"/>
  <c r="N11" i="41"/>
  <c r="N12" i="41" s="1"/>
  <c r="N46" i="22"/>
  <c r="N47" i="22" s="1"/>
  <c r="C47" i="22"/>
  <c r="V13" i="41"/>
  <c r="V14" i="41" s="1"/>
  <c r="N13" i="41"/>
  <c r="N14" i="41" s="1"/>
  <c r="T11" i="41"/>
  <c r="T12" i="41" s="1"/>
  <c r="L11" i="41"/>
  <c r="D11" i="41"/>
  <c r="D12" i="41" s="1"/>
  <c r="D36" i="22"/>
  <c r="D37" i="22" s="1"/>
  <c r="M13" i="22"/>
  <c r="M14" i="22" s="1"/>
  <c r="E13" i="22"/>
  <c r="E14" i="22" s="1"/>
  <c r="L13" i="41"/>
  <c r="B11" i="41"/>
  <c r="B12" i="41" s="1"/>
  <c r="J36" i="22"/>
  <c r="J37" i="22" s="1"/>
  <c r="N32" i="22"/>
  <c r="K13" i="22"/>
  <c r="K14" i="22" s="1"/>
  <c r="C13" i="22"/>
  <c r="C14" i="22" s="1"/>
  <c r="X22" i="41"/>
  <c r="I11" i="41"/>
  <c r="I12" i="41" s="1"/>
  <c r="I36" i="22"/>
  <c r="I37" i="22" s="1"/>
  <c r="N23" i="22"/>
  <c r="N24" i="22" s="1"/>
  <c r="J13" i="22"/>
  <c r="J14" i="22" s="1"/>
  <c r="B13" i="22"/>
  <c r="R11" i="41"/>
  <c r="R12" i="41" s="1"/>
  <c r="Q10" i="41"/>
  <c r="Q11" i="41" s="1"/>
  <c r="Q12" i="41" s="1"/>
  <c r="J13" i="41"/>
  <c r="J14" i="41" s="1"/>
  <c r="H36" i="22"/>
  <c r="H37" i="22" s="1"/>
  <c r="B34" i="22"/>
  <c r="N31" i="22"/>
  <c r="B36" i="22"/>
  <c r="X8" i="41"/>
  <c r="B11" i="22"/>
  <c r="B14" i="22" l="1"/>
  <c r="N13" i="22"/>
  <c r="N14" i="22" s="1"/>
  <c r="N36" i="22"/>
  <c r="N37" i="22" s="1"/>
  <c r="B37" i="22"/>
  <c r="X11" i="41"/>
  <c r="X12" i="41" s="1"/>
  <c r="L12" i="41"/>
  <c r="Q13" i="41"/>
  <c r="Q14" i="41" s="1"/>
  <c r="X10" i="41"/>
  <c r="N34" i="22"/>
  <c r="N35" i="22" s="1"/>
  <c r="B35" i="22"/>
  <c r="X13" i="41"/>
  <c r="X14" i="41" s="1"/>
  <c r="L14" i="41"/>
  <c r="N11" i="22"/>
  <c r="N12" i="22" s="1"/>
  <c r="B12" i="22"/>
</calcChain>
</file>

<file path=xl/sharedStrings.xml><?xml version="1.0" encoding="utf-8"?>
<sst xmlns="http://schemas.openxmlformats.org/spreadsheetml/2006/main" count="133" uniqueCount="53">
  <si>
    <t xml:space="preserve"> </t>
  </si>
  <si>
    <t xml:space="preserve">             Revised: 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</si>
  <si>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</si>
  <si>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</si>
  <si>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</si>
  <si>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</si>
  <si>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</si>
  <si>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</si>
  <si>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</si>
  <si>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</si>
  <si>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</si>
  <si>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</si>
  <si>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</si>
  <si>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</si>
  <si>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</si>
  <si>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</si>
  <si>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</si>
  <si>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</si>
  <si>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</si>
  <si>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</si>
  <si>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</si>
  <si>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</si>
  <si>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</si>
  <si>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</si>
  <si>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</si>
  <si>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</si>
  <si>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</si>
  <si>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</si>
  <si>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Calculation of System Gain or (Loss) - in Dth</t>
  </si>
  <si>
    <t>MCF @ 14.73</t>
  </si>
  <si>
    <t>MMBTU @ 14.73</t>
  </si>
  <si>
    <t>Corr</t>
  </si>
  <si>
    <t>Reason for Correction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</si>
  <si>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</si>
  <si>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</si>
  <si>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</si>
  <si>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</si>
  <si>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</si>
  <si>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</si>
  <si>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</si>
  <si>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</si>
  <si>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</si>
  <si>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</si>
  <si>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</si>
  <si>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Transwestern Pipeline</t>
  </si>
  <si>
    <t>Starting Imbalance Dth</t>
  </si>
  <si>
    <t>JANAURY</t>
  </si>
  <si>
    <t>Station ID</t>
  </si>
  <si>
    <t xml:space="preserve">               R. Panzer</t>
  </si>
  <si>
    <t>D</t>
  </si>
  <si>
    <t>OASIS BLOCK 16-DEL</t>
  </si>
  <si>
    <t>V. METZLER</t>
  </si>
  <si>
    <t>MNV-O MISSING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</si>
</sst>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sz val="8"/>
      <name val="Arial Narro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2" fillId="0" borderId="0" xfId="1" applyNumberFormat="1" applyFont="1"/>
    <xf numFmtId="0" fontId="2" fillId="0" borderId="0" xfId="0" applyFont="1"/>
    <xf numFmtId="38" fontId="3" fillId="0" borderId="0" xfId="0" applyNumberFormat="1" applyFont="1" applyAlignment="1">
      <alignment horizontal="left" vertical="center"/>
    </xf>
    <xf numFmtId="38" fontId="3" fillId="0" borderId="0" xfId="0" applyNumberFormat="1" applyFont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 vertical="center"/>
    </xf>
    <xf numFmtId="38" fontId="6" fillId="0" borderId="0" xfId="0" applyNumberFormat="1" applyFont="1" applyAlignment="1">
      <alignment horizontal="left" vertical="center"/>
    </xf>
    <xf numFmtId="37" fontId="3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38" fontId="3" fillId="0" borderId="0" xfId="0" applyNumberFormat="1" applyFont="1" applyAlignment="1" applyProtection="1">
      <alignment horizontal="center" vertical="center"/>
    </xf>
    <xf numFmtId="38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8" fontId="8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17" fontId="7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0" workbookViewId="0"/>
  </sheetViews>
  <sheetFormatPr defaultRowHeight="12.75" x14ac:dyDescent="0.2"/>
  <cols>
    <col min="14" max="14" width="10.140625" customWidth="1"/>
  </cols>
  <sheetData>
    <row r="1" spans="1:14" x14ac:dyDescent="0.2">
      <c r="A1" s="19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19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19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1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3.5" x14ac:dyDescent="0.25">
      <c r="A5" s="19"/>
      <c r="B5" s="7" t="s">
        <v>46</v>
      </c>
      <c r="C5" s="7" t="s">
        <v>13</v>
      </c>
      <c r="D5" s="7" t="s">
        <v>14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8"/>
    </row>
    <row r="6" spans="1:14" ht="13.5" x14ac:dyDescent="0.25">
      <c r="A6" s="19"/>
      <c r="B6" s="7">
        <v>2002</v>
      </c>
      <c r="C6" s="7">
        <v>2002</v>
      </c>
      <c r="D6" s="7">
        <v>2002</v>
      </c>
      <c r="E6" s="7">
        <v>2002</v>
      </c>
      <c r="F6" s="7">
        <v>2002</v>
      </c>
      <c r="G6" s="7">
        <v>2002</v>
      </c>
      <c r="H6" s="7">
        <v>2002</v>
      </c>
      <c r="I6" s="7">
        <v>2002</v>
      </c>
      <c r="J6" s="7">
        <v>2002</v>
      </c>
      <c r="K6" s="7">
        <v>2002</v>
      </c>
      <c r="L6" s="7">
        <v>2002</v>
      </c>
      <c r="M6" s="7">
        <v>2002</v>
      </c>
      <c r="N6" s="8" t="s">
        <v>16</v>
      </c>
    </row>
    <row r="7" spans="1:14" x14ac:dyDescent="0.2">
      <c r="A7" s="1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</row>
    <row r="8" spans="1:14" ht="13.5" x14ac:dyDescent="0.25">
      <c r="A8" s="19" t="s">
        <v>17</v>
      </c>
      <c r="B8" s="10">
        <f>55561689+35107682</f>
        <v>90669371</v>
      </c>
      <c r="C8" s="10"/>
      <c r="D8" s="10"/>
      <c r="E8" s="4"/>
      <c r="F8" s="4"/>
      <c r="G8" s="4"/>
      <c r="H8" s="4"/>
      <c r="I8" s="4"/>
      <c r="J8" s="4"/>
      <c r="K8" s="4"/>
      <c r="L8" s="10"/>
      <c r="M8" s="10"/>
      <c r="N8" s="4">
        <f>SUM(B8:M8)</f>
        <v>90669371</v>
      </c>
    </row>
    <row r="9" spans="1:14" ht="13.5" x14ac:dyDescent="0.25">
      <c r="A9" s="19" t="s">
        <v>18</v>
      </c>
      <c r="B9" s="10">
        <f>55740249+35107682</f>
        <v>90847931</v>
      </c>
      <c r="C9" s="10"/>
      <c r="D9" s="10"/>
      <c r="E9" s="4"/>
      <c r="F9" s="4"/>
      <c r="G9" s="4"/>
      <c r="H9" s="4"/>
      <c r="I9" s="4"/>
      <c r="J9" s="4"/>
      <c r="K9" s="4"/>
      <c r="L9" s="10"/>
      <c r="M9" s="10"/>
      <c r="N9" s="4">
        <f>SUM(B9:M9)</f>
        <v>90847931</v>
      </c>
    </row>
    <row r="10" spans="1:14" x14ac:dyDescent="0.2">
      <c r="A10" s="19" t="s">
        <v>19</v>
      </c>
      <c r="B10" s="4">
        <f>+B9+B19+B20+B21</f>
        <v>90847931</v>
      </c>
      <c r="C10" s="4">
        <f>+C9+C19+C20+C21</f>
        <v>0</v>
      </c>
      <c r="D10" s="4">
        <f>+D9+D19+D20+D21</f>
        <v>0</v>
      </c>
      <c r="E10" s="4">
        <f>+E9+E19+E20+E21</f>
        <v>0</v>
      </c>
      <c r="F10" s="4">
        <f>+F9+F19+F20+F21</f>
        <v>0</v>
      </c>
      <c r="G10" s="4">
        <f t="shared" ref="G10:M10" si="0">+G9+G19+G20+G21</f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4">
        <f>SUM(B10:M10)</f>
        <v>90847931</v>
      </c>
    </row>
    <row r="11" spans="1:14" x14ac:dyDescent="0.2">
      <c r="A11" s="19" t="s">
        <v>20</v>
      </c>
      <c r="B11" s="4">
        <f>-B8+B10</f>
        <v>178560</v>
      </c>
      <c r="C11" s="4">
        <f>-C8+C10</f>
        <v>0</v>
      </c>
      <c r="D11" s="4">
        <f>-D8+D10</f>
        <v>0</v>
      </c>
      <c r="E11" s="4">
        <f>-E8+E10</f>
        <v>0</v>
      </c>
      <c r="F11" s="4">
        <f>-F8+F10</f>
        <v>0</v>
      </c>
      <c r="G11" s="4">
        <f t="shared" ref="G11:M11" si="1">-G8+G10</f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>SUM(B11:M11)</f>
        <v>178560</v>
      </c>
    </row>
    <row r="12" spans="1:14" x14ac:dyDescent="0.2">
      <c r="A12" s="20" t="s">
        <v>21</v>
      </c>
      <c r="B12" s="12">
        <f>2*B11/(B8+B10)</f>
        <v>1.9674157563227775E-3</v>
      </c>
      <c r="C12" s="12" t="e">
        <f>2*C11/(C8+C10)</f>
        <v>#DIV/0!</v>
      </c>
      <c r="D12" s="12" t="e">
        <f>2*D11/(D8+D10)</f>
        <v>#DIV/0!</v>
      </c>
      <c r="E12" s="12" t="e">
        <f t="shared" ref="E12:M12" si="2">E11/E8</f>
        <v>#DIV/0!</v>
      </c>
      <c r="F12" s="12" t="e">
        <f t="shared" si="2"/>
        <v>#DIV/0!</v>
      </c>
      <c r="G12" s="12" t="e">
        <f t="shared" si="2"/>
        <v>#DIV/0!</v>
      </c>
      <c r="H12" s="12" t="e">
        <f t="shared" si="2"/>
        <v>#DIV/0!</v>
      </c>
      <c r="I12" s="12" t="e">
        <f t="shared" si="2"/>
        <v>#DIV/0!</v>
      </c>
      <c r="J12" s="12" t="e">
        <f t="shared" si="2"/>
        <v>#DIV/0!</v>
      </c>
      <c r="K12" s="12" t="e">
        <f t="shared" si="2"/>
        <v>#DIV/0!</v>
      </c>
      <c r="L12" s="12" t="e">
        <f t="shared" si="2"/>
        <v>#DIV/0!</v>
      </c>
      <c r="M12" s="12" t="e">
        <f t="shared" si="2"/>
        <v>#DIV/0!</v>
      </c>
      <c r="N12" s="12">
        <f>2*N11/(N8+N10)</f>
        <v>1.9674157563227775E-3</v>
      </c>
    </row>
    <row r="13" spans="1:14" x14ac:dyDescent="0.2">
      <c r="A13" s="19" t="s">
        <v>22</v>
      </c>
      <c r="B13" s="4">
        <f t="shared" ref="B13:J13" si="3">-B8+B10</f>
        <v>178560</v>
      </c>
      <c r="C13" s="4">
        <f t="shared" si="3"/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 t="shared" si="3"/>
        <v>0</v>
      </c>
      <c r="J13" s="4">
        <f t="shared" si="3"/>
        <v>0</v>
      </c>
      <c r="K13" s="4">
        <f>-K8+K10</f>
        <v>0</v>
      </c>
      <c r="L13" s="4">
        <f>-L8+L10</f>
        <v>0</v>
      </c>
      <c r="M13" s="4">
        <f>-M8+M10</f>
        <v>0</v>
      </c>
      <c r="N13" s="4">
        <f>SUM(B13:M13)</f>
        <v>178560</v>
      </c>
    </row>
    <row r="14" spans="1:14" x14ac:dyDescent="0.2">
      <c r="A14" s="20" t="s">
        <v>21</v>
      </c>
      <c r="B14" s="12">
        <f>2*B13/(B8+B10)</f>
        <v>1.9674157563227775E-3</v>
      </c>
      <c r="C14" s="12" t="e">
        <f>2*C13/(C8+C10)</f>
        <v>#DIV/0!</v>
      </c>
      <c r="D14" s="12" t="e">
        <f>2*D13/(D8+D10)</f>
        <v>#DIV/0!</v>
      </c>
      <c r="E14" s="12" t="e">
        <f t="shared" ref="E14:M14" si="4">E13/E8</f>
        <v>#DIV/0!</v>
      </c>
      <c r="F14" s="12" t="e">
        <f t="shared" si="4"/>
        <v>#DIV/0!</v>
      </c>
      <c r="G14" s="12" t="e">
        <f t="shared" si="4"/>
        <v>#DIV/0!</v>
      </c>
      <c r="H14" s="12" t="e">
        <f t="shared" si="4"/>
        <v>#DIV/0!</v>
      </c>
      <c r="I14" s="12" t="e">
        <f t="shared" si="4"/>
        <v>#DIV/0!</v>
      </c>
      <c r="J14" s="12" t="e">
        <f t="shared" si="4"/>
        <v>#DIV/0!</v>
      </c>
      <c r="K14" s="12" t="e">
        <f t="shared" si="4"/>
        <v>#DIV/0!</v>
      </c>
      <c r="L14" s="12" t="e">
        <f t="shared" si="4"/>
        <v>#DIV/0!</v>
      </c>
      <c r="M14" s="12" t="e">
        <f t="shared" si="4"/>
        <v>#DIV/0!</v>
      </c>
      <c r="N14" s="12">
        <f>2*N13/(N8+N10)</f>
        <v>1.9674157563227775E-3</v>
      </c>
    </row>
    <row r="15" spans="1:14" ht="13.5" x14ac:dyDescent="0.25">
      <c r="A15" s="19"/>
      <c r="B15" s="5"/>
      <c r="C15" s="5"/>
      <c r="D15" s="5"/>
      <c r="E15" s="4"/>
      <c r="F15" s="4"/>
      <c r="G15" s="4"/>
      <c r="H15" s="4"/>
      <c r="I15" s="4"/>
      <c r="J15" s="4"/>
      <c r="K15" s="4"/>
      <c r="L15" s="16"/>
      <c r="M15" s="16"/>
      <c r="N15" s="4" t="s">
        <v>0</v>
      </c>
    </row>
    <row r="16" spans="1:14" x14ac:dyDescent="0.2">
      <c r="A16" s="19" t="s">
        <v>23</v>
      </c>
      <c r="B16" s="4">
        <v>55561689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SUM(B16:M16)</f>
        <v>55561689</v>
      </c>
    </row>
    <row r="17" spans="1:14" x14ac:dyDescent="0.2">
      <c r="A17" s="1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0</v>
      </c>
    </row>
    <row r="18" spans="1:14" x14ac:dyDescent="0.2">
      <c r="A18" s="19" t="s">
        <v>24</v>
      </c>
      <c r="B18" s="4">
        <v>55740249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 t="shared" ref="N18:N23" si="5">SUM(B18:M18)</f>
        <v>55740249</v>
      </c>
    </row>
    <row r="19" spans="1:14" x14ac:dyDescent="0.2">
      <c r="A19" s="19" t="s">
        <v>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f t="shared" si="5"/>
        <v>0</v>
      </c>
    </row>
    <row r="20" spans="1:14" x14ac:dyDescent="0.2">
      <c r="A20" s="19" t="s">
        <v>26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f t="shared" si="5"/>
        <v>0</v>
      </c>
    </row>
    <row r="21" spans="1:14" x14ac:dyDescent="0.2">
      <c r="A21" s="19" t="s">
        <v>27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f t="shared" si="5"/>
        <v>0</v>
      </c>
    </row>
    <row r="22" spans="1:14" x14ac:dyDescent="0.2">
      <c r="A22" s="19" t="s">
        <v>19</v>
      </c>
      <c r="B22" s="4">
        <f t="shared" ref="B22:J22" si="6">SUM(B18:B21)</f>
        <v>55740249</v>
      </c>
      <c r="C22" s="4">
        <f t="shared" si="6"/>
        <v>0</v>
      </c>
      <c r="D22" s="4">
        <f t="shared" si="6"/>
        <v>0</v>
      </c>
      <c r="E22" s="4">
        <f t="shared" si="6"/>
        <v>0</v>
      </c>
      <c r="F22" s="4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>SUM(K18:K21)</f>
        <v>0</v>
      </c>
      <c r="L22" s="4">
        <f>SUM(L18:L21)</f>
        <v>0</v>
      </c>
      <c r="M22" s="4">
        <f>SUM(M18:M21)</f>
        <v>0</v>
      </c>
      <c r="N22" s="4">
        <f t="shared" si="5"/>
        <v>55740249</v>
      </c>
    </row>
    <row r="23" spans="1:14" x14ac:dyDescent="0.2">
      <c r="A23" s="19" t="s">
        <v>45</v>
      </c>
      <c r="B23" s="4">
        <f>-B16+B22</f>
        <v>178560</v>
      </c>
      <c r="C23" s="4">
        <f>-C16+C22</f>
        <v>0</v>
      </c>
      <c r="D23" s="4">
        <f>-D16+D22</f>
        <v>0</v>
      </c>
      <c r="E23" s="4">
        <f>-E16+E22</f>
        <v>0</v>
      </c>
      <c r="F23" s="4">
        <f>-F16+F22</f>
        <v>0</v>
      </c>
      <c r="G23" s="4">
        <f t="shared" ref="G23:M23" si="7">-G16+G22</f>
        <v>0</v>
      </c>
      <c r="H23" s="4">
        <f t="shared" si="7"/>
        <v>0</v>
      </c>
      <c r="I23" s="4">
        <f t="shared" si="7"/>
        <v>0</v>
      </c>
      <c r="J23" s="4">
        <f t="shared" si="7"/>
        <v>0</v>
      </c>
      <c r="K23" s="4">
        <f t="shared" si="7"/>
        <v>0</v>
      </c>
      <c r="L23" s="4">
        <f t="shared" si="7"/>
        <v>0</v>
      </c>
      <c r="M23" s="4">
        <f t="shared" si="7"/>
        <v>0</v>
      </c>
      <c r="N23" s="4">
        <f t="shared" si="5"/>
        <v>178560</v>
      </c>
    </row>
    <row r="24" spans="1:14" x14ac:dyDescent="0.2">
      <c r="A24" s="20" t="s">
        <v>21</v>
      </c>
      <c r="B24" s="12">
        <f t="shared" ref="B24:M24" si="8">B23/B16</f>
        <v>3.2137251983106563E-3</v>
      </c>
      <c r="C24" s="12" t="e">
        <f t="shared" si="8"/>
        <v>#DIV/0!</v>
      </c>
      <c r="D24" s="12" t="e">
        <f t="shared" si="8"/>
        <v>#DIV/0!</v>
      </c>
      <c r="E24" s="12" t="e">
        <f t="shared" si="8"/>
        <v>#DIV/0!</v>
      </c>
      <c r="F24" s="12" t="e">
        <f t="shared" si="8"/>
        <v>#DIV/0!</v>
      </c>
      <c r="G24" s="12" t="e">
        <f t="shared" si="8"/>
        <v>#DIV/0!</v>
      </c>
      <c r="H24" s="12" t="e">
        <f t="shared" si="8"/>
        <v>#DIV/0!</v>
      </c>
      <c r="I24" s="12" t="e">
        <f t="shared" si="8"/>
        <v>#DIV/0!</v>
      </c>
      <c r="J24" s="12" t="e">
        <f t="shared" si="8"/>
        <v>#DIV/0!</v>
      </c>
      <c r="K24" s="12" t="e">
        <f t="shared" si="8"/>
        <v>#DIV/0!</v>
      </c>
      <c r="L24" s="12" t="e">
        <f t="shared" si="8"/>
        <v>#DIV/0!</v>
      </c>
      <c r="M24" s="12" t="e">
        <f t="shared" si="8"/>
        <v>#DIV/0!</v>
      </c>
      <c r="N24" s="12">
        <f>N23/N16</f>
        <v>3.2137251983106563E-3</v>
      </c>
    </row>
    <row r="28" spans="1:14" ht="13.5" x14ac:dyDescent="0.25">
      <c r="A28" s="19"/>
      <c r="B28" s="7" t="s">
        <v>46</v>
      </c>
      <c r="C28" s="7" t="s">
        <v>13</v>
      </c>
      <c r="D28" s="7" t="s">
        <v>14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J28" s="7" t="s">
        <v>8</v>
      </c>
      <c r="K28" s="7" t="s">
        <v>9</v>
      </c>
      <c r="L28" s="7" t="s">
        <v>10</v>
      </c>
      <c r="M28" s="7" t="s">
        <v>11</v>
      </c>
      <c r="N28" s="8"/>
    </row>
    <row r="29" spans="1:14" ht="13.5" x14ac:dyDescent="0.25">
      <c r="A29" s="19"/>
      <c r="B29" s="7">
        <v>2001</v>
      </c>
      <c r="C29" s="7">
        <v>2001</v>
      </c>
      <c r="D29" s="7">
        <v>2001</v>
      </c>
      <c r="E29" s="7">
        <v>2001</v>
      </c>
      <c r="F29" s="7">
        <v>2001</v>
      </c>
      <c r="G29" s="7">
        <v>2001</v>
      </c>
      <c r="H29" s="7">
        <v>2001</v>
      </c>
      <c r="I29" s="7">
        <v>2001</v>
      </c>
      <c r="J29" s="7">
        <v>2001</v>
      </c>
      <c r="K29" s="7">
        <v>2001</v>
      </c>
      <c r="L29" s="7">
        <v>2001</v>
      </c>
      <c r="M29" s="7">
        <v>2001</v>
      </c>
      <c r="N29" s="8" t="s">
        <v>16</v>
      </c>
    </row>
    <row r="30" spans="1:14" x14ac:dyDescent="0.2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</row>
    <row r="31" spans="1:14" ht="13.5" x14ac:dyDescent="0.25">
      <c r="A31" s="19" t="s">
        <v>17</v>
      </c>
      <c r="B31" s="10">
        <v>103863226</v>
      </c>
      <c r="C31" s="10">
        <v>94543519</v>
      </c>
      <c r="D31" s="10">
        <v>101491769</v>
      </c>
      <c r="E31" s="4">
        <f>55269884+28678561</f>
        <v>83948445</v>
      </c>
      <c r="F31" s="4">
        <f>57033458+32020754</f>
        <v>89054212</v>
      </c>
      <c r="G31" s="4">
        <f>57524028+29335559</f>
        <v>86859587</v>
      </c>
      <c r="H31" s="4">
        <f>58769535+32437043</f>
        <v>91206578</v>
      </c>
      <c r="I31" s="4">
        <f>60167358+32819369</f>
        <v>92986727</v>
      </c>
      <c r="J31" s="4">
        <f>54918872+32333952</f>
        <v>87252824</v>
      </c>
      <c r="K31" s="4">
        <f>57465244+33719539</f>
        <v>91184783</v>
      </c>
      <c r="L31" s="10">
        <f>53537114+34877849</f>
        <v>88414963</v>
      </c>
      <c r="M31" s="10">
        <f>53276035+32863677</f>
        <v>86139712</v>
      </c>
      <c r="N31" s="4">
        <f>SUM(B31:M31)</f>
        <v>1096946345</v>
      </c>
    </row>
    <row r="32" spans="1:14" ht="13.5" x14ac:dyDescent="0.25">
      <c r="A32" s="19" t="s">
        <v>18</v>
      </c>
      <c r="B32" s="10">
        <v>103317284</v>
      </c>
      <c r="C32" s="10">
        <v>93929128</v>
      </c>
      <c r="D32" s="10">
        <v>100893159</v>
      </c>
      <c r="E32" s="4">
        <f>55433633+28678561</f>
        <v>84112194</v>
      </c>
      <c r="F32" s="4">
        <f>57229431+32020754</f>
        <v>89250185</v>
      </c>
      <c r="G32" s="4">
        <f>57797568+29335559</f>
        <v>87133127</v>
      </c>
      <c r="H32" s="4">
        <f>58805612+32437043</f>
        <v>91242655</v>
      </c>
      <c r="I32" s="4">
        <f>60237555+32819369</f>
        <v>93056924</v>
      </c>
      <c r="J32" s="4">
        <f>54912793+32333952</f>
        <v>87246745</v>
      </c>
      <c r="K32" s="4">
        <f>57539595+33719539</f>
        <v>91259134</v>
      </c>
      <c r="L32" s="10">
        <f>53555769+34877849</f>
        <v>88433618</v>
      </c>
      <c r="M32" s="10">
        <f>53309276+32863677</f>
        <v>86172953</v>
      </c>
      <c r="N32" s="4">
        <f>SUM(B32:M32)</f>
        <v>1096047106</v>
      </c>
    </row>
    <row r="33" spans="1:14" x14ac:dyDescent="0.2">
      <c r="A33" s="19" t="s">
        <v>19</v>
      </c>
      <c r="B33" s="4">
        <f t="shared" ref="B33:M33" si="9">+B32+B42+B43+B44</f>
        <v>103943495</v>
      </c>
      <c r="C33" s="4">
        <f t="shared" si="9"/>
        <v>94536878</v>
      </c>
      <c r="D33" s="4">
        <f t="shared" si="9"/>
        <v>101668576</v>
      </c>
      <c r="E33" s="4">
        <f t="shared" si="9"/>
        <v>84112194</v>
      </c>
      <c r="F33" s="4">
        <f t="shared" si="9"/>
        <v>89250185</v>
      </c>
      <c r="G33" s="4">
        <f t="shared" si="9"/>
        <v>87133127</v>
      </c>
      <c r="H33" s="4">
        <f t="shared" si="9"/>
        <v>91242655</v>
      </c>
      <c r="I33" s="4">
        <f t="shared" si="9"/>
        <v>93056924</v>
      </c>
      <c r="J33" s="4">
        <f t="shared" si="9"/>
        <v>87246745</v>
      </c>
      <c r="K33" s="4">
        <f t="shared" si="9"/>
        <v>91259134</v>
      </c>
      <c r="L33" s="4">
        <f t="shared" si="9"/>
        <v>88433618</v>
      </c>
      <c r="M33" s="4">
        <f t="shared" si="9"/>
        <v>86172953</v>
      </c>
      <c r="N33" s="4">
        <f>SUM(B33:M33)</f>
        <v>1098056484</v>
      </c>
    </row>
    <row r="34" spans="1:14" x14ac:dyDescent="0.2">
      <c r="A34" s="19" t="s">
        <v>20</v>
      </c>
      <c r="B34" s="4">
        <f t="shared" ref="B34:M34" si="10">-B31+B33</f>
        <v>80269</v>
      </c>
      <c r="C34" s="4">
        <f t="shared" si="10"/>
        <v>-6641</v>
      </c>
      <c r="D34" s="4">
        <f t="shared" si="10"/>
        <v>176807</v>
      </c>
      <c r="E34" s="4">
        <f t="shared" si="10"/>
        <v>163749</v>
      </c>
      <c r="F34" s="4">
        <f t="shared" si="10"/>
        <v>195973</v>
      </c>
      <c r="G34" s="4">
        <f t="shared" si="10"/>
        <v>273540</v>
      </c>
      <c r="H34" s="4">
        <f t="shared" si="10"/>
        <v>36077</v>
      </c>
      <c r="I34" s="4">
        <f t="shared" si="10"/>
        <v>70197</v>
      </c>
      <c r="J34" s="4">
        <f t="shared" si="10"/>
        <v>-6079</v>
      </c>
      <c r="K34" s="4">
        <f t="shared" si="10"/>
        <v>74351</v>
      </c>
      <c r="L34" s="4">
        <f t="shared" si="10"/>
        <v>18655</v>
      </c>
      <c r="M34" s="4">
        <f t="shared" si="10"/>
        <v>33241</v>
      </c>
      <c r="N34" s="4">
        <f>SUM(B34:M34)</f>
        <v>1110139</v>
      </c>
    </row>
    <row r="35" spans="1:14" x14ac:dyDescent="0.2">
      <c r="A35" s="20" t="s">
        <v>21</v>
      </c>
      <c r="B35" s="12">
        <f>2*B34/(B31+B33)</f>
        <v>7.7253516742608144E-4</v>
      </c>
      <c r="C35" s="12">
        <f>2*C34/(C31+C33)</f>
        <v>-7.0245251283241166E-5</v>
      </c>
      <c r="D35" s="12">
        <f>2*D34/(D31+D33)</f>
        <v>1.7405660538723736E-3</v>
      </c>
      <c r="E35" s="12">
        <f t="shared" ref="E35:M35" si="11">E34/E31</f>
        <v>1.9505900317748589E-3</v>
      </c>
      <c r="F35" s="12">
        <f t="shared" si="11"/>
        <v>2.200603380781136E-3</v>
      </c>
      <c r="G35" s="12">
        <f t="shared" si="11"/>
        <v>3.1492205920804115E-3</v>
      </c>
      <c r="H35" s="12">
        <f t="shared" si="11"/>
        <v>3.9555261025142288E-4</v>
      </c>
      <c r="I35" s="12">
        <f t="shared" si="11"/>
        <v>7.5491419329126405E-4</v>
      </c>
      <c r="J35" s="12">
        <f t="shared" si="11"/>
        <v>-6.9671097407689639E-5</v>
      </c>
      <c r="K35" s="12">
        <f t="shared" si="11"/>
        <v>8.1538824301418799E-4</v>
      </c>
      <c r="L35" s="12">
        <f t="shared" si="11"/>
        <v>2.1099369797847453E-4</v>
      </c>
      <c r="M35" s="12">
        <f t="shared" si="11"/>
        <v>3.8589634476604703E-4</v>
      </c>
      <c r="N35" s="12">
        <f>2*N34/(N31+N33)</f>
        <v>1.0115148694416556E-3</v>
      </c>
    </row>
    <row r="36" spans="1:14" x14ac:dyDescent="0.2">
      <c r="A36" s="19" t="s">
        <v>22</v>
      </c>
      <c r="B36" s="4">
        <f t="shared" ref="B36:J36" si="12">-B31+B33</f>
        <v>80269</v>
      </c>
      <c r="C36" s="4">
        <f t="shared" si="12"/>
        <v>-6641</v>
      </c>
      <c r="D36" s="4">
        <f t="shared" si="12"/>
        <v>176807</v>
      </c>
      <c r="E36" s="4">
        <f t="shared" si="12"/>
        <v>163749</v>
      </c>
      <c r="F36" s="4">
        <f t="shared" si="12"/>
        <v>195973</v>
      </c>
      <c r="G36" s="4">
        <f t="shared" si="12"/>
        <v>273540</v>
      </c>
      <c r="H36" s="4">
        <f t="shared" si="12"/>
        <v>36077</v>
      </c>
      <c r="I36" s="4">
        <f t="shared" si="12"/>
        <v>70197</v>
      </c>
      <c r="J36" s="4">
        <f t="shared" si="12"/>
        <v>-6079</v>
      </c>
      <c r="K36" s="4">
        <f>-K31+K33</f>
        <v>74351</v>
      </c>
      <c r="L36" s="4">
        <f>-L31+L33</f>
        <v>18655</v>
      </c>
      <c r="M36" s="4">
        <f>-M31+M33</f>
        <v>33241</v>
      </c>
      <c r="N36" s="4">
        <f>SUM(B36:M36)</f>
        <v>1110139</v>
      </c>
    </row>
    <row r="37" spans="1:14" x14ac:dyDescent="0.2">
      <c r="A37" s="20" t="s">
        <v>21</v>
      </c>
      <c r="B37" s="12">
        <f>2*B36/(B31+B33)</f>
        <v>7.7253516742608144E-4</v>
      </c>
      <c r="C37" s="12">
        <f>2*C36/(C31+C33)</f>
        <v>-7.0245251283241166E-5</v>
      </c>
      <c r="D37" s="12">
        <f>2*D36/(D31+D33)</f>
        <v>1.7405660538723736E-3</v>
      </c>
      <c r="E37" s="12">
        <f t="shared" ref="E37:M37" si="13">E36/E31</f>
        <v>1.9505900317748589E-3</v>
      </c>
      <c r="F37" s="12">
        <f t="shared" si="13"/>
        <v>2.200603380781136E-3</v>
      </c>
      <c r="G37" s="12">
        <f t="shared" si="13"/>
        <v>3.1492205920804115E-3</v>
      </c>
      <c r="H37" s="12">
        <f t="shared" si="13"/>
        <v>3.9555261025142288E-4</v>
      </c>
      <c r="I37" s="12">
        <f t="shared" si="13"/>
        <v>7.5491419329126405E-4</v>
      </c>
      <c r="J37" s="12">
        <f t="shared" si="13"/>
        <v>-6.9671097407689639E-5</v>
      </c>
      <c r="K37" s="12">
        <f t="shared" si="13"/>
        <v>8.1538824301418799E-4</v>
      </c>
      <c r="L37" s="12">
        <f t="shared" si="13"/>
        <v>2.1099369797847453E-4</v>
      </c>
      <c r="M37" s="12">
        <f t="shared" si="13"/>
        <v>3.8589634476604703E-4</v>
      </c>
      <c r="N37" s="12">
        <f>2*N36/(N31+N33)</f>
        <v>1.0115148694416556E-3</v>
      </c>
    </row>
    <row r="38" spans="1:14" ht="13.5" x14ac:dyDescent="0.25">
      <c r="A38" s="19"/>
      <c r="B38" s="5"/>
      <c r="C38" s="5"/>
      <c r="D38" s="5"/>
      <c r="E38" s="4"/>
      <c r="F38" s="4"/>
      <c r="G38" s="4"/>
      <c r="H38" s="4"/>
      <c r="I38" s="4"/>
      <c r="J38" s="4"/>
      <c r="K38" s="4"/>
      <c r="L38" s="16"/>
      <c r="M38" s="16"/>
      <c r="N38" s="4" t="s">
        <v>0</v>
      </c>
    </row>
    <row r="39" spans="1:14" x14ac:dyDescent="0.2">
      <c r="A39" s="19" t="s">
        <v>23</v>
      </c>
      <c r="B39" s="4">
        <v>56357459</v>
      </c>
      <c r="C39" s="4">
        <v>50983916</v>
      </c>
      <c r="D39" s="4">
        <v>56484047</v>
      </c>
      <c r="E39" s="4">
        <v>55269884</v>
      </c>
      <c r="F39" s="4">
        <v>57033458</v>
      </c>
      <c r="G39" s="4">
        <v>57524028</v>
      </c>
      <c r="H39" s="4">
        <v>58769535</v>
      </c>
      <c r="I39" s="4">
        <v>60167358</v>
      </c>
      <c r="J39" s="4">
        <v>54918872</v>
      </c>
      <c r="K39" s="4">
        <v>57465244</v>
      </c>
      <c r="L39" s="4">
        <v>53537114</v>
      </c>
      <c r="M39" s="4">
        <v>53276035</v>
      </c>
      <c r="N39" s="4">
        <f>SUM(B39:M39)</f>
        <v>671786950</v>
      </c>
    </row>
    <row r="40" spans="1:14" x14ac:dyDescent="0.2">
      <c r="A40" s="1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0</v>
      </c>
    </row>
    <row r="41" spans="1:14" x14ac:dyDescent="0.2">
      <c r="A41" s="19" t="s">
        <v>24</v>
      </c>
      <c r="B41" s="4">
        <v>55811517</v>
      </c>
      <c r="C41" s="4">
        <v>50369525</v>
      </c>
      <c r="D41" s="4">
        <v>55885437</v>
      </c>
      <c r="E41" s="4">
        <v>55433633</v>
      </c>
      <c r="F41" s="4">
        <v>57229431</v>
      </c>
      <c r="G41" s="4">
        <v>57797568</v>
      </c>
      <c r="H41" s="4">
        <v>58805612</v>
      </c>
      <c r="I41" s="4">
        <v>60237555</v>
      </c>
      <c r="J41" s="4">
        <v>54912793</v>
      </c>
      <c r="K41" s="4">
        <v>57539595</v>
      </c>
      <c r="L41" s="4">
        <v>53555769</v>
      </c>
      <c r="M41" s="4">
        <v>53309276</v>
      </c>
      <c r="N41" s="4">
        <f t="shared" ref="N41:N46" si="14">SUM(B41:M41)</f>
        <v>670887711</v>
      </c>
    </row>
    <row r="42" spans="1:14" x14ac:dyDescent="0.2">
      <c r="A42" s="19" t="s">
        <v>25</v>
      </c>
      <c r="B42" s="4">
        <v>635520</v>
      </c>
      <c r="C42" s="4">
        <v>570076</v>
      </c>
      <c r="D42" s="4">
        <v>638720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f t="shared" si="14"/>
        <v>1844316</v>
      </c>
    </row>
    <row r="43" spans="1:14" x14ac:dyDescent="0.2">
      <c r="A43" s="19" t="s">
        <v>26</v>
      </c>
      <c r="B43" s="4">
        <v>-17746</v>
      </c>
      <c r="C43" s="4">
        <v>33996</v>
      </c>
      <c r="D43" s="4">
        <v>107280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f t="shared" si="14"/>
        <v>123530</v>
      </c>
    </row>
    <row r="44" spans="1:14" x14ac:dyDescent="0.2">
      <c r="A44" s="19" t="s">
        <v>27</v>
      </c>
      <c r="B44" s="4">
        <v>8437</v>
      </c>
      <c r="C44" s="4">
        <v>3678</v>
      </c>
      <c r="D44" s="4">
        <v>29417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f t="shared" si="14"/>
        <v>41532</v>
      </c>
    </row>
    <row r="45" spans="1:14" x14ac:dyDescent="0.2">
      <c r="A45" s="19" t="s">
        <v>19</v>
      </c>
      <c r="B45" s="4">
        <f t="shared" ref="B45:M45" si="15">SUM(B41:B44)</f>
        <v>56437728</v>
      </c>
      <c r="C45" s="4">
        <f t="shared" si="15"/>
        <v>50977275</v>
      </c>
      <c r="D45" s="4">
        <f t="shared" si="15"/>
        <v>56660854</v>
      </c>
      <c r="E45" s="4">
        <f t="shared" si="15"/>
        <v>55433633</v>
      </c>
      <c r="F45" s="4">
        <f t="shared" si="15"/>
        <v>57229431</v>
      </c>
      <c r="G45" s="4">
        <f t="shared" si="15"/>
        <v>57797568</v>
      </c>
      <c r="H45" s="4">
        <f t="shared" si="15"/>
        <v>58805612</v>
      </c>
      <c r="I45" s="4">
        <f t="shared" si="15"/>
        <v>60237555</v>
      </c>
      <c r="J45" s="4">
        <f t="shared" si="15"/>
        <v>54912793</v>
      </c>
      <c r="K45" s="4">
        <f t="shared" si="15"/>
        <v>57539595</v>
      </c>
      <c r="L45" s="4">
        <f t="shared" si="15"/>
        <v>53555769</v>
      </c>
      <c r="M45" s="4">
        <f t="shared" si="15"/>
        <v>53309276</v>
      </c>
      <c r="N45" s="4">
        <f t="shared" si="14"/>
        <v>672897089</v>
      </c>
    </row>
    <row r="46" spans="1:14" x14ac:dyDescent="0.2">
      <c r="A46" s="19" t="s">
        <v>45</v>
      </c>
      <c r="B46" s="4">
        <f t="shared" ref="B46:M46" si="16">-B39+B45</f>
        <v>80269</v>
      </c>
      <c r="C46" s="4">
        <f t="shared" si="16"/>
        <v>-6641</v>
      </c>
      <c r="D46" s="4">
        <f t="shared" si="16"/>
        <v>176807</v>
      </c>
      <c r="E46" s="4">
        <f t="shared" si="16"/>
        <v>163749</v>
      </c>
      <c r="F46" s="4">
        <f t="shared" si="16"/>
        <v>195973</v>
      </c>
      <c r="G46" s="4">
        <f t="shared" si="16"/>
        <v>273540</v>
      </c>
      <c r="H46" s="4">
        <f t="shared" si="16"/>
        <v>36077</v>
      </c>
      <c r="I46" s="4">
        <f t="shared" si="16"/>
        <v>70197</v>
      </c>
      <c r="J46" s="4">
        <f t="shared" si="16"/>
        <v>-6079</v>
      </c>
      <c r="K46" s="4">
        <f t="shared" si="16"/>
        <v>74351</v>
      </c>
      <c r="L46" s="4">
        <f t="shared" si="16"/>
        <v>18655</v>
      </c>
      <c r="M46" s="4">
        <f t="shared" si="16"/>
        <v>33241</v>
      </c>
      <c r="N46" s="4">
        <f t="shared" si="14"/>
        <v>1110139</v>
      </c>
    </row>
    <row r="47" spans="1:14" x14ac:dyDescent="0.2">
      <c r="A47" s="20" t="s">
        <v>21</v>
      </c>
      <c r="B47" s="12">
        <f t="shared" ref="B47:N47" si="17">B46/B39</f>
        <v>1.4242835185312383E-3</v>
      </c>
      <c r="C47" s="12">
        <f t="shared" si="17"/>
        <v>-1.3025676568273023E-4</v>
      </c>
      <c r="D47" s="12">
        <f t="shared" si="17"/>
        <v>3.1302112612433737E-3</v>
      </c>
      <c r="E47" s="12">
        <f t="shared" si="17"/>
        <v>2.9627165492151207E-3</v>
      </c>
      <c r="F47" s="12">
        <f t="shared" si="17"/>
        <v>3.4361058731525625E-3</v>
      </c>
      <c r="G47" s="12">
        <f t="shared" si="17"/>
        <v>4.7552302839432596E-3</v>
      </c>
      <c r="H47" s="12">
        <f t="shared" si="17"/>
        <v>6.1387247661564789E-4</v>
      </c>
      <c r="I47" s="12">
        <f t="shared" si="17"/>
        <v>1.1666957355847335E-3</v>
      </c>
      <c r="J47" s="12">
        <f t="shared" si="17"/>
        <v>-1.1069054732223925E-4</v>
      </c>
      <c r="K47" s="12">
        <f t="shared" si="17"/>
        <v>1.2938429357404278E-3</v>
      </c>
      <c r="L47" s="12">
        <f t="shared" si="17"/>
        <v>3.4844986227684966E-4</v>
      </c>
      <c r="M47" s="12">
        <f t="shared" si="17"/>
        <v>6.2393907504565611E-4</v>
      </c>
      <c r="N47" s="12">
        <f t="shared" si="17"/>
        <v>1.6525164711818233E-3</v>
      </c>
    </row>
  </sheetData>
  <phoneticPr fontId="3" type="noConversion"/>
  <printOptions gridLines="1" gridLinesSet="0"/>
  <pageMargins left="0.5" right="0.5" top="0.75" bottom="0.25" header="0.5" footer="0.5"/>
  <pageSetup scale="85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zoomScale="90" workbookViewId="0">
      <selection activeCell="O37" sqref="O37"/>
    </sheetView>
  </sheetViews>
  <sheetFormatPr defaultRowHeight="12.75" x14ac:dyDescent="0.2"/>
  <cols>
    <col min="1" max="1" width="16.140625" style="5" customWidth="1"/>
    <col min="2" max="11" width="11.5703125" style="5" hidden="1" customWidth="1"/>
    <col min="12" max="24" width="11.5703125" style="5" customWidth="1"/>
    <col min="25" max="16384" width="9.140625" style="5"/>
  </cols>
  <sheetData>
    <row r="1" spans="1:24" ht="12" customHeight="1" x14ac:dyDescent="0.2">
      <c r="A1" s="3" t="s">
        <v>44</v>
      </c>
      <c r="B1" s="4"/>
      <c r="C1" s="4"/>
      <c r="D1" s="4"/>
      <c r="E1" s="4"/>
      <c r="F1" s="4"/>
      <c r="G1" s="4"/>
      <c r="H1" s="13" t="s">
        <v>1</v>
      </c>
      <c r="I1" s="6">
        <f ca="1">NOW()</f>
        <v>41885.68749571759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">
      <c r="A2" s="3" t="s">
        <v>28</v>
      </c>
      <c r="B2" s="4"/>
      <c r="C2" s="4"/>
      <c r="D2" s="4"/>
      <c r="E2" s="4"/>
      <c r="F2" s="4"/>
      <c r="G2" s="4"/>
      <c r="H2" s="4" t="s">
        <v>48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3"/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3</v>
      </c>
      <c r="O5" s="7" t="s">
        <v>4</v>
      </c>
      <c r="P5" s="7" t="s">
        <v>5</v>
      </c>
      <c r="Q5" s="7" t="s">
        <v>6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11</v>
      </c>
      <c r="W5" s="7" t="s">
        <v>12</v>
      </c>
      <c r="X5" s="8" t="s">
        <v>15</v>
      </c>
    </row>
    <row r="6" spans="1:24" ht="12" customHeight="1" x14ac:dyDescent="0.25">
      <c r="A6" s="3"/>
      <c r="B6" s="7">
        <v>2000</v>
      </c>
      <c r="C6" s="7">
        <v>2000</v>
      </c>
      <c r="D6" s="7">
        <v>2000</v>
      </c>
      <c r="E6" s="7">
        <v>2000</v>
      </c>
      <c r="F6" s="7">
        <v>2000</v>
      </c>
      <c r="G6" s="7">
        <v>2000</v>
      </c>
      <c r="H6" s="7">
        <v>2000</v>
      </c>
      <c r="I6" s="7">
        <v>2000</v>
      </c>
      <c r="J6" s="7">
        <v>2000</v>
      </c>
      <c r="K6" s="7">
        <v>2001</v>
      </c>
      <c r="L6" s="7">
        <v>2001</v>
      </c>
      <c r="M6" s="7">
        <v>2001</v>
      </c>
      <c r="N6" s="7">
        <v>2001</v>
      </c>
      <c r="O6" s="7">
        <v>2001</v>
      </c>
      <c r="P6" s="7">
        <v>2001</v>
      </c>
      <c r="Q6" s="7">
        <v>2001</v>
      </c>
      <c r="R6" s="7">
        <v>2001</v>
      </c>
      <c r="S6" s="7">
        <v>2001</v>
      </c>
      <c r="T6" s="7">
        <v>2001</v>
      </c>
      <c r="U6" s="7">
        <v>2001</v>
      </c>
      <c r="V6" s="7">
        <v>2001</v>
      </c>
      <c r="W6" s="7">
        <v>2002</v>
      </c>
      <c r="X6" s="8" t="s">
        <v>16</v>
      </c>
    </row>
    <row r="7" spans="1:24" ht="12" customHeight="1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9" t="s">
        <v>17</v>
      </c>
      <c r="B8" s="4">
        <v>83808480</v>
      </c>
      <c r="C8" s="4">
        <v>98257638</v>
      </c>
      <c r="D8" s="4">
        <v>88215990</v>
      </c>
      <c r="E8" s="4">
        <v>93125811</v>
      </c>
      <c r="F8" s="4">
        <v>97179378</v>
      </c>
      <c r="G8" s="4">
        <v>94491622</v>
      </c>
      <c r="H8" s="4">
        <v>95061107</v>
      </c>
      <c r="I8" s="4">
        <v>91327806</v>
      </c>
      <c r="J8" s="4">
        <v>99945386</v>
      </c>
      <c r="K8" s="4">
        <v>103863226</v>
      </c>
      <c r="L8" s="4">
        <v>94543519</v>
      </c>
      <c r="M8" s="4">
        <v>101491769</v>
      </c>
      <c r="N8" s="4">
        <f>55269884+28678561</f>
        <v>83948445</v>
      </c>
      <c r="O8" s="4">
        <f>57033458+32020754</f>
        <v>89054212</v>
      </c>
      <c r="P8" s="4">
        <f>57524028+29335559</f>
        <v>86859587</v>
      </c>
      <c r="Q8" s="4">
        <f>58769535+32437043</f>
        <v>91206578</v>
      </c>
      <c r="R8" s="4">
        <f>60167358+32819369</f>
        <v>92986727</v>
      </c>
      <c r="S8" s="4">
        <f>54918872+32333952</f>
        <v>87252824</v>
      </c>
      <c r="T8" s="4">
        <f>57465244+33719539</f>
        <v>91184783</v>
      </c>
      <c r="U8" s="10">
        <f>53537114+34877849</f>
        <v>88414963</v>
      </c>
      <c r="V8" s="10">
        <f>53276035+32863677</f>
        <v>86139712</v>
      </c>
      <c r="W8" s="10">
        <f>53276035+32863677</f>
        <v>86139712</v>
      </c>
      <c r="X8" s="4">
        <f>SUM(L8:W8)</f>
        <v>1079222831</v>
      </c>
    </row>
    <row r="9" spans="1:24" ht="12" customHeight="1" x14ac:dyDescent="0.25">
      <c r="A9" s="9" t="s">
        <v>18</v>
      </c>
      <c r="B9" s="4">
        <v>83500185</v>
      </c>
      <c r="C9" s="4">
        <v>97814100</v>
      </c>
      <c r="D9" s="4">
        <v>87510873</v>
      </c>
      <c r="E9" s="4">
        <v>92478136</v>
      </c>
      <c r="F9" s="4">
        <v>96436796</v>
      </c>
      <c r="G9" s="4">
        <v>93802901</v>
      </c>
      <c r="H9" s="4">
        <v>94444434</v>
      </c>
      <c r="I9" s="4">
        <v>90781179</v>
      </c>
      <c r="J9" s="4">
        <v>99276695</v>
      </c>
      <c r="K9" s="4">
        <v>103317284</v>
      </c>
      <c r="L9" s="4">
        <v>93929128</v>
      </c>
      <c r="M9" s="4">
        <v>100893159</v>
      </c>
      <c r="N9" s="4">
        <f>55433633+28678561</f>
        <v>84112194</v>
      </c>
      <c r="O9" s="4">
        <f>57229431+32020754</f>
        <v>89250185</v>
      </c>
      <c r="P9" s="4">
        <f>57797568+29335559</f>
        <v>87133127</v>
      </c>
      <c r="Q9" s="4">
        <f>58805612+32437043</f>
        <v>91242655</v>
      </c>
      <c r="R9" s="4">
        <f>60237555+32819369</f>
        <v>93056924</v>
      </c>
      <c r="S9" s="4">
        <f>54912793+32333952</f>
        <v>87246745</v>
      </c>
      <c r="T9" s="4">
        <f>57539595+33719539</f>
        <v>91259134</v>
      </c>
      <c r="U9" s="10">
        <f>53523149+34877849</f>
        <v>88400998</v>
      </c>
      <c r="V9" s="10">
        <f>53309276+32863677</f>
        <v>86172953</v>
      </c>
      <c r="W9" s="10">
        <f>53309276+32863677</f>
        <v>86172953</v>
      </c>
      <c r="X9" s="4">
        <f>SUM(L9:W9)</f>
        <v>1078870155</v>
      </c>
    </row>
    <row r="10" spans="1:24" ht="12" customHeight="1" x14ac:dyDescent="0.2">
      <c r="A10" s="9" t="s">
        <v>19</v>
      </c>
      <c r="B10" s="4">
        <f t="shared" ref="B10:O10" si="0">+B9+B19+B20+B21</f>
        <v>83921474</v>
      </c>
      <c r="C10" s="4">
        <f t="shared" si="0"/>
        <v>98293526</v>
      </c>
      <c r="D10" s="4">
        <f t="shared" si="0"/>
        <v>88149547</v>
      </c>
      <c r="E10" s="4">
        <f t="shared" si="0"/>
        <v>93030416</v>
      </c>
      <c r="F10" s="4">
        <f>+F9+F19+F20+F21</f>
        <v>97148430</v>
      </c>
      <c r="G10" s="4">
        <f t="shared" si="0"/>
        <v>94435904</v>
      </c>
      <c r="H10" s="4">
        <f t="shared" si="0"/>
        <v>95133706</v>
      </c>
      <c r="I10" s="4">
        <f t="shared" si="0"/>
        <v>91266727</v>
      </c>
      <c r="J10" s="4">
        <f t="shared" si="0"/>
        <v>99932139</v>
      </c>
      <c r="K10" s="4">
        <f t="shared" si="0"/>
        <v>103943495</v>
      </c>
      <c r="L10" s="4">
        <f t="shared" si="0"/>
        <v>94536878</v>
      </c>
      <c r="M10" s="4">
        <f t="shared" si="0"/>
        <v>101668576</v>
      </c>
      <c r="N10" s="4">
        <f t="shared" si="0"/>
        <v>84112194</v>
      </c>
      <c r="O10" s="4">
        <f t="shared" si="0"/>
        <v>89250185</v>
      </c>
      <c r="P10" s="4">
        <f t="shared" ref="P10:U10" si="1">+P9+P19+P20+P21</f>
        <v>87133127</v>
      </c>
      <c r="Q10" s="4">
        <f t="shared" si="1"/>
        <v>91242655</v>
      </c>
      <c r="R10" s="4">
        <f t="shared" si="1"/>
        <v>93056924</v>
      </c>
      <c r="S10" s="4">
        <f t="shared" si="1"/>
        <v>87246745</v>
      </c>
      <c r="T10" s="4">
        <f t="shared" si="1"/>
        <v>91259134</v>
      </c>
      <c r="U10" s="4">
        <f t="shared" si="1"/>
        <v>88400998</v>
      </c>
      <c r="V10" s="4">
        <f>+V9+V19+V20+V21</f>
        <v>86172953</v>
      </c>
      <c r="W10" s="4">
        <f>+W9+W19+W20+W21</f>
        <v>86172953</v>
      </c>
      <c r="X10" s="4">
        <f>SUM(L10:W10)</f>
        <v>1080253322</v>
      </c>
    </row>
    <row r="11" spans="1:24" ht="12" customHeight="1" x14ac:dyDescent="0.2">
      <c r="A11" s="9" t="s">
        <v>20</v>
      </c>
      <c r="B11" s="4">
        <f t="shared" ref="B11:O11" si="2">-B8+B10</f>
        <v>112994</v>
      </c>
      <c r="C11" s="4">
        <f t="shared" si="2"/>
        <v>35888</v>
      </c>
      <c r="D11" s="4">
        <f t="shared" si="2"/>
        <v>-66443</v>
      </c>
      <c r="E11" s="4">
        <f t="shared" si="2"/>
        <v>-95395</v>
      </c>
      <c r="F11" s="4">
        <f t="shared" si="2"/>
        <v>-30948</v>
      </c>
      <c r="G11" s="4">
        <f t="shared" si="2"/>
        <v>-55718</v>
      </c>
      <c r="H11" s="4">
        <f t="shared" si="2"/>
        <v>72599</v>
      </c>
      <c r="I11" s="4">
        <f t="shared" si="2"/>
        <v>-61079</v>
      </c>
      <c r="J11" s="4">
        <f t="shared" si="2"/>
        <v>-13247</v>
      </c>
      <c r="K11" s="4">
        <f t="shared" si="2"/>
        <v>80269</v>
      </c>
      <c r="L11" s="4">
        <f t="shared" si="2"/>
        <v>-6641</v>
      </c>
      <c r="M11" s="4">
        <f t="shared" si="2"/>
        <v>176807</v>
      </c>
      <c r="N11" s="4">
        <f t="shared" si="2"/>
        <v>163749</v>
      </c>
      <c r="O11" s="4">
        <f t="shared" si="2"/>
        <v>195973</v>
      </c>
      <c r="P11" s="4">
        <f t="shared" ref="P11:U11" si="3">-P8+P10</f>
        <v>273540</v>
      </c>
      <c r="Q11" s="4">
        <f t="shared" si="3"/>
        <v>36077</v>
      </c>
      <c r="R11" s="4">
        <f t="shared" si="3"/>
        <v>70197</v>
      </c>
      <c r="S11" s="4">
        <f t="shared" si="3"/>
        <v>-6079</v>
      </c>
      <c r="T11" s="4">
        <f t="shared" si="3"/>
        <v>74351</v>
      </c>
      <c r="U11" s="4">
        <f t="shared" si="3"/>
        <v>-13965</v>
      </c>
      <c r="V11" s="4">
        <f>-V8+V10</f>
        <v>33241</v>
      </c>
      <c r="W11" s="4">
        <f>-W8+W10</f>
        <v>33241</v>
      </c>
      <c r="X11" s="4">
        <f>SUM(L11:W11)</f>
        <v>1030491</v>
      </c>
    </row>
    <row r="12" spans="1:24" ht="12" customHeight="1" x14ac:dyDescent="0.2">
      <c r="A12" s="11" t="s">
        <v>21</v>
      </c>
      <c r="B12" s="12">
        <f>2*B11/(B8+B10)</f>
        <v>1.3473323912078341E-3</v>
      </c>
      <c r="C12" s="12">
        <f>2*C11/(C8+C10)</f>
        <v>3.6517718104177701E-4</v>
      </c>
      <c r="D12" s="12">
        <f>2*D11/(D8+D10)</f>
        <v>-7.5346919959765155E-4</v>
      </c>
      <c r="E12" s="12">
        <f>2*E11/(E8+E10)</f>
        <v>-1.0248918506497234E-3</v>
      </c>
      <c r="F12" s="12">
        <f>2*F11/(F8+F10)</f>
        <v>-3.1851334421474051E-4</v>
      </c>
      <c r="G12" s="12">
        <f t="shared" ref="G12:U12" si="4">G11/G8</f>
        <v>-5.8966074262118177E-4</v>
      </c>
      <c r="H12" s="12">
        <f t="shared" si="4"/>
        <v>7.6370875840947236E-4</v>
      </c>
      <c r="I12" s="12">
        <f t="shared" si="4"/>
        <v>-6.6878864909992476E-4</v>
      </c>
      <c r="J12" s="12">
        <f t="shared" si="4"/>
        <v>-1.3254238669907183E-4</v>
      </c>
      <c r="K12" s="12">
        <f t="shared" si="4"/>
        <v>7.7283368802736783E-4</v>
      </c>
      <c r="L12" s="12">
        <f t="shared" si="4"/>
        <v>-7.0242784172228667E-5</v>
      </c>
      <c r="M12" s="12">
        <f t="shared" si="4"/>
        <v>1.7420821584063629E-3</v>
      </c>
      <c r="N12" s="12">
        <f t="shared" si="4"/>
        <v>1.9505900317748589E-3</v>
      </c>
      <c r="O12" s="12">
        <f t="shared" si="4"/>
        <v>2.200603380781136E-3</v>
      </c>
      <c r="P12" s="12">
        <f t="shared" si="4"/>
        <v>3.1492205920804115E-3</v>
      </c>
      <c r="Q12" s="12">
        <f t="shared" si="4"/>
        <v>3.9555261025142288E-4</v>
      </c>
      <c r="R12" s="12">
        <f t="shared" si="4"/>
        <v>7.5491419329126405E-4</v>
      </c>
      <c r="S12" s="12">
        <f t="shared" si="4"/>
        <v>-6.9671097407689639E-5</v>
      </c>
      <c r="T12" s="12">
        <f t="shared" si="4"/>
        <v>8.1538824301418799E-4</v>
      </c>
      <c r="U12" s="12">
        <f t="shared" si="4"/>
        <v>-1.5794837803641902E-4</v>
      </c>
      <c r="V12" s="12">
        <f>V11/V8</f>
        <v>3.8589634476604703E-4</v>
      </c>
      <c r="W12" s="12">
        <f>W11/W8</f>
        <v>3.8589634476604703E-4</v>
      </c>
      <c r="X12" s="12">
        <f>X11/X8</f>
        <v>9.548454409967908E-4</v>
      </c>
    </row>
    <row r="13" spans="1:24" ht="12" customHeight="1" x14ac:dyDescent="0.2">
      <c r="A13" s="9" t="s">
        <v>22</v>
      </c>
      <c r="B13" s="4">
        <f>-B8+B10</f>
        <v>112994</v>
      </c>
      <c r="C13" s="4">
        <f t="shared" ref="C13:M13" si="5">-C8+C10</f>
        <v>35888</v>
      </c>
      <c r="D13" s="4">
        <f t="shared" si="5"/>
        <v>-66443</v>
      </c>
      <c r="E13" s="4">
        <f t="shared" si="5"/>
        <v>-95395</v>
      </c>
      <c r="F13" s="4">
        <f t="shared" si="5"/>
        <v>-30948</v>
      </c>
      <c r="G13" s="4">
        <f t="shared" si="5"/>
        <v>-55718</v>
      </c>
      <c r="H13" s="4">
        <f t="shared" si="5"/>
        <v>72599</v>
      </c>
      <c r="I13" s="4">
        <f t="shared" si="5"/>
        <v>-61079</v>
      </c>
      <c r="J13" s="4">
        <f t="shared" si="5"/>
        <v>-13247</v>
      </c>
      <c r="K13" s="4">
        <f t="shared" si="5"/>
        <v>80269</v>
      </c>
      <c r="L13" s="4">
        <f t="shared" si="5"/>
        <v>-6641</v>
      </c>
      <c r="M13" s="4">
        <f t="shared" si="5"/>
        <v>176807</v>
      </c>
      <c r="N13" s="4">
        <f t="shared" ref="N13:S13" si="6">-N8+N10</f>
        <v>163749</v>
      </c>
      <c r="O13" s="4">
        <f t="shared" si="6"/>
        <v>195973</v>
      </c>
      <c r="P13" s="4">
        <f t="shared" si="6"/>
        <v>273540</v>
      </c>
      <c r="Q13" s="4">
        <f t="shared" si="6"/>
        <v>36077</v>
      </c>
      <c r="R13" s="4">
        <f t="shared" si="6"/>
        <v>70197</v>
      </c>
      <c r="S13" s="4">
        <f t="shared" si="6"/>
        <v>-6079</v>
      </c>
      <c r="T13" s="4">
        <f>-T8+T10</f>
        <v>74351</v>
      </c>
      <c r="U13" s="4">
        <f>-U8+U10</f>
        <v>-13965</v>
      </c>
      <c r="V13" s="4">
        <f>-V8+V10</f>
        <v>33241</v>
      </c>
      <c r="W13" s="4">
        <f>-W8+W10</f>
        <v>33241</v>
      </c>
      <c r="X13" s="4">
        <f>SUM(L13:W13)</f>
        <v>1030491</v>
      </c>
    </row>
    <row r="14" spans="1:24" ht="12" customHeight="1" x14ac:dyDescent="0.2">
      <c r="A14" s="11" t="s">
        <v>21</v>
      </c>
      <c r="B14" s="12">
        <f>2*B13/(B8+B10)</f>
        <v>1.3473323912078341E-3</v>
      </c>
      <c r="C14" s="12">
        <f>2*C13/(C8+C10)</f>
        <v>3.6517718104177701E-4</v>
      </c>
      <c r="D14" s="12">
        <f>2*D13/(D8+D10)</f>
        <v>-7.5346919959765155E-4</v>
      </c>
      <c r="E14" s="12">
        <f>2*E13/(E8+E10)</f>
        <v>-1.0248918506497234E-3</v>
      </c>
      <c r="F14" s="12">
        <f>2*F13/(F8+F10)</f>
        <v>-3.1851334421474051E-4</v>
      </c>
      <c r="G14" s="12">
        <f t="shared" ref="G14:U14" si="7">G13/G8</f>
        <v>-5.8966074262118177E-4</v>
      </c>
      <c r="H14" s="12">
        <f t="shared" si="7"/>
        <v>7.6370875840947236E-4</v>
      </c>
      <c r="I14" s="12">
        <f t="shared" si="7"/>
        <v>-6.6878864909992476E-4</v>
      </c>
      <c r="J14" s="12">
        <f t="shared" si="7"/>
        <v>-1.3254238669907183E-4</v>
      </c>
      <c r="K14" s="12">
        <f t="shared" si="7"/>
        <v>7.7283368802736783E-4</v>
      </c>
      <c r="L14" s="12">
        <f t="shared" si="7"/>
        <v>-7.0242784172228667E-5</v>
      </c>
      <c r="M14" s="12">
        <f t="shared" si="7"/>
        <v>1.7420821584063629E-3</v>
      </c>
      <c r="N14" s="12">
        <f t="shared" si="7"/>
        <v>1.9505900317748589E-3</v>
      </c>
      <c r="O14" s="12">
        <f t="shared" si="7"/>
        <v>2.200603380781136E-3</v>
      </c>
      <c r="P14" s="12">
        <f t="shared" si="7"/>
        <v>3.1492205920804115E-3</v>
      </c>
      <c r="Q14" s="12">
        <f t="shared" si="7"/>
        <v>3.9555261025142288E-4</v>
      </c>
      <c r="R14" s="12">
        <f t="shared" si="7"/>
        <v>7.5491419329126405E-4</v>
      </c>
      <c r="S14" s="12">
        <f t="shared" si="7"/>
        <v>-6.9671097407689639E-5</v>
      </c>
      <c r="T14" s="12">
        <f t="shared" si="7"/>
        <v>8.1538824301418799E-4</v>
      </c>
      <c r="U14" s="12">
        <f t="shared" si="7"/>
        <v>-1.5794837803641902E-4</v>
      </c>
      <c r="V14" s="12">
        <f>V13/V8</f>
        <v>3.8589634476604703E-4</v>
      </c>
      <c r="W14" s="12">
        <f>W13/W8</f>
        <v>3.8589634476604703E-4</v>
      </c>
      <c r="X14" s="12">
        <f>X13/X8</f>
        <v>9.548454409967908E-4</v>
      </c>
    </row>
    <row r="15" spans="1:24" ht="12" customHeight="1" x14ac:dyDescent="0.25">
      <c r="A15" s="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6"/>
      <c r="V15" s="16"/>
      <c r="W15" s="16"/>
      <c r="X15" s="4" t="s">
        <v>0</v>
      </c>
    </row>
    <row r="16" spans="1:24" ht="12" customHeight="1" x14ac:dyDescent="0.2">
      <c r="A16" s="9" t="s">
        <v>23</v>
      </c>
      <c r="B16" s="4">
        <v>44743883</v>
      </c>
      <c r="C16" s="4">
        <v>55158369</v>
      </c>
      <c r="D16" s="4">
        <v>51571722</v>
      </c>
      <c r="E16" s="4">
        <v>55346032</v>
      </c>
      <c r="F16" s="4">
        <v>56694530</v>
      </c>
      <c r="G16" s="4">
        <v>53117206</v>
      </c>
      <c r="H16" s="4">
        <v>53458381</v>
      </c>
      <c r="I16" s="4">
        <v>51629561</v>
      </c>
      <c r="J16" s="4">
        <v>56121622</v>
      </c>
      <c r="K16" s="4">
        <v>56357459</v>
      </c>
      <c r="L16" s="4">
        <v>50983916</v>
      </c>
      <c r="M16" s="4">
        <v>56484047</v>
      </c>
      <c r="N16" s="4">
        <v>55269884</v>
      </c>
      <c r="O16" s="4">
        <v>57033458</v>
      </c>
      <c r="P16" s="4">
        <v>57524028</v>
      </c>
      <c r="Q16" s="4">
        <v>58769535</v>
      </c>
      <c r="R16" s="4">
        <v>60167358</v>
      </c>
      <c r="S16" s="4">
        <v>54918872</v>
      </c>
      <c r="T16" s="4">
        <v>57465244</v>
      </c>
      <c r="U16" s="4">
        <v>53537114</v>
      </c>
      <c r="V16" s="4">
        <v>53276035</v>
      </c>
      <c r="W16" s="4">
        <v>53276035</v>
      </c>
      <c r="X16" s="4">
        <f>SUM(L16:W16)</f>
        <v>668705526</v>
      </c>
    </row>
    <row r="17" spans="1:24" ht="12" customHeight="1" x14ac:dyDescent="0.2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0</v>
      </c>
    </row>
    <row r="18" spans="1:24" ht="12" customHeight="1" x14ac:dyDescent="0.2">
      <c r="A18" s="9" t="s">
        <v>24</v>
      </c>
      <c r="B18" s="4">
        <v>44435588</v>
      </c>
      <c r="C18" s="4">
        <v>54714831</v>
      </c>
      <c r="D18" s="4">
        <v>50866605</v>
      </c>
      <c r="E18" s="4">
        <v>54698357</v>
      </c>
      <c r="F18" s="4">
        <v>55951948</v>
      </c>
      <c r="G18" s="4">
        <v>52428485</v>
      </c>
      <c r="H18" s="4">
        <v>52841708</v>
      </c>
      <c r="I18" s="4">
        <v>51629561</v>
      </c>
      <c r="J18" s="4">
        <v>55452931</v>
      </c>
      <c r="K18" s="4">
        <v>55811517</v>
      </c>
      <c r="L18" s="4">
        <v>50369525</v>
      </c>
      <c r="M18" s="4">
        <v>55885437</v>
      </c>
      <c r="N18" s="4">
        <v>55433633</v>
      </c>
      <c r="O18" s="4">
        <v>57229431</v>
      </c>
      <c r="P18" s="4">
        <v>57797568</v>
      </c>
      <c r="Q18" s="4">
        <v>58805612</v>
      </c>
      <c r="R18" s="4">
        <v>60237555</v>
      </c>
      <c r="S18" s="4">
        <v>54912793</v>
      </c>
      <c r="T18" s="4">
        <v>57539595</v>
      </c>
      <c r="U18" s="4">
        <v>53523149</v>
      </c>
      <c r="V18" s="4">
        <v>53309276</v>
      </c>
      <c r="W18" s="4">
        <v>53309276</v>
      </c>
      <c r="X18" s="4">
        <f t="shared" ref="X18:X23" si="8">SUM(L18:W18)</f>
        <v>668352850</v>
      </c>
    </row>
    <row r="19" spans="1:24" ht="12" customHeight="1" x14ac:dyDescent="0.2">
      <c r="A19" s="9" t="s">
        <v>25</v>
      </c>
      <c r="B19" s="4">
        <v>424330</v>
      </c>
      <c r="C19" s="4">
        <v>534647</v>
      </c>
      <c r="D19" s="4">
        <v>551826</v>
      </c>
      <c r="E19" s="4">
        <v>605933</v>
      </c>
      <c r="F19" s="4">
        <v>602302</v>
      </c>
      <c r="G19" s="4">
        <v>568144</v>
      </c>
      <c r="H19" s="4">
        <v>651860</v>
      </c>
      <c r="I19" s="4">
        <v>493675</v>
      </c>
      <c r="J19" s="4">
        <v>635714</v>
      </c>
      <c r="K19" s="4">
        <v>635520</v>
      </c>
      <c r="L19" s="4">
        <v>570076</v>
      </c>
      <c r="M19" s="4">
        <v>638720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f t="shared" si="8"/>
        <v>1208796</v>
      </c>
    </row>
    <row r="20" spans="1:24" ht="12" customHeight="1" x14ac:dyDescent="0.2">
      <c r="A20" s="9" t="s">
        <v>26</v>
      </c>
      <c r="B20" s="4">
        <v>-4177</v>
      </c>
      <c r="C20" s="4">
        <v>-55221</v>
      </c>
      <c r="D20" s="4">
        <v>86848</v>
      </c>
      <c r="E20" s="4">
        <v>-58455</v>
      </c>
      <c r="F20" s="4">
        <v>107934</v>
      </c>
      <c r="G20" s="4">
        <v>60400</v>
      </c>
      <c r="H20" s="4">
        <v>30132</v>
      </c>
      <c r="I20" s="4">
        <v>-13937</v>
      </c>
      <c r="J20" s="4">
        <v>15232</v>
      </c>
      <c r="K20" s="4">
        <v>-17746</v>
      </c>
      <c r="L20" s="4">
        <v>33996</v>
      </c>
      <c r="M20" s="4">
        <v>107280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f t="shared" si="8"/>
        <v>141276</v>
      </c>
    </row>
    <row r="21" spans="1:24" ht="12" customHeight="1" x14ac:dyDescent="0.2">
      <c r="A21" s="9" t="s">
        <v>27</v>
      </c>
      <c r="B21" s="4">
        <v>1136</v>
      </c>
      <c r="C21" s="4">
        <v>0</v>
      </c>
      <c r="D21" s="4">
        <v>0</v>
      </c>
      <c r="E21" s="4">
        <v>4802</v>
      </c>
      <c r="F21" s="4">
        <v>1398</v>
      </c>
      <c r="G21" s="4">
        <v>4459</v>
      </c>
      <c r="H21" s="4">
        <v>7280</v>
      </c>
      <c r="I21" s="4">
        <v>5810</v>
      </c>
      <c r="J21" s="4">
        <v>4498</v>
      </c>
      <c r="K21" s="4">
        <v>8437</v>
      </c>
      <c r="L21" s="4">
        <v>3678</v>
      </c>
      <c r="M21" s="4">
        <v>29417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f t="shared" si="8"/>
        <v>33095</v>
      </c>
    </row>
    <row r="22" spans="1:24" ht="12" customHeight="1" x14ac:dyDescent="0.2">
      <c r="A22" s="9" t="s">
        <v>19</v>
      </c>
      <c r="B22" s="4">
        <f t="shared" ref="B22:O22" si="9">SUM(B18:B21)</f>
        <v>44856877</v>
      </c>
      <c r="C22" s="4">
        <f t="shared" si="9"/>
        <v>55194257</v>
      </c>
      <c r="D22" s="4">
        <f t="shared" si="9"/>
        <v>51505279</v>
      </c>
      <c r="E22" s="4">
        <f t="shared" si="9"/>
        <v>55250637</v>
      </c>
      <c r="F22" s="4">
        <f t="shared" si="9"/>
        <v>56663582</v>
      </c>
      <c r="G22" s="4">
        <f t="shared" si="9"/>
        <v>53061488</v>
      </c>
      <c r="H22" s="4">
        <f t="shared" si="9"/>
        <v>53530980</v>
      </c>
      <c r="I22" s="4">
        <f t="shared" si="9"/>
        <v>52115109</v>
      </c>
      <c r="J22" s="4">
        <f t="shared" si="9"/>
        <v>56108375</v>
      </c>
      <c r="K22" s="4">
        <f t="shared" si="9"/>
        <v>56437728</v>
      </c>
      <c r="L22" s="4">
        <f t="shared" si="9"/>
        <v>50977275</v>
      </c>
      <c r="M22" s="4">
        <f t="shared" si="9"/>
        <v>56660854</v>
      </c>
      <c r="N22" s="4">
        <f t="shared" si="9"/>
        <v>55433633</v>
      </c>
      <c r="O22" s="4">
        <f t="shared" si="9"/>
        <v>57229431</v>
      </c>
      <c r="P22" s="4">
        <f t="shared" ref="P22:U22" si="10">SUM(P18:P21)</f>
        <v>57797568</v>
      </c>
      <c r="Q22" s="4">
        <f t="shared" si="10"/>
        <v>58805612</v>
      </c>
      <c r="R22" s="4">
        <f t="shared" si="10"/>
        <v>60237555</v>
      </c>
      <c r="S22" s="4">
        <f t="shared" si="10"/>
        <v>54912793</v>
      </c>
      <c r="T22" s="4">
        <f t="shared" si="10"/>
        <v>57539595</v>
      </c>
      <c r="U22" s="4">
        <f t="shared" si="10"/>
        <v>53523149</v>
      </c>
      <c r="V22" s="4">
        <f>SUM(V18:V21)</f>
        <v>53309276</v>
      </c>
      <c r="W22" s="4">
        <f>SUM(W18:W21)</f>
        <v>53309276</v>
      </c>
      <c r="X22" s="4">
        <f t="shared" si="8"/>
        <v>669736017</v>
      </c>
    </row>
    <row r="23" spans="1:24" ht="12" customHeight="1" x14ac:dyDescent="0.2">
      <c r="A23" s="9" t="s">
        <v>45</v>
      </c>
      <c r="B23" s="4">
        <f t="shared" ref="B23:O23" si="11">-B16+B22</f>
        <v>112994</v>
      </c>
      <c r="C23" s="4">
        <f t="shared" si="11"/>
        <v>35888</v>
      </c>
      <c r="D23" s="4">
        <f t="shared" si="11"/>
        <v>-66443</v>
      </c>
      <c r="E23" s="4">
        <f t="shared" si="11"/>
        <v>-95395</v>
      </c>
      <c r="F23" s="4">
        <f t="shared" si="11"/>
        <v>-30948</v>
      </c>
      <c r="G23" s="4">
        <f t="shared" si="11"/>
        <v>-55718</v>
      </c>
      <c r="H23" s="4">
        <f t="shared" si="11"/>
        <v>72599</v>
      </c>
      <c r="I23" s="4">
        <v>-61079</v>
      </c>
      <c r="J23" s="4">
        <f t="shared" si="11"/>
        <v>-13247</v>
      </c>
      <c r="K23" s="4">
        <f t="shared" si="11"/>
        <v>80269</v>
      </c>
      <c r="L23" s="4">
        <f t="shared" si="11"/>
        <v>-6641</v>
      </c>
      <c r="M23" s="4">
        <f t="shared" si="11"/>
        <v>176807</v>
      </c>
      <c r="N23" s="4">
        <f t="shared" si="11"/>
        <v>163749</v>
      </c>
      <c r="O23" s="4">
        <f t="shared" si="11"/>
        <v>195973</v>
      </c>
      <c r="P23" s="4">
        <f t="shared" ref="P23:U23" si="12">-P16+P22</f>
        <v>273540</v>
      </c>
      <c r="Q23" s="4">
        <f t="shared" si="12"/>
        <v>36077</v>
      </c>
      <c r="R23" s="4">
        <f t="shared" si="12"/>
        <v>70197</v>
      </c>
      <c r="S23" s="4">
        <f t="shared" si="12"/>
        <v>-6079</v>
      </c>
      <c r="T23" s="4">
        <f t="shared" si="12"/>
        <v>74351</v>
      </c>
      <c r="U23" s="4">
        <f t="shared" si="12"/>
        <v>-13965</v>
      </c>
      <c r="V23" s="4">
        <f>-V16+V22</f>
        <v>33241</v>
      </c>
      <c r="W23" s="4">
        <f>-W16+W22</f>
        <v>33241</v>
      </c>
      <c r="X23" s="4">
        <f t="shared" si="8"/>
        <v>1030491</v>
      </c>
    </row>
    <row r="24" spans="1:24" ht="12" customHeight="1" x14ac:dyDescent="0.2">
      <c r="A24" s="11" t="s">
        <v>21</v>
      </c>
      <c r="B24" s="12">
        <f>2*B23/(B16+B22)</f>
        <v>2.522166106626774E-3</v>
      </c>
      <c r="C24" s="12">
        <f>2*C23/(C16+C22)</f>
        <v>6.50424032501048E-4</v>
      </c>
      <c r="D24" s="12">
        <f>2*D23/(D16+D22)</f>
        <v>-1.2891915627230948E-3</v>
      </c>
      <c r="E24" s="12">
        <f>2*E23/(E16+E22)</f>
        <v>-1.7250971636406157E-3</v>
      </c>
      <c r="F24" s="12">
        <f>2*F23/(F16+F22)</f>
        <v>-5.4602179683444266E-4</v>
      </c>
      <c r="G24" s="12">
        <f t="shared" ref="G24:U24" si="13">G23/G16</f>
        <v>-1.0489633057883354E-3</v>
      </c>
      <c r="H24" s="12">
        <f t="shared" si="13"/>
        <v>1.3580471133235405E-3</v>
      </c>
      <c r="I24" s="12">
        <f t="shared" si="13"/>
        <v>-1.1830238107195992E-3</v>
      </c>
      <c r="J24" s="12">
        <f t="shared" si="13"/>
        <v>-2.3604093267297227E-4</v>
      </c>
      <c r="K24" s="12">
        <f t="shared" si="13"/>
        <v>1.4242835185312383E-3</v>
      </c>
      <c r="L24" s="12">
        <f t="shared" si="13"/>
        <v>-1.3025676568273023E-4</v>
      </c>
      <c r="M24" s="12">
        <f t="shared" si="13"/>
        <v>3.1302112612433737E-3</v>
      </c>
      <c r="N24" s="12">
        <f t="shared" si="13"/>
        <v>2.9627165492151207E-3</v>
      </c>
      <c r="O24" s="12">
        <f t="shared" si="13"/>
        <v>3.4361058731525625E-3</v>
      </c>
      <c r="P24" s="12">
        <f t="shared" si="13"/>
        <v>4.7552302839432596E-3</v>
      </c>
      <c r="Q24" s="12">
        <f t="shared" si="13"/>
        <v>6.1387247661564789E-4</v>
      </c>
      <c r="R24" s="12">
        <f t="shared" si="13"/>
        <v>1.1666957355847335E-3</v>
      </c>
      <c r="S24" s="12">
        <f t="shared" si="13"/>
        <v>-1.1069054732223925E-4</v>
      </c>
      <c r="T24" s="12">
        <f t="shared" si="13"/>
        <v>1.2938429357404278E-3</v>
      </c>
      <c r="U24" s="12">
        <f t="shared" si="13"/>
        <v>-2.608470826425197E-4</v>
      </c>
      <c r="V24" s="12">
        <f>V23/V16</f>
        <v>6.2393907504565611E-4</v>
      </c>
      <c r="W24" s="12">
        <f>W23/W16</f>
        <v>6.2393907504565611E-4</v>
      </c>
      <c r="X24" s="12">
        <f>X23/X16</f>
        <v>1.5410236044617342E-3</v>
      </c>
    </row>
    <row r="25" spans="1:24" x14ac:dyDescent="0.2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.5" x14ac:dyDescent="0.25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.5" x14ac:dyDescent="0.25">
      <c r="A28" s="2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3.5" x14ac:dyDescent="0.25">
      <c r="A29" s="2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1" spans="1:24" x14ac:dyDescent="0.2">
      <c r="L31"/>
    </row>
    <row r="32" spans="1:24" x14ac:dyDescent="0.2">
      <c r="L32"/>
    </row>
    <row r="33" spans="12:12" x14ac:dyDescent="0.2">
      <c r="L33"/>
    </row>
  </sheetData>
  <phoneticPr fontId="3" type="noConversion"/>
  <printOptions horizontalCentered="1" verticalCentered="1" gridLines="1" gridLinesSet="0"/>
  <pageMargins left="0.25" right="0.24" top="1" bottom="1" header="0.5" footer="0.5"/>
  <pageSetup scale="82" orientation="landscape" horizontalDpi="300" verticalDpi="300" r:id="rId1"/>
  <headerFooter alignWithMargins="0">
    <oddHeader>&amp;C&amp;"Arial,Bold Italic"&amp;12TW DTH PRA (00)12 Month Historical</oddHeader>
    <oddFooter>&amp;L&amp;F&amp;CPage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zoomScale="75" workbookViewId="0">
      <selection activeCell="N4" sqref="N4"/>
    </sheetView>
  </sheetViews>
  <sheetFormatPr defaultRowHeight="11.25" x14ac:dyDescent="0.2"/>
  <cols>
    <col min="1" max="1" width="8.140625" style="18" customWidth="1"/>
    <col min="2" max="2" width="6.5703125" style="18" customWidth="1"/>
    <col min="3" max="3" width="3.28515625" style="18" customWidth="1"/>
    <col min="4" max="4" width="25.140625" style="17" customWidth="1"/>
    <col min="5" max="5" width="9.42578125" style="17" customWidth="1"/>
    <col min="6" max="6" width="9.5703125" style="17" customWidth="1"/>
    <col min="7" max="7" width="7.5703125" style="17" customWidth="1"/>
    <col min="8" max="8" width="8.7109375" style="17" customWidth="1"/>
    <col min="9" max="9" width="10" style="17" customWidth="1"/>
    <col min="10" max="10" width="8.28515625" style="17" customWidth="1"/>
    <col min="11" max="11" width="4.140625" style="18" customWidth="1"/>
    <col min="12" max="12" width="6.5703125" style="18" customWidth="1"/>
    <col min="13" max="13" width="12.7109375" style="18" customWidth="1"/>
    <col min="14" max="14" width="39.85546875" style="17" customWidth="1"/>
    <col min="15" max="16384" width="9.140625" style="17"/>
  </cols>
  <sheetData>
    <row r="1" spans="1:14" x14ac:dyDescent="0.2">
      <c r="A1" s="21"/>
      <c r="B1" s="21"/>
      <c r="C1" s="21"/>
      <c r="D1" s="21"/>
      <c r="E1" s="22"/>
      <c r="F1" s="23" t="s">
        <v>29</v>
      </c>
      <c r="G1" s="24"/>
      <c r="H1" s="22"/>
      <c r="I1" s="23" t="s">
        <v>30</v>
      </c>
      <c r="J1" s="24"/>
      <c r="K1" s="21" t="s">
        <v>31</v>
      </c>
      <c r="L1" s="21" t="s">
        <v>31</v>
      </c>
      <c r="M1" s="21" t="s">
        <v>31</v>
      </c>
      <c r="N1" s="29" t="s">
        <v>32</v>
      </c>
    </row>
    <row r="2" spans="1:14" x14ac:dyDescent="0.2">
      <c r="A2" s="25" t="s">
        <v>47</v>
      </c>
      <c r="B2" s="25" t="s">
        <v>33</v>
      </c>
      <c r="C2" s="25" t="s">
        <v>34</v>
      </c>
      <c r="D2" s="25" t="s">
        <v>35</v>
      </c>
      <c r="E2" s="26" t="s">
        <v>36</v>
      </c>
      <c r="F2" s="27" t="s">
        <v>37</v>
      </c>
      <c r="G2" s="28" t="s">
        <v>38</v>
      </c>
      <c r="H2" s="26" t="s">
        <v>36</v>
      </c>
      <c r="I2" s="27" t="s">
        <v>39</v>
      </c>
      <c r="J2" s="28" t="s">
        <v>38</v>
      </c>
      <c r="K2" s="25" t="s">
        <v>40</v>
      </c>
      <c r="L2" s="25" t="s">
        <v>41</v>
      </c>
      <c r="M2" s="25" t="s">
        <v>42</v>
      </c>
      <c r="N2" s="30" t="s">
        <v>43</v>
      </c>
    </row>
    <row r="3" spans="1:14" ht="22.5" customHeight="1" x14ac:dyDescent="0.2">
      <c r="A3" s="18">
        <v>32176</v>
      </c>
      <c r="B3" s="18">
        <v>8516</v>
      </c>
      <c r="C3" s="18" t="s">
        <v>49</v>
      </c>
      <c r="D3" s="17" t="s">
        <v>50</v>
      </c>
      <c r="E3" s="17">
        <v>0</v>
      </c>
      <c r="F3" s="17">
        <v>31111</v>
      </c>
      <c r="G3" s="17">
        <f>+F3-E3</f>
        <v>31111</v>
      </c>
      <c r="H3" s="17">
        <v>0</v>
      </c>
      <c r="I3" s="17">
        <v>32620</v>
      </c>
      <c r="J3" s="17">
        <f>+I3-H3</f>
        <v>32620</v>
      </c>
      <c r="L3" s="32">
        <v>37562</v>
      </c>
      <c r="M3" s="18" t="s">
        <v>51</v>
      </c>
      <c r="N3" s="17" t="s">
        <v>52</v>
      </c>
    </row>
    <row r="4" spans="1:14" ht="22.5" customHeight="1" x14ac:dyDescent="0.2">
      <c r="G4" s="17">
        <f>+F4-E4</f>
        <v>0</v>
      </c>
      <c r="J4" s="17">
        <f>+I4-H4</f>
        <v>0</v>
      </c>
      <c r="L4" s="32"/>
    </row>
    <row r="5" spans="1:14" ht="22.5" customHeight="1" x14ac:dyDescent="0.2">
      <c r="A5" s="17"/>
      <c r="B5" s="17"/>
      <c r="C5" s="17"/>
      <c r="K5" s="17"/>
      <c r="L5" s="17"/>
      <c r="M5" s="17"/>
    </row>
    <row r="6" spans="1:14" ht="30" customHeight="1" x14ac:dyDescent="0.2">
      <c r="G6" s="31"/>
      <c r="J6" s="31"/>
      <c r="L6" s="32"/>
    </row>
    <row r="7" spans="1:14" ht="30" customHeight="1" x14ac:dyDescent="0.2">
      <c r="G7" s="31"/>
      <c r="J7" s="31"/>
      <c r="L7" s="32"/>
    </row>
    <row r="8" spans="1:14" ht="30" customHeight="1" x14ac:dyDescent="0.2">
      <c r="G8" s="31"/>
      <c r="J8" s="31"/>
      <c r="L8" s="32"/>
    </row>
    <row r="9" spans="1:14" ht="30" customHeight="1" x14ac:dyDescent="0.2">
      <c r="G9" s="31"/>
      <c r="J9" s="31"/>
      <c r="L9" s="32"/>
    </row>
    <row r="10" spans="1:14" ht="30" customHeight="1" x14ac:dyDescent="0.2"/>
    <row r="11" spans="1:14" ht="30" customHeight="1" x14ac:dyDescent="0.2"/>
    <row r="12" spans="1:14" ht="30" customHeight="1" x14ac:dyDescent="0.2"/>
    <row r="13" spans="1:14" ht="30" customHeight="1" x14ac:dyDescent="0.2"/>
    <row r="14" spans="1:14" ht="30" customHeight="1" x14ac:dyDescent="0.2"/>
    <row r="15" spans="1:14" ht="30" customHeight="1" x14ac:dyDescent="0.2"/>
    <row r="16" spans="1:14" ht="30" customHeight="1" x14ac:dyDescent="0.2"/>
  </sheetData>
  <phoneticPr fontId="3" type="noConversion"/>
  <printOptions horizontalCentered="1" verticalCentered="1" gridLines="1" gridLinesSet="0"/>
  <pageMargins left="0.25" right="0.24" top="1" bottom="1" header="0.5" footer="0.5"/>
  <pageSetup scale="85" orientation="landscape" horizontalDpi="300" verticalDpi="300" r:id="rId1"/>
  <headerFooter alignWithMargins="0">
    <oddHeader>&amp;C&amp;"Arial,Bold Italic"&amp;12TW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 2001 &amp; 2002 DTH COMPARISON</vt:lpstr>
      <vt:lpstr>TW DTH past 12-Month</vt:lpstr>
      <vt:lpstr>TW Corrections</vt:lpstr>
      <vt:lpstr>'TW DTH past 12-Month'!Print_Area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Felienne</cp:lastModifiedBy>
  <cp:lastPrinted>2002-02-20T20:31:56Z</cp:lastPrinted>
  <dcterms:created xsi:type="dcterms:W3CDTF">1996-11-20T13:26:29Z</dcterms:created>
  <dcterms:modified xsi:type="dcterms:W3CDTF">2014-09-03T14:29:59Z</dcterms:modified>
</cp:coreProperties>
</file>