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2"/>
  </bookViews>
  <sheets>
    <sheet name="monthly_by area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  <sheet name="Sheet1" sheetId="95" r:id="rId47"/>
  </sheets>
  <externalReferences>
    <externalReference r:id="rId48"/>
    <externalReference r:id="rId49"/>
    <externalReference r:id="rId50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9" i="8" s="1"/>
  <c r="D13" i="8"/>
  <c r="B14" i="8"/>
  <c r="D14" i="8" s="1"/>
  <c r="D15" i="8"/>
  <c r="D16" i="8"/>
  <c r="D17" i="8"/>
  <c r="D18" i="8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A46" i="88"/>
  <c r="A47" i="88"/>
  <c r="D6" i="12"/>
  <c r="D7" i="12"/>
  <c r="D8" i="12"/>
  <c r="D9" i="12"/>
  <c r="D10" i="12"/>
  <c r="D11" i="12"/>
  <c r="D12" i="12"/>
  <c r="D37" i="12" s="1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9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H3" i="80"/>
  <c r="G4" i="80"/>
  <c r="G5" i="80"/>
  <c r="I5" i="80"/>
  <c r="F12" i="80"/>
  <c r="F13" i="80"/>
  <c r="F14" i="80"/>
  <c r="F15" i="80"/>
  <c r="F16" i="80"/>
  <c r="F20" i="80"/>
  <c r="F21" i="80"/>
  <c r="F22" i="80"/>
  <c r="F26" i="80"/>
  <c r="B27" i="80"/>
  <c r="C27" i="80" s="1"/>
  <c r="E27" i="80" s="1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G59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D9" i="74"/>
  <c r="J9" i="74"/>
  <c r="L9" i="74"/>
  <c r="D10" i="74"/>
  <c r="J10" i="74"/>
  <c r="L10" i="74"/>
  <c r="D11" i="74"/>
  <c r="H11" i="74"/>
  <c r="J11" i="74"/>
  <c r="L11" i="74"/>
  <c r="D12" i="74"/>
  <c r="H12" i="74"/>
  <c r="J12" i="74" s="1"/>
  <c r="L12" i="74"/>
  <c r="D13" i="74"/>
  <c r="J13" i="74"/>
  <c r="L13" i="74" s="1"/>
  <c r="D14" i="74"/>
  <c r="J14" i="74"/>
  <c r="L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7" i="74" s="1"/>
  <c r="D32" i="74"/>
  <c r="D33" i="74"/>
  <c r="D34" i="74"/>
  <c r="D35" i="74"/>
  <c r="D36" i="74"/>
  <c r="B37" i="74"/>
  <c r="H19" i="74" s="1"/>
  <c r="C37" i="74"/>
  <c r="I19" i="74" s="1"/>
  <c r="J19" i="74" s="1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/>
  <c r="D7" i="78"/>
  <c r="B8" i="78"/>
  <c r="D8" i="78" s="1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/>
  <c r="N5" i="13"/>
  <c r="F6" i="13"/>
  <c r="I6" i="13"/>
  <c r="J6" i="13"/>
  <c r="K6" i="13"/>
  <c r="M6" i="13" s="1"/>
  <c r="N6" i="13"/>
  <c r="F7" i="13"/>
  <c r="I7" i="13"/>
  <c r="K7" i="13" s="1"/>
  <c r="J7" i="13"/>
  <c r="M7" i="13"/>
  <c r="N7" i="13"/>
  <c r="F8" i="13"/>
  <c r="I8" i="13"/>
  <c r="K8" i="13" s="1"/>
  <c r="M8" i="13" s="1"/>
  <c r="J8" i="13"/>
  <c r="N8" i="13"/>
  <c r="F9" i="13"/>
  <c r="I9" i="13"/>
  <c r="K9" i="13" s="1"/>
  <c r="M9" i="13" s="1"/>
  <c r="J9" i="13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F35" i="13" s="1"/>
  <c r="E35" i="13"/>
  <c r="F37" i="13"/>
  <c r="F38" i="13" s="1"/>
  <c r="F41" i="13" s="1"/>
  <c r="B9" i="63" s="1"/>
  <c r="C9" i="63" s="1"/>
  <c r="A46" i="13"/>
  <c r="A47" i="13"/>
  <c r="D47" i="13"/>
  <c r="D48" i="13" s="1"/>
  <c r="D27" i="80" s="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40" i="87"/>
  <c r="A46" i="87"/>
  <c r="D46" i="87"/>
  <c r="A47" i="87"/>
  <c r="F4" i="73"/>
  <c r="F5" i="73"/>
  <c r="F6" i="73"/>
  <c r="F7" i="73"/>
  <c r="F8" i="73"/>
  <c r="F9" i="73"/>
  <c r="F10" i="73"/>
  <c r="F35" i="73" s="1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D35" i="73"/>
  <c r="E36" i="73" s="1"/>
  <c r="J35" i="73" s="1"/>
  <c r="J36" i="73" s="1"/>
  <c r="E35" i="73"/>
  <c r="H35" i="73"/>
  <c r="I35" i="73"/>
  <c r="I36" i="73" s="1"/>
  <c r="F36" i="73"/>
  <c r="F39" i="73"/>
  <c r="F46" i="73"/>
  <c r="K46" i="73"/>
  <c r="B68" i="73"/>
  <c r="C68" i="73"/>
  <c r="B69" i="73"/>
  <c r="C69" i="73"/>
  <c r="B70" i="73"/>
  <c r="C70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J11" i="20"/>
  <c r="B13" i="20"/>
  <c r="B14" i="20"/>
  <c r="B18" i="20" s="1"/>
  <c r="F39" i="20" s="1"/>
  <c r="F40" i="20" s="1"/>
  <c r="B15" i="20"/>
  <c r="J15" i="20"/>
  <c r="B17" i="20"/>
  <c r="B31" i="20"/>
  <c r="E38" i="20"/>
  <c r="E39" i="20"/>
  <c r="G39" i="20"/>
  <c r="G40" i="20" s="1"/>
  <c r="H39" i="20"/>
  <c r="H40" i="20" s="1"/>
  <c r="B46" i="20"/>
  <c r="B75" i="20"/>
  <c r="C75" i="20"/>
  <c r="B76" i="20"/>
  <c r="C76" i="20"/>
  <c r="B79" i="20"/>
  <c r="C79" i="20"/>
  <c r="B81" i="20"/>
  <c r="C81" i="20"/>
  <c r="B82" i="20"/>
  <c r="C82" i="20"/>
  <c r="H5" i="11"/>
  <c r="H6" i="11"/>
  <c r="H7" i="11"/>
  <c r="H8" i="11"/>
  <c r="AB8" i="1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AC36" i="11"/>
  <c r="AE36" i="11"/>
  <c r="AI36" i="11"/>
  <c r="AL36" i="11"/>
  <c r="AM36" i="11"/>
  <c r="AN36" i="11"/>
  <c r="AO36" i="11"/>
  <c r="C37" i="11"/>
  <c r="AA37" i="11"/>
  <c r="AF37" i="11"/>
  <c r="AI37" i="11"/>
  <c r="AL37" i="11"/>
  <c r="AN37" i="11"/>
  <c r="AO37" i="11"/>
  <c r="AP37" i="11"/>
  <c r="H38" i="11"/>
  <c r="AC38" i="11"/>
  <c r="AE38" i="11"/>
  <c r="AP38" i="11" s="1"/>
  <c r="AF38" i="11"/>
  <c r="AI38" i="11"/>
  <c r="AL38" i="11"/>
  <c r="AM38" i="11"/>
  <c r="AN38" i="11"/>
  <c r="AO38" i="11"/>
  <c r="C39" i="11"/>
  <c r="B68" i="80" s="1"/>
  <c r="C68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L47" i="11" s="1"/>
  <c r="AM47" i="11"/>
  <c r="AN47" i="11"/>
  <c r="AP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F38" i="22"/>
  <c r="I38" i="22"/>
  <c r="A46" i="22"/>
  <c r="A47" i="22"/>
  <c r="F5" i="5"/>
  <c r="F36" i="5" s="1"/>
  <c r="F6" i="5"/>
  <c r="F7" i="5"/>
  <c r="F8" i="5"/>
  <c r="F9" i="5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42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40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7" i="80" s="1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C8" i="94"/>
  <c r="C9" i="94"/>
  <c r="C10" i="94"/>
  <c r="C11" i="94"/>
  <c r="C12" i="94"/>
  <c r="C13" i="94"/>
  <c r="C14" i="94"/>
  <c r="C15" i="94"/>
  <c r="B16" i="94"/>
  <c r="C16" i="94"/>
  <c r="C20" i="94"/>
  <c r="C21" i="94"/>
  <c r="C22" i="94"/>
  <c r="C23" i="94"/>
  <c r="C24" i="94"/>
  <c r="C25" i="94"/>
  <c r="C26" i="94"/>
  <c r="C30" i="94"/>
  <c r="B31" i="94"/>
  <c r="C31" i="94"/>
  <c r="C32" i="94"/>
  <c r="C33" i="94"/>
  <c r="B34" i="94"/>
  <c r="B35" i="94"/>
  <c r="B36" i="94"/>
  <c r="C37" i="94"/>
  <c r="C36" i="94" s="1"/>
  <c r="B38" i="94"/>
  <c r="C38" i="94"/>
  <c r="C39" i="94"/>
  <c r="C40" i="94"/>
  <c r="C41" i="94"/>
  <c r="C42" i="94"/>
  <c r="C43" i="94"/>
  <c r="C44" i="94"/>
  <c r="C46" i="94"/>
  <c r="C47" i="94"/>
  <c r="C48" i="94"/>
  <c r="C49" i="94"/>
  <c r="C50" i="94"/>
  <c r="C51" i="94"/>
  <c r="C54" i="94"/>
  <c r="C55" i="94"/>
  <c r="C56" i="94"/>
  <c r="C57" i="94"/>
  <c r="C58" i="94"/>
  <c r="C60" i="94"/>
  <c r="B61" i="94"/>
  <c r="H3" i="67"/>
  <c r="H4" i="67"/>
  <c r="H34" i="67" s="1"/>
  <c r="H5" i="67"/>
  <c r="H6" i="67"/>
  <c r="H7" i="67"/>
  <c r="H8" i="67"/>
  <c r="H9" i="67"/>
  <c r="H10" i="67"/>
  <c r="N10" i="67"/>
  <c r="P10" i="67"/>
  <c r="U10" i="67"/>
  <c r="W10" i="67" s="1"/>
  <c r="W16" i="67" s="1"/>
  <c r="H11" i="67"/>
  <c r="L11" i="67"/>
  <c r="N11" i="67" s="1"/>
  <c r="P11" i="67" s="1"/>
  <c r="U11" i="67"/>
  <c r="W11" i="67"/>
  <c r="H12" i="67"/>
  <c r="L12" i="67"/>
  <c r="N12" i="67" s="1"/>
  <c r="U12" i="67"/>
  <c r="W12" i="67"/>
  <c r="H13" i="67"/>
  <c r="L13" i="67"/>
  <c r="N13" i="67" s="1"/>
  <c r="P13" i="67"/>
  <c r="U13" i="67"/>
  <c r="W13" i="67"/>
  <c r="H14" i="67"/>
  <c r="N14" i="67"/>
  <c r="P14" i="67" s="1"/>
  <c r="U14" i="67"/>
  <c r="H15" i="67"/>
  <c r="U15" i="67"/>
  <c r="H16" i="67"/>
  <c r="U16" i="67"/>
  <c r="H17" i="67"/>
  <c r="H18" i="67"/>
  <c r="H19" i="67"/>
  <c r="H20" i="67"/>
  <c r="I20" i="67"/>
  <c r="J20" i="67" s="1"/>
  <c r="H21" i="67"/>
  <c r="H22" i="67"/>
  <c r="H23" i="67"/>
  <c r="H24" i="67"/>
  <c r="I24" i="67"/>
  <c r="J24" i="67"/>
  <c r="J25" i="67" s="1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T34" i="67"/>
  <c r="H37" i="67"/>
  <c r="A43" i="67"/>
  <c r="A44" i="67"/>
  <c r="F44" i="67"/>
  <c r="F45" i="67"/>
  <c r="H45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 s="1"/>
  <c r="D20" i="77"/>
  <c r="K20" i="77"/>
  <c r="M20" i="77"/>
  <c r="D21" i="77"/>
  <c r="K21" i="77"/>
  <c r="M21" i="77" s="1"/>
  <c r="D22" i="77"/>
  <c r="K22" i="77"/>
  <c r="M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AG5" i="7"/>
  <c r="AG6" i="7" s="1"/>
  <c r="AI5" i="7"/>
  <c r="F6" i="7"/>
  <c r="F36" i="7" s="1"/>
  <c r="Z6" i="7"/>
  <c r="AD6" i="7" s="1"/>
  <c r="AF6" i="7"/>
  <c r="AH6" i="7" s="1"/>
  <c r="F7" i="7"/>
  <c r="Z7" i="7"/>
  <c r="AD7" i="7"/>
  <c r="AF7" i="7" s="1"/>
  <c r="AG7" i="7"/>
  <c r="AG8" i="7" s="1"/>
  <c r="AG9" i="7" s="1"/>
  <c r="AG10" i="7" s="1"/>
  <c r="AG11" i="7" s="1"/>
  <c r="F8" i="7"/>
  <c r="Z8" i="7"/>
  <c r="AD8" i="7" s="1"/>
  <c r="AF8" i="7" s="1"/>
  <c r="F9" i="7"/>
  <c r="Z9" i="7"/>
  <c r="AD9" i="7"/>
  <c r="AF9" i="7" s="1"/>
  <c r="F10" i="7"/>
  <c r="Z10" i="7"/>
  <c r="AD10" i="7" s="1"/>
  <c r="AF10" i="7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/>
  <c r="F15" i="7"/>
  <c r="Z15" i="7"/>
  <c r="AD15" i="7"/>
  <c r="AF15" i="7" s="1"/>
  <c r="F16" i="7"/>
  <c r="Z16" i="7"/>
  <c r="AD16" i="7"/>
  <c r="AF16" i="7" s="1"/>
  <c r="F17" i="7"/>
  <c r="Z17" i="7"/>
  <c r="AD17" i="7"/>
  <c r="AF17" i="7" s="1"/>
  <c r="F18" i="7"/>
  <c r="AI18" i="7"/>
  <c r="F19" i="7"/>
  <c r="Z19" i="7"/>
  <c r="AD19" i="7" s="1"/>
  <c r="AG19" i="7" s="1"/>
  <c r="F20" i="7"/>
  <c r="Z20" i="7"/>
  <c r="AD20" i="7"/>
  <c r="AF20" i="7" s="1"/>
  <c r="AG20" i="7"/>
  <c r="AG21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 s="1"/>
  <c r="A45" i="16"/>
  <c r="A46" i="16"/>
  <c r="D6" i="81"/>
  <c r="D37" i="81" s="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35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35" i="9" s="1"/>
  <c r="P4" i="9"/>
  <c r="H5" i="9"/>
  <c r="P5" i="9"/>
  <c r="R5" i="9" s="1"/>
  <c r="H6" i="9"/>
  <c r="P6" i="9"/>
  <c r="R6" i="9"/>
  <c r="H7" i="9"/>
  <c r="N7" i="9"/>
  <c r="P7" i="9" s="1"/>
  <c r="R7" i="9" s="1"/>
  <c r="H8" i="9"/>
  <c r="P8" i="9"/>
  <c r="R8" i="9" s="1"/>
  <c r="H9" i="9"/>
  <c r="N9" i="9"/>
  <c r="P9" i="9"/>
  <c r="R9" i="9" s="1"/>
  <c r="H10" i="9"/>
  <c r="P10" i="9"/>
  <c r="R10" i="9"/>
  <c r="H11" i="9"/>
  <c r="P11" i="9"/>
  <c r="R11" i="9" s="1"/>
  <c r="H12" i="9"/>
  <c r="P12" i="9"/>
  <c r="R12" i="9"/>
  <c r="H13" i="9"/>
  <c r="P13" i="9"/>
  <c r="R13" i="9" s="1"/>
  <c r="H14" i="9"/>
  <c r="P14" i="9"/>
  <c r="R14" i="9" s="1"/>
  <c r="H15" i="9"/>
  <c r="P15" i="9"/>
  <c r="R15" i="9" s="1"/>
  <c r="H16" i="9"/>
  <c r="P16" i="9"/>
  <c r="R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H46" i="9"/>
  <c r="B47" i="9"/>
  <c r="H53" i="9"/>
  <c r="N6" i="93"/>
  <c r="N7" i="93"/>
  <c r="N8" i="93"/>
  <c r="N37" i="93" s="1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8" i="93"/>
  <c r="A48" i="93"/>
  <c r="A49" i="93"/>
  <c r="B5" i="64"/>
  <c r="D5" i="64" s="1"/>
  <c r="D17" i="64" s="1"/>
  <c r="B41" i="94" s="1"/>
  <c r="B6" i="64"/>
  <c r="D6" i="64"/>
  <c r="B7" i="64"/>
  <c r="D7" i="64"/>
  <c r="D8" i="64"/>
  <c r="B9" i="64"/>
  <c r="D9" i="64"/>
  <c r="D10" i="64"/>
  <c r="B11" i="64"/>
  <c r="D11" i="64"/>
  <c r="D12" i="64"/>
  <c r="D13" i="64"/>
  <c r="D18" i="64"/>
  <c r="A28" i="64"/>
  <c r="A29" i="64"/>
  <c r="F8" i="15"/>
  <c r="AF8" i="15"/>
  <c r="AF39" i="15" s="1"/>
  <c r="AF45" i="15" s="1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 s="1"/>
  <c r="AU16" i="15"/>
  <c r="AU39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 s="1"/>
  <c r="AV21" i="15"/>
  <c r="F22" i="15"/>
  <c r="M22" i="15"/>
  <c r="O22" i="15" s="1"/>
  <c r="AF22" i="15"/>
  <c r="AJ22" i="15"/>
  <c r="AN22" i="15"/>
  <c r="AN39" i="15" s="1"/>
  <c r="AQ22" i="15"/>
  <c r="AR22" i="15"/>
  <c r="AV22" i="15"/>
  <c r="F23" i="15"/>
  <c r="H23" i="15"/>
  <c r="I23" i="15"/>
  <c r="K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 s="1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L23" i="15" s="1"/>
  <c r="AD39" i="15"/>
  <c r="AE39" i="15"/>
  <c r="AH39" i="15"/>
  <c r="AI39" i="15"/>
  <c r="AL39" i="15"/>
  <c r="AM39" i="15"/>
  <c r="AP39" i="15"/>
  <c r="AT39" i="15"/>
  <c r="F44" i="15"/>
  <c r="A50" i="15"/>
  <c r="A51" i="15"/>
  <c r="AH52" i="15"/>
  <c r="AH54" i="15" s="1"/>
  <c r="AH56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K114" i="15" s="1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B133" i="15" s="1"/>
  <c r="B136" i="15" s="1"/>
  <c r="F132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 s="1"/>
  <c r="C174" i="15" s="1"/>
  <c r="C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A46" i="76"/>
  <c r="A47" i="76"/>
  <c r="F4" i="6"/>
  <c r="F35" i="6" s="1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J3" i="63"/>
  <c r="G4" i="63"/>
  <c r="D38" i="79" s="1"/>
  <c r="G5" i="63"/>
  <c r="D38" i="86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84" i="63"/>
  <c r="B85" i="63"/>
  <c r="B95" i="63"/>
  <c r="D6" i="90"/>
  <c r="D7" i="90"/>
  <c r="D8" i="90"/>
  <c r="D9" i="90"/>
  <c r="D37" i="90" s="1"/>
  <c r="B10" i="94" s="1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D39" i="90" s="1"/>
  <c r="D41" i="90" s="1"/>
  <c r="A46" i="90"/>
  <c r="A47" i="90"/>
  <c r="D8" i="19"/>
  <c r="D9" i="19"/>
  <c r="D10" i="19"/>
  <c r="D11" i="19"/>
  <c r="D12" i="19"/>
  <c r="D39" i="19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D41" i="19" s="1"/>
  <c r="D43" i="19" s="1"/>
  <c r="A48" i="19"/>
  <c r="A49" i="19"/>
  <c r="J4" i="2"/>
  <c r="J5" i="2"/>
  <c r="J6" i="2"/>
  <c r="P6" i="2"/>
  <c r="R6" i="2"/>
  <c r="J7" i="2"/>
  <c r="P7" i="2"/>
  <c r="R7" i="2" s="1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 s="1"/>
  <c r="J13" i="2"/>
  <c r="P13" i="2"/>
  <c r="R13" i="2" s="1"/>
  <c r="J14" i="2"/>
  <c r="P14" i="2"/>
  <c r="R14" i="2"/>
  <c r="J15" i="2"/>
  <c r="P15" i="2"/>
  <c r="R15" i="2"/>
  <c r="J16" i="2"/>
  <c r="P16" i="2"/>
  <c r="R16" i="2"/>
  <c r="J17" i="2"/>
  <c r="N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 s="1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B25" i="94" l="1"/>
  <c r="J35" i="2"/>
  <c r="B21" i="94"/>
  <c r="D49" i="19"/>
  <c r="D50" i="19" s="1"/>
  <c r="D20" i="80" s="1"/>
  <c r="B58" i="94"/>
  <c r="D46" i="81"/>
  <c r="D47" i="81" s="1"/>
  <c r="D81" i="80" s="1"/>
  <c r="D41" i="81"/>
  <c r="F176" i="15"/>
  <c r="D46" i="74"/>
  <c r="D47" i="74" s="1"/>
  <c r="D12" i="80" s="1"/>
  <c r="B8" i="94"/>
  <c r="B56" i="94"/>
  <c r="D30" i="8"/>
  <c r="D31" i="8" s="1"/>
  <c r="D48" i="80" s="1"/>
  <c r="B20" i="80"/>
  <c r="B27" i="63"/>
  <c r="C27" i="63" s="1"/>
  <c r="B57" i="94"/>
  <c r="D44" i="67"/>
  <c r="D45" i="67" s="1"/>
  <c r="D80" i="80" s="1"/>
  <c r="H38" i="67"/>
  <c r="D37" i="92"/>
  <c r="D47" i="92" s="1"/>
  <c r="D48" i="92" s="1"/>
  <c r="D44" i="80" s="1"/>
  <c r="P12" i="67"/>
  <c r="N16" i="67"/>
  <c r="J37" i="83"/>
  <c r="J39" i="83" s="1"/>
  <c r="J43" i="83" s="1"/>
  <c r="P21" i="2"/>
  <c r="P23" i="2" s="1"/>
  <c r="D47" i="90"/>
  <c r="D48" i="90" s="1"/>
  <c r="D14" i="80" s="1"/>
  <c r="D39" i="92"/>
  <c r="AN45" i="15"/>
  <c r="B102" i="15"/>
  <c r="AJ39" i="15"/>
  <c r="AJ45" i="15" s="1"/>
  <c r="AG12" i="7"/>
  <c r="AG13" i="7" s="1"/>
  <c r="AG14" i="7" s="1"/>
  <c r="AG15" i="7" s="1"/>
  <c r="AG16" i="7" s="1"/>
  <c r="AG17" i="7" s="1"/>
  <c r="D46" i="6"/>
  <c r="D47" i="6" s="1"/>
  <c r="D67" i="80" s="1"/>
  <c r="B14" i="94"/>
  <c r="F40" i="6"/>
  <c r="B53" i="94"/>
  <c r="D49" i="93"/>
  <c r="D50" i="93" s="1"/>
  <c r="D45" i="80" s="1"/>
  <c r="P16" i="67"/>
  <c r="D40" i="28"/>
  <c r="D46" i="28"/>
  <c r="D47" i="28" s="1"/>
  <c r="D69" i="80" s="1"/>
  <c r="B15" i="94"/>
  <c r="D49" i="5"/>
  <c r="D50" i="5" s="1"/>
  <c r="D83" i="80" s="1"/>
  <c r="B60" i="94"/>
  <c r="B44" i="94"/>
  <c r="D47" i="76"/>
  <c r="D48" i="76" s="1"/>
  <c r="D36" i="80" s="1"/>
  <c r="B26" i="94"/>
  <c r="E45" i="11"/>
  <c r="E39" i="11"/>
  <c r="N37" i="91"/>
  <c r="N39" i="91" s="1"/>
  <c r="N43" i="91" s="1"/>
  <c r="B18" i="63"/>
  <c r="C18" i="63" s="1"/>
  <c r="B35" i="80"/>
  <c r="C35" i="80" s="1"/>
  <c r="E35" i="80" s="1"/>
  <c r="P17" i="2"/>
  <c r="R17" i="2" s="1"/>
  <c r="R21" i="2" s="1"/>
  <c r="D39" i="86"/>
  <c r="D41" i="86" s="1"/>
  <c r="F133" i="15"/>
  <c r="C133" i="15" s="1"/>
  <c r="D29" i="64"/>
  <c r="D30" i="64" s="1"/>
  <c r="D33" i="80" s="1"/>
  <c r="D19" i="64"/>
  <c r="D23" i="64" s="1"/>
  <c r="J39" i="17"/>
  <c r="B79" i="73"/>
  <c r="C72" i="20"/>
  <c r="B14" i="80"/>
  <c r="C14" i="80" s="1"/>
  <c r="E14" i="80" s="1"/>
  <c r="B51" i="63"/>
  <c r="C51" i="63" s="1"/>
  <c r="R4" i="9"/>
  <c r="R19" i="9" s="1"/>
  <c r="R22" i="9" s="1"/>
  <c r="P19" i="9"/>
  <c r="B78" i="73"/>
  <c r="C73" i="20"/>
  <c r="E47" i="9"/>
  <c r="E48" i="9" s="1"/>
  <c r="D32" i="80" s="1"/>
  <c r="B40" i="94"/>
  <c r="F41" i="7"/>
  <c r="G3" i="80"/>
  <c r="E48" i="7" s="1"/>
  <c r="E49" i="7" s="1"/>
  <c r="D76" i="80" s="1"/>
  <c r="G57" i="80"/>
  <c r="D39" i="69"/>
  <c r="N39" i="93"/>
  <c r="N43" i="93" s="1"/>
  <c r="B43" i="94"/>
  <c r="D46" i="16"/>
  <c r="D47" i="16" s="1"/>
  <c r="D35" i="80" s="1"/>
  <c r="M23" i="77"/>
  <c r="AQ39" i="15"/>
  <c r="D18" i="65"/>
  <c r="D38" i="89"/>
  <c r="D39" i="89" s="1"/>
  <c r="F37" i="22"/>
  <c r="H36" i="11"/>
  <c r="H39" i="11" s="1"/>
  <c r="C43" i="63" s="1"/>
  <c r="B71" i="73"/>
  <c r="C80" i="20"/>
  <c r="F41" i="71"/>
  <c r="F43" i="71" s="1"/>
  <c r="N10" i="13"/>
  <c r="AF19" i="7"/>
  <c r="AH19" i="7" s="1"/>
  <c r="D37" i="75"/>
  <c r="J37" i="70"/>
  <c r="J41" i="70" s="1"/>
  <c r="D37" i="85"/>
  <c r="D37" i="86"/>
  <c r="F39" i="18"/>
  <c r="D47" i="88"/>
  <c r="D48" i="88" s="1"/>
  <c r="D43" i="80" s="1"/>
  <c r="B51" i="94"/>
  <c r="AC8" i="11"/>
  <c r="AN8" i="11"/>
  <c r="B73" i="73"/>
  <c r="C77" i="20"/>
  <c r="D30" i="80"/>
  <c r="F43" i="5"/>
  <c r="F37" i="87"/>
  <c r="S12" i="2"/>
  <c r="AH57" i="15"/>
  <c r="AR39" i="15"/>
  <c r="AR45" i="15" s="1"/>
  <c r="AH7" i="7"/>
  <c r="AI6" i="7"/>
  <c r="D37" i="77"/>
  <c r="F39" i="71"/>
  <c r="D37" i="79"/>
  <c r="D39" i="72"/>
  <c r="L8" i="74"/>
  <c r="J17" i="74"/>
  <c r="J24" i="74" s="1"/>
  <c r="K36" i="73"/>
  <c r="K49" i="73" s="1"/>
  <c r="B74" i="73"/>
  <c r="C78" i="20"/>
  <c r="B24" i="94"/>
  <c r="D40" i="12"/>
  <c r="D20" i="8"/>
  <c r="D21" i="8" s="1"/>
  <c r="D25" i="8" s="1"/>
  <c r="D38" i="75"/>
  <c r="D39" i="75" s="1"/>
  <c r="D41" i="75" s="1"/>
  <c r="D38" i="85"/>
  <c r="B19" i="20"/>
  <c r="C19" i="20" s="1"/>
  <c r="C20" i="20" s="1"/>
  <c r="F39" i="5"/>
  <c r="F40" i="5" s="1"/>
  <c r="B47" i="20"/>
  <c r="C47" i="20" s="1"/>
  <c r="C48" i="20" s="1"/>
  <c r="C37" i="73"/>
  <c r="D38" i="76"/>
  <c r="D39" i="76" s="1"/>
  <c r="D41" i="76" s="1"/>
  <c r="F92" i="15"/>
  <c r="F101" i="15" s="1"/>
  <c r="C101" i="15" s="1"/>
  <c r="B101" i="15"/>
  <c r="J23" i="15"/>
  <c r="M23" i="15" s="1"/>
  <c r="M24" i="15" s="1"/>
  <c r="F39" i="15"/>
  <c r="N23" i="15"/>
  <c r="B37" i="94"/>
  <c r="D35" i="68"/>
  <c r="I40" i="20"/>
  <c r="I57" i="20" s="1"/>
  <c r="D38" i="69"/>
  <c r="D46" i="12"/>
  <c r="D47" i="12" s="1"/>
  <c r="D74" i="80" s="1"/>
  <c r="AV16" i="15"/>
  <c r="AV39" i="15" s="1"/>
  <c r="AF36" i="11"/>
  <c r="AP36" i="11"/>
  <c r="M5" i="13"/>
  <c r="K13" i="13"/>
  <c r="D13" i="78"/>
  <c r="D12" i="78"/>
  <c r="AC37" i="11"/>
  <c r="AM37" i="11"/>
  <c r="H36" i="9"/>
  <c r="H37" i="9" s="1"/>
  <c r="H39" i="9" s="1"/>
  <c r="J35" i="70"/>
  <c r="C45" i="11"/>
  <c r="C46" i="11" s="1"/>
  <c r="F40" i="18"/>
  <c r="F41" i="18" s="1"/>
  <c r="F43" i="18" s="1"/>
  <c r="F38" i="87"/>
  <c r="P38" i="88"/>
  <c r="P39" i="88" s="1"/>
  <c r="P41" i="88" s="1"/>
  <c r="D38" i="74"/>
  <c r="B32" i="20"/>
  <c r="C32" i="20" s="1"/>
  <c r="C33" i="20" s="1"/>
  <c r="D19" i="65"/>
  <c r="D20" i="65" s="1"/>
  <c r="D24" i="65" s="1"/>
  <c r="D38" i="77"/>
  <c r="D39" i="77" s="1"/>
  <c r="D41" i="77" s="1"/>
  <c r="C35" i="94"/>
  <c r="C34" i="94"/>
  <c r="AL48" i="11"/>
  <c r="C74" i="20"/>
  <c r="B77" i="73"/>
  <c r="H41" i="73"/>
  <c r="C71" i="73"/>
  <c r="B80" i="20"/>
  <c r="G58" i="80"/>
  <c r="B40" i="80" l="1"/>
  <c r="C40" i="80" s="1"/>
  <c r="B29" i="63"/>
  <c r="C29" i="63" s="1"/>
  <c r="B39" i="80"/>
  <c r="C39" i="80" s="1"/>
  <c r="B48" i="63"/>
  <c r="C48" i="63" s="1"/>
  <c r="F45" i="15"/>
  <c r="D51" i="15"/>
  <c r="D52" i="15" s="1"/>
  <c r="B23" i="94"/>
  <c r="B15" i="80"/>
  <c r="C15" i="80" s="1"/>
  <c r="B39" i="63"/>
  <c r="C39" i="63" s="1"/>
  <c r="D40" i="68"/>
  <c r="B13" i="94"/>
  <c r="D46" i="68"/>
  <c r="D47" i="68" s="1"/>
  <c r="D66" i="80" s="1"/>
  <c r="B46" i="80"/>
  <c r="C46" i="80" s="1"/>
  <c r="E46" i="80" s="1"/>
  <c r="B21" i="63"/>
  <c r="C21" i="63" s="1"/>
  <c r="B80" i="80"/>
  <c r="C45" i="63"/>
  <c r="B45" i="63" s="1"/>
  <c r="C78" i="73"/>
  <c r="B73" i="20"/>
  <c r="B32" i="80"/>
  <c r="C32" i="80" s="1"/>
  <c r="E32" i="80" s="1"/>
  <c r="B24" i="63"/>
  <c r="C24" i="63" s="1"/>
  <c r="O23" i="15"/>
  <c r="O24" i="15" s="1"/>
  <c r="D49" i="77"/>
  <c r="D50" i="77" s="1"/>
  <c r="D15" i="80" s="1"/>
  <c r="B11" i="94"/>
  <c r="B49" i="94"/>
  <c r="D47" i="86"/>
  <c r="D48" i="86" s="1"/>
  <c r="D41" i="80" s="1"/>
  <c r="C47" i="63"/>
  <c r="B47" i="63" s="1"/>
  <c r="B76" i="80"/>
  <c r="C76" i="80" s="1"/>
  <c r="E76" i="80" s="1"/>
  <c r="D53" i="16"/>
  <c r="B67" i="80"/>
  <c r="C67" i="80" s="1"/>
  <c r="E67" i="80" s="1"/>
  <c r="C38" i="63"/>
  <c r="B38" i="63" s="1"/>
  <c r="B81" i="80"/>
  <c r="C81" i="80" s="1"/>
  <c r="E81" i="80" s="1"/>
  <c r="C28" i="63"/>
  <c r="B28" i="63" s="1"/>
  <c r="D39" i="74"/>
  <c r="D41" i="74" s="1"/>
  <c r="K19" i="74"/>
  <c r="L19" i="74" s="1"/>
  <c r="C79" i="73"/>
  <c r="B72" i="20"/>
  <c r="B15" i="63"/>
  <c r="C15" i="63" s="1"/>
  <c r="D52" i="88"/>
  <c r="B43" i="80"/>
  <c r="C43" i="80" s="1"/>
  <c r="E43" i="80" s="1"/>
  <c r="AH8" i="7"/>
  <c r="AI7" i="7"/>
  <c r="C20" i="80"/>
  <c r="F39" i="87"/>
  <c r="F41" i="87" s="1"/>
  <c r="B47" i="80"/>
  <c r="C47" i="80" s="1"/>
  <c r="E47" i="80" s="1"/>
  <c r="B16" i="63"/>
  <c r="C16" i="63" s="1"/>
  <c r="AR48" i="15"/>
  <c r="AR51" i="15"/>
  <c r="B55" i="94"/>
  <c r="D46" i="75"/>
  <c r="D47" i="75" s="1"/>
  <c r="D47" i="80" s="1"/>
  <c r="D47" i="22"/>
  <c r="D48" i="22" s="1"/>
  <c r="D29" i="80" s="1"/>
  <c r="B33" i="94"/>
  <c r="C83" i="20"/>
  <c r="F45" i="11"/>
  <c r="B69" i="80"/>
  <c r="C69" i="80" s="1"/>
  <c r="E69" i="80" s="1"/>
  <c r="C50" i="63"/>
  <c r="B50" i="63" s="1"/>
  <c r="B48" i="94"/>
  <c r="D49" i="91"/>
  <c r="D50" i="91" s="1"/>
  <c r="D40" i="80" s="1"/>
  <c r="B75" i="80"/>
  <c r="C75" i="80" s="1"/>
  <c r="B43" i="63"/>
  <c r="D48" i="69"/>
  <c r="D49" i="69" s="1"/>
  <c r="D22" i="80" s="1"/>
  <c r="B22" i="94"/>
  <c r="B28" i="80"/>
  <c r="C28" i="80" s="1"/>
  <c r="B11" i="63"/>
  <c r="C11" i="63" s="1"/>
  <c r="D14" i="78"/>
  <c r="D18" i="78" s="1"/>
  <c r="I62" i="20"/>
  <c r="M51" i="73"/>
  <c r="M53" i="73" s="1"/>
  <c r="B48" i="80"/>
  <c r="C48" i="80" s="1"/>
  <c r="E48" i="80" s="1"/>
  <c r="D36" i="8"/>
  <c r="B20" i="63"/>
  <c r="C20" i="63" s="1"/>
  <c r="M9" i="74"/>
  <c r="M10" i="74" s="1"/>
  <c r="M11" i="74" s="1"/>
  <c r="M12" i="74" s="1"/>
  <c r="M13" i="74" s="1"/>
  <c r="M14" i="74" s="1"/>
  <c r="L17" i="74"/>
  <c r="AH20" i="7"/>
  <c r="AI19" i="7"/>
  <c r="D41" i="89"/>
  <c r="B45" i="94"/>
  <c r="D40" i="69"/>
  <c r="D42" i="69" s="1"/>
  <c r="B81" i="73"/>
  <c r="B41" i="80"/>
  <c r="C41" i="80" s="1"/>
  <c r="B32" i="63"/>
  <c r="C32" i="63" s="1"/>
  <c r="D39" i="85"/>
  <c r="D41" i="85" s="1"/>
  <c r="B34" i="80"/>
  <c r="C34" i="80" s="1"/>
  <c r="B49" i="63"/>
  <c r="C49" i="63" s="1"/>
  <c r="B45" i="80"/>
  <c r="C45" i="80" s="1"/>
  <c r="E45" i="80" s="1"/>
  <c r="B23" i="63"/>
  <c r="C23" i="63" s="1"/>
  <c r="B47" i="94"/>
  <c r="D49" i="83"/>
  <c r="D50" i="83" s="1"/>
  <c r="D39" i="80" s="1"/>
  <c r="D23" i="78"/>
  <c r="D24" i="78" s="1"/>
  <c r="D16" i="80" s="1"/>
  <c r="B12" i="94"/>
  <c r="F39" i="22"/>
  <c r="F41" i="22" s="1"/>
  <c r="B36" i="80"/>
  <c r="C36" i="80" s="1"/>
  <c r="E36" i="80" s="1"/>
  <c r="B33" i="63"/>
  <c r="C33" i="63" s="1"/>
  <c r="B74" i="80"/>
  <c r="C74" i="80" s="1"/>
  <c r="E74" i="80" s="1"/>
  <c r="C31" i="63"/>
  <c r="B31" i="63" s="1"/>
  <c r="D42" i="72"/>
  <c r="D48" i="72"/>
  <c r="D49" i="72" s="1"/>
  <c r="D82" i="80" s="1"/>
  <c r="B59" i="94"/>
  <c r="B30" i="94"/>
  <c r="D33" i="65"/>
  <c r="D34" i="65" s="1"/>
  <c r="D26" i="80" s="1"/>
  <c r="D48" i="17"/>
  <c r="D49" i="17" s="1"/>
  <c r="D31" i="80" s="1"/>
  <c r="B39" i="94"/>
  <c r="J41" i="17"/>
  <c r="J43" i="17" s="1"/>
  <c r="F102" i="15"/>
  <c r="F103" i="15" s="1"/>
  <c r="B103" i="15"/>
  <c r="B105" i="15" s="1"/>
  <c r="F105" i="15" s="1"/>
  <c r="B20" i="94"/>
  <c r="B27" i="94" s="1"/>
  <c r="D47" i="2"/>
  <c r="D48" i="2" s="1"/>
  <c r="J40" i="2"/>
  <c r="D47" i="85"/>
  <c r="D48" i="85" s="1"/>
  <c r="D38" i="80" s="1"/>
  <c r="B46" i="94"/>
  <c r="D68" i="80"/>
  <c r="E68" i="80" s="1"/>
  <c r="F46" i="11"/>
  <c r="D75" i="80" s="1"/>
  <c r="N11" i="13"/>
  <c r="M13" i="13"/>
  <c r="E37" i="73"/>
  <c r="C38" i="73"/>
  <c r="C40" i="73" s="1"/>
  <c r="D47" i="79"/>
  <c r="D48" i="79" s="1"/>
  <c r="D13" i="80" s="1"/>
  <c r="B9" i="94"/>
  <c r="B17" i="94" s="1"/>
  <c r="D47" i="87"/>
  <c r="D48" i="87" s="1"/>
  <c r="D42" i="80" s="1"/>
  <c r="B50" i="94"/>
  <c r="B33" i="80"/>
  <c r="C33" i="80" s="1"/>
  <c r="E33" i="80" s="1"/>
  <c r="B8" i="63"/>
  <c r="D33" i="64"/>
  <c r="B41" i="63"/>
  <c r="C41" i="63" s="1"/>
  <c r="B26" i="80"/>
  <c r="D47" i="70"/>
  <c r="D48" i="70" s="1"/>
  <c r="D34" i="80" s="1"/>
  <c r="B42" i="94"/>
  <c r="C57" i="20"/>
  <c r="F51" i="73" s="1"/>
  <c r="C77" i="73"/>
  <c r="B74" i="20"/>
  <c r="B54" i="94"/>
  <c r="D49" i="71"/>
  <c r="D50" i="71" s="1"/>
  <c r="D46" i="80" s="1"/>
  <c r="B83" i="80"/>
  <c r="C83" i="80" s="1"/>
  <c r="E83" i="80" s="1"/>
  <c r="C19" i="63"/>
  <c r="B19" i="63" s="1"/>
  <c r="B32" i="94"/>
  <c r="D48" i="18"/>
  <c r="D49" i="18" s="1"/>
  <c r="D28" i="80" s="1"/>
  <c r="D39" i="79"/>
  <c r="D41" i="79" s="1"/>
  <c r="B52" i="94"/>
  <c r="D41" i="92"/>
  <c r="D84" i="80"/>
  <c r="D17" i="80" l="1"/>
  <c r="B31" i="80"/>
  <c r="C31" i="80" s="1"/>
  <c r="E31" i="80" s="1"/>
  <c r="D55" i="17"/>
  <c r="B10" i="63"/>
  <c r="C10" i="63" s="1"/>
  <c r="B84" i="80"/>
  <c r="C80" i="80"/>
  <c r="B44" i="80"/>
  <c r="C44" i="80" s="1"/>
  <c r="E44" i="80" s="1"/>
  <c r="B22" i="63"/>
  <c r="C22" i="63" s="1"/>
  <c r="D51" i="92"/>
  <c r="B22" i="80"/>
  <c r="C22" i="80" s="1"/>
  <c r="E22" i="80" s="1"/>
  <c r="B30" i="63"/>
  <c r="C30" i="63" s="1"/>
  <c r="D73" i="80"/>
  <c r="D77" i="80" s="1"/>
  <c r="F53" i="15"/>
  <c r="C21" i="80"/>
  <c r="C13" i="63"/>
  <c r="B13" i="63" s="1"/>
  <c r="D53" i="79"/>
  <c r="B13" i="80"/>
  <c r="C13" i="80" s="1"/>
  <c r="E13" i="80" s="1"/>
  <c r="B44" i="63"/>
  <c r="C44" i="63" s="1"/>
  <c r="E38" i="73"/>
  <c r="F37" i="73"/>
  <c r="D49" i="80"/>
  <c r="B37" i="80"/>
  <c r="C37" i="80" s="1"/>
  <c r="E37" i="80" s="1"/>
  <c r="B40" i="63"/>
  <c r="C40" i="63" s="1"/>
  <c r="E75" i="80"/>
  <c r="B42" i="80"/>
  <c r="C42" i="80" s="1"/>
  <c r="E42" i="80" s="1"/>
  <c r="B42" i="63"/>
  <c r="C42" i="63" s="1"/>
  <c r="D70" i="80"/>
  <c r="D86" i="80" s="1"/>
  <c r="B62" i="94"/>
  <c r="B65" i="94" s="1"/>
  <c r="B29" i="80"/>
  <c r="C29" i="80" s="1"/>
  <c r="E29" i="80" s="1"/>
  <c r="B12" i="63"/>
  <c r="C12" i="63" s="1"/>
  <c r="E34" i="80"/>
  <c r="E20" i="80"/>
  <c r="C73" i="73"/>
  <c r="B77" i="20"/>
  <c r="B73" i="80"/>
  <c r="C17" i="63"/>
  <c r="B17" i="63" s="1"/>
  <c r="C8" i="63"/>
  <c r="B38" i="80"/>
  <c r="C38" i="80" s="1"/>
  <c r="E38" i="80" s="1"/>
  <c r="B14" i="63"/>
  <c r="C14" i="63" s="1"/>
  <c r="AI20" i="7"/>
  <c r="AH21" i="7"/>
  <c r="AI21" i="7" s="1"/>
  <c r="B16" i="80"/>
  <c r="C16" i="80" s="1"/>
  <c r="E16" i="80" s="1"/>
  <c r="D31" i="78"/>
  <c r="B37" i="63"/>
  <c r="L24" i="74"/>
  <c r="L26" i="74" s="1"/>
  <c r="B66" i="80"/>
  <c r="C52" i="63"/>
  <c r="B52" i="63" s="1"/>
  <c r="E39" i="80"/>
  <c r="B12" i="80"/>
  <c r="D55" i="74"/>
  <c r="B26" i="63"/>
  <c r="C26" i="63" s="1"/>
  <c r="C26" i="80"/>
  <c r="C103" i="15"/>
  <c r="B82" i="80"/>
  <c r="C82" i="80" s="1"/>
  <c r="E82" i="80" s="1"/>
  <c r="C25" i="63"/>
  <c r="B25" i="63" s="1"/>
  <c r="B34" i="63" s="1"/>
  <c r="E41" i="80"/>
  <c r="E28" i="80"/>
  <c r="AI8" i="7"/>
  <c r="AH9" i="7"/>
  <c r="E15" i="80"/>
  <c r="E40" i="80"/>
  <c r="D51" i="80" l="1"/>
  <c r="D21" i="80"/>
  <c r="D23" i="80" s="1"/>
  <c r="B21" i="80"/>
  <c r="B23" i="80" s="1"/>
  <c r="B77" i="80"/>
  <c r="C73" i="80"/>
  <c r="C12" i="80"/>
  <c r="B17" i="80"/>
  <c r="C84" i="80"/>
  <c r="E80" i="80"/>
  <c r="E84" i="80" s="1"/>
  <c r="C23" i="80"/>
  <c r="B70" i="80"/>
  <c r="B86" i="80"/>
  <c r="C66" i="80"/>
  <c r="F38" i="73"/>
  <c r="E40" i="73"/>
  <c r="E26" i="80"/>
  <c r="AI9" i="7"/>
  <c r="AH10" i="7"/>
  <c r="N13" i="63"/>
  <c r="C37" i="63"/>
  <c r="C34" i="63"/>
  <c r="AI10" i="7" l="1"/>
  <c r="AH11" i="7"/>
  <c r="C70" i="80"/>
  <c r="E66" i="80"/>
  <c r="E12" i="80"/>
  <c r="C17" i="80"/>
  <c r="E21" i="80"/>
  <c r="E23" i="80" s="1"/>
  <c r="C77" i="80"/>
  <c r="C86" i="80" s="1"/>
  <c r="E73" i="80"/>
  <c r="E77" i="80" s="1"/>
  <c r="F40" i="73"/>
  <c r="F49" i="73" s="1"/>
  <c r="B78" i="20"/>
  <c r="B83" i="20" s="1"/>
  <c r="C74" i="73"/>
  <c r="C81" i="73" s="1"/>
  <c r="C82" i="73" s="1"/>
  <c r="E17" i="80" l="1"/>
  <c r="B30" i="80"/>
  <c r="B46" i="63"/>
  <c r="C61" i="20"/>
  <c r="C62" i="20" s="1"/>
  <c r="F53" i="73"/>
  <c r="E70" i="80"/>
  <c r="E86" i="80" s="1"/>
  <c r="AH12" i="7"/>
  <c r="AI11" i="7"/>
  <c r="C30" i="80" l="1"/>
  <c r="B49" i="80"/>
  <c r="B51" i="80"/>
  <c r="B89" i="80" s="1"/>
  <c r="AI12" i="7"/>
  <c r="AH13" i="7"/>
  <c r="C46" i="63"/>
  <c r="C53" i="63" s="1"/>
  <c r="C55" i="63" s="1"/>
  <c r="B53" i="63"/>
  <c r="B55" i="63" s="1"/>
  <c r="AI13" i="7" l="1"/>
  <c r="AH14" i="7"/>
  <c r="E30" i="80"/>
  <c r="C49" i="80"/>
  <c r="C51" i="80"/>
  <c r="B90" i="80" s="1"/>
  <c r="E49" i="80" l="1"/>
  <c r="E51" i="80"/>
  <c r="AI14" i="7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<sst xmlns="http://schemas.openxmlformats.org/spreadsheetml/2006/main" count="1070" uniqueCount="350">
  <si>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</si>
  <si>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</si>
  <si>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</si>
  <si>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</si>
  <si>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</si>
  <si>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</si>
  <si>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</si>
  <si>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</si>
  <si>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</si>
  <si>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</si>
  <si>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</si>
  <si>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</si>
  <si>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</si>
  <si>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</si>
  <si>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</si>
  <si>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</si>
  <si>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</si>
  <si>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</si>
  <si>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</si>
  <si>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</si>
  <si>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</si>
  <si>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</si>
  <si>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</si>
  <si>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</si>
  <si>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</si>
  <si>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</si>
  <si>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</si>
  <si>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</si>
  <si>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</si>
  <si>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</si>
  <si>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</si>
  <si>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</si>
  <si>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</si>
  <si>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</si>
  <si>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</si>
  <si>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</si>
  <si>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</si>
  <si>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</si>
  <si>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</si>
  <si>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</si>
  <si>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</si>
  <si>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</si>
  <si>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</si>
  <si>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</si>
  <si>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</si>
  <si>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</si>
  <si>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</si>
  <si>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</si>
  <si>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</si>
  <si>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</si>
  <si>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</si>
  <si>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</si>
  <si>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</si>
  <si>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</si>
  <si>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</si>
  <si>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</si>
  <si>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</si>
  <si>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</si>
  <si>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</si>
  <si>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</si>
  <si>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</si>
  <si>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</si>
  <si>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</si>
  <si>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</si>
  <si>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</si>
  <si>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</si>
  <si>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</si>
  <si>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</si>
  <si>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</si>
  <si>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</si>
  <si>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</si>
  <si>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</si>
  <si>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</si>
  <si>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</si>
  <si>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</si>
  <si>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</si>
  <si>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</si>
  <si>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</si>
  <si>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</si>
  <si>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</si>
  <si>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</si>
  <si>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</si>
  <si>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</si>
  <si>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</si>
  <si>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</si>
  <si>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</si>
  <si>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</si>
  <si>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</si>
  <si>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</si>
  <si>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</si>
  <si>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</si>
  <si>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</si>
  <si>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</si>
  <si>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</si>
  <si>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</si>
  <si>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</si>
  <si>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</si>
  <si>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</si>
  <si>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</si>
  <si>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</si>
  <si>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</si>
  <si>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</si>
  <si>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</si>
  <si>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</si>
  <si>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</si>
  <si>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</si>
  <si>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</si>
  <si>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</si>
  <si>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</si>
  <si>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</si>
  <si>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</si>
  <si>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</si>
  <si>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</si>
  <si>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</si>
  <si>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</si>
  <si>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</si>
  <si>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</si>
  <si>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</si>
  <si>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</si>
  <si>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</si>
  <si>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</si>
  <si>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</si>
  <si>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</si>
  <si>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</si>
  <si>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</si>
  <si>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</si>
  <si>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</si>
  <si>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</si>
  <si>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</si>
  <si>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</si>
  <si>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</si>
  <si>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</si>
  <si>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</si>
  <si>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</si>
  <si>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</si>
  <si>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</si>
  <si>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</si>
  <si>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</si>
  <si>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</si>
  <si>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</si>
  <si>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</si>
  <si>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</si>
  <si>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</si>
  <si>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</si>
  <si>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</si>
  <si>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</si>
  <si>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</si>
  <si>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</si>
  <si>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</si>
  <si>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</si>
  <si>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</si>
  <si>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</si>
  <si>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</si>
  <si>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</si>
  <si>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</si>
  <si>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</si>
  <si>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</si>
  <si>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</si>
  <si>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</si>
  <si>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</si>
  <si>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</si>
  <si>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</si>
  <si>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</si>
  <si>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</si>
  <si>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</si>
  <si>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</si>
  <si>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</si>
  <si>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</si>
  <si>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</si>
  <si>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</si>
  <si>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</si>
  <si>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</si>
  <si>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</si>
  <si>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</si>
  <si>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</si>
  <si>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</si>
  <si>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</si>
  <si>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</si>
  <si>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</si>
  <si>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</si>
  <si>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</si>
  <si>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</si>
  <si>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</si>
  <si>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</si>
  <si>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</si>
  <si>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</si>
  <si>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</si>
  <si>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</si>
  <si>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</si>
  <si>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</si>
  <si>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</si>
  <si>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</si>
  <si>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</si>
  <si>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</si>
  <si>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</si>
  <si>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</si>
  <si>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</si>
  <si>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</si>
  <si>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</si>
  <si>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</si>
  <si>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</si>
  <si>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</si>
  <si>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</si>
  <si>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</si>
  <si>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</si>
  <si>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</si>
  <si>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</si>
  <si>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</si>
  <si>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</si>
  <si>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</si>
  <si>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</si>
  <si>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</si>
  <si>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</si>
  <si>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</si>
  <si>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</si>
  <si>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</si>
  <si>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</si>
  <si>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</si>
  <si>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</si>
  <si>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</si>
  <si>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</si>
  <si>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</si>
  <si>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</si>
  <si>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</si>
  <si>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</si>
  <si>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</si>
  <si>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</si>
  <si>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</si>
  <si>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</si>
  <si>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</si>
  <si>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</si>
  <si>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</si>
  <si>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</si>
  <si>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</si>
  <si>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</si>
  <si>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</si>
  <si>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</si>
  <si>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</si>
  <si>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</si>
  <si>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</si>
  <si>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</si>
  <si>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</si>
  <si>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</si>
  <si>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</si>
  <si>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</si>
  <si>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</si>
  <si>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</si>
  <si>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</si>
  <si>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</si>
  <si>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</si>
  <si>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</si>
  <si>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</si>
  <si>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</si>
  <si>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</si>
  <si>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</si>
  <si>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</si>
  <si>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</si>
  <si>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</si>
  <si>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</si>
  <si>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</si>
  <si>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</si>
  <si>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</si>
  <si>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</si>
  <si>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</si>
  <si>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</si>
  <si>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</si>
  <si>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</si>
  <si>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</si>
  <si>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</si>
  <si>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</si>
  <si>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</si>
  <si>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</si>
  <si>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</si>
  <si>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</si>
  <si>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</si>
  <si>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</si>
  <si>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</si>
  <si>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</si>
  <si>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</si>
  <si>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</si>
  <si>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</si>
  <si>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</si>
  <si>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</si>
  <si>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</si>
  <si>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</si>
  <si>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</si>
  <si>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</si>
  <si>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</si>
  <si>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</si>
  <si>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</si>
  <si>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</si>
  <si>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</si>
  <si>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</si>
  <si>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</si>
  <si>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</si>
  <si>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</si>
  <si>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</si>
  <si>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</si>
  <si>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</si>
  <si>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</si>
  <si>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</si>
  <si>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</si>
  <si>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</si>
  <si>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</si>
  <si>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</si>
  <si>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</si>
  <si>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</si>
  <si>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</si>
  <si>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</si>
  <si>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</si>
  <si>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</si>
  <si>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</si>
  <si>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</si>
  <si>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</si>
  <si>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</si>
  <si>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</si>
  <si>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</si>
  <si>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</si>
  <si>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</si>
  <si>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</si>
  <si>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</si>
  <si>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</si>
  <si>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</si>
  <si>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</si>
  <si>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</si>
  <si>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</si>
  <si>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</si>
  <si>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</si>
  <si>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</si>
  <si>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</si>
  <si>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</si>
  <si>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</si>
  <si>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</si>
  <si>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</si>
  <si>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</si>
  <si>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</si>
  <si>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</si>
  <si>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</si>
  <si>
    <t xml:space="preserve">  Total West of Thoreau</t>
  </si>
  <si>
    <t xml:space="preserve">  Total San Juan</t>
  </si>
  <si>
    <t>Crosstex</t>
  </si>
  <si>
    <t>El Paso Blanco</t>
  </si>
  <si>
    <t>El Paso Window Rock</t>
  </si>
  <si>
    <t>Total imbalance net</t>
  </si>
  <si>
    <t>Duke Hobbs</t>
  </si>
  <si>
    <t>Duke Artesia</t>
  </si>
  <si>
    <t>Duke Crawford/WT-1</t>
  </si>
  <si>
    <t>Duke Pecos Diamond</t>
  </si>
  <si>
    <t>Duke Waha/Pyote</t>
  </si>
  <si>
    <t>(    )  represents additional gas into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</si>
</sst>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  <xf numFmtId="166" fontId="0" fillId="0" borderId="1" xfId="1" applyNumberFormat="1" applyFont="1" applyBorder="1"/>
    <xf numFmtId="166" fontId="42" fillId="0" borderId="0" xfId="1" applyNumberFormat="1" applyFont="1"/>
    <xf numFmtId="166" fontId="42" fillId="0" borderId="1" xfId="1" applyNumberFormat="1" applyFont="1" applyBorder="1"/>
    <xf numFmtId="166" fontId="42" fillId="0" borderId="0" xfId="1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2.65</v>
          </cell>
          <cell r="K39">
            <v>2.66</v>
          </cell>
          <cell r="M39">
            <v>2.65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workbookViewId="0">
      <selection activeCell="A3" sqref="A3"/>
    </sheetView>
  </sheetViews>
  <sheetFormatPr defaultRowHeight="12.75" x14ac:dyDescent="0.2"/>
  <cols>
    <col min="1" max="1" width="22.5703125" bestFit="1" customWidth="1"/>
    <col min="2" max="2" width="15.42578125" style="251" bestFit="1" customWidth="1"/>
    <col min="6" max="6" width="9.28515625" bestFit="1" customWidth="1"/>
  </cols>
  <sheetData>
    <row r="2" spans="1:3" ht="15.75" x14ac:dyDescent="0.25">
      <c r="A2" s="53" t="s">
        <v>349</v>
      </c>
    </row>
    <row r="5" spans="1:3" x14ac:dyDescent="0.2">
      <c r="B5" s="140" t="s">
        <v>336</v>
      </c>
    </row>
    <row r="6" spans="1:3" ht="15" customHeight="1" x14ac:dyDescent="0.2">
      <c r="B6" s="140" t="s">
        <v>337</v>
      </c>
    </row>
    <row r="7" spans="1:3" ht="15" customHeight="1" x14ac:dyDescent="0.2">
      <c r="A7" s="334" t="s">
        <v>154</v>
      </c>
    </row>
    <row r="8" spans="1:3" ht="15" customHeight="1" x14ac:dyDescent="0.2">
      <c r="A8" t="s">
        <v>127</v>
      </c>
      <c r="B8" s="629">
        <f>+Calpine!D37</f>
        <v>11095</v>
      </c>
      <c r="C8" s="65">
        <f>+Calpine!A41</f>
        <v>37334</v>
      </c>
    </row>
    <row r="9" spans="1:3" ht="15" customHeight="1" x14ac:dyDescent="0.2">
      <c r="A9" t="s">
        <v>139</v>
      </c>
      <c r="B9" s="629">
        <f>+'Citizens-Griffith'!D37</f>
        <v>-53082</v>
      </c>
      <c r="C9" s="65">
        <f>+'Citizens-Griffith'!A41</f>
        <v>37334</v>
      </c>
    </row>
    <row r="10" spans="1:3" ht="15" customHeight="1" x14ac:dyDescent="0.2">
      <c r="A10" t="s">
        <v>333</v>
      </c>
      <c r="B10" s="629">
        <f>+SWGasTrans!D37</f>
        <v>2504</v>
      </c>
      <c r="C10" s="65">
        <f>+SWGasTrans!A41</f>
        <v>37334</v>
      </c>
    </row>
    <row r="11" spans="1:3" ht="15" customHeight="1" x14ac:dyDescent="0.2">
      <c r="A11" t="s">
        <v>327</v>
      </c>
      <c r="B11" s="629">
        <f>+'NS Steel'!D37</f>
        <v>6402</v>
      </c>
      <c r="C11" s="65">
        <f>+'NS Steel'!A41</f>
        <v>37334</v>
      </c>
    </row>
    <row r="12" spans="1:3" x14ac:dyDescent="0.2">
      <c r="A12" t="s">
        <v>135</v>
      </c>
      <c r="B12" s="631">
        <f>+Citizens!D12</f>
        <v>-8490</v>
      </c>
      <c r="C12" s="65">
        <f>+Citizens!A18</f>
        <v>37334</v>
      </c>
    </row>
    <row r="13" spans="1:3" x14ac:dyDescent="0.2">
      <c r="A13" t="s">
        <v>313</v>
      </c>
      <c r="B13" s="629">
        <f>+Mojave!D35</f>
        <v>-3709</v>
      </c>
      <c r="C13" s="65">
        <f>+Mojave!A40</f>
        <v>37334</v>
      </c>
    </row>
    <row r="14" spans="1:3" x14ac:dyDescent="0.2">
      <c r="A14" t="s">
        <v>32</v>
      </c>
      <c r="B14" s="629">
        <f>+SoCal!F35</f>
        <v>-172886</v>
      </c>
      <c r="C14" s="65">
        <f>+SoCal!A40</f>
        <v>37334</v>
      </c>
    </row>
    <row r="15" spans="1:3" x14ac:dyDescent="0.2">
      <c r="A15" t="s">
        <v>323</v>
      </c>
      <c r="B15" s="629">
        <f>+'PG&amp;E'!D35</f>
        <v>-10321</v>
      </c>
      <c r="C15" s="65">
        <f>+'PG&amp;E'!A40</f>
        <v>37334</v>
      </c>
    </row>
    <row r="16" spans="1:3" x14ac:dyDescent="0.2">
      <c r="A16" t="s">
        <v>342</v>
      </c>
      <c r="B16" s="628">
        <f>+'El Paso'!C37</f>
        <v>0</v>
      </c>
      <c r="C16" s="65">
        <f>+'El Paso'!A39</f>
        <v>37334</v>
      </c>
    </row>
    <row r="17" spans="1:6" x14ac:dyDescent="0.2">
      <c r="A17" t="s">
        <v>338</v>
      </c>
      <c r="B17" s="251">
        <f>SUM(B8:B16)</f>
        <v>-228487</v>
      </c>
      <c r="F17" s="31"/>
    </row>
    <row r="19" spans="1:6" x14ac:dyDescent="0.2">
      <c r="A19" s="334" t="s">
        <v>57</v>
      </c>
    </row>
    <row r="20" spans="1:6" x14ac:dyDescent="0.2">
      <c r="A20" t="s">
        <v>287</v>
      </c>
      <c r="B20" s="629">
        <f>+williams!J35</f>
        <v>86271</v>
      </c>
      <c r="C20" s="65">
        <f>+williams!A40</f>
        <v>37334</v>
      </c>
    </row>
    <row r="21" spans="1:6" x14ac:dyDescent="0.2">
      <c r="A21" t="s">
        <v>71</v>
      </c>
      <c r="B21" s="629">
        <f>+transcol!D39</f>
        <v>5454</v>
      </c>
      <c r="C21" s="65">
        <f>+transcol!A43</f>
        <v>37334</v>
      </c>
    </row>
    <row r="22" spans="1:6" x14ac:dyDescent="0.2">
      <c r="A22" t="s">
        <v>95</v>
      </c>
      <c r="B22" s="631">
        <f>+burlington!D38</f>
        <v>12670</v>
      </c>
      <c r="C22" s="65">
        <f>+burlington!A42</f>
        <v>37334</v>
      </c>
    </row>
    <row r="23" spans="1:6" x14ac:dyDescent="0.2">
      <c r="A23" t="s">
        <v>23</v>
      </c>
      <c r="B23" s="629">
        <f>+'Red C'!F39</f>
        <v>-22577</v>
      </c>
      <c r="C23" s="65">
        <f>+'Red C'!A45</f>
        <v>37334</v>
      </c>
    </row>
    <row r="24" spans="1:6" x14ac:dyDescent="0.2">
      <c r="A24" t="s">
        <v>286</v>
      </c>
      <c r="B24" s="629">
        <f>+Amoco!D37</f>
        <v>7639</v>
      </c>
      <c r="C24" s="65">
        <f>+Amoco!A40</f>
        <v>37334</v>
      </c>
    </row>
    <row r="25" spans="1:6" x14ac:dyDescent="0.2">
      <c r="A25" t="s">
        <v>1</v>
      </c>
      <c r="B25" s="629">
        <f>+NW!F36</f>
        <v>7769</v>
      </c>
      <c r="C25" s="65">
        <f>+NW!B41</f>
        <v>37334</v>
      </c>
    </row>
    <row r="26" spans="1:6" x14ac:dyDescent="0.2">
      <c r="A26" t="s">
        <v>341</v>
      </c>
      <c r="B26" s="630">
        <f>+'El Paso'!E37</f>
        <v>-84230</v>
      </c>
      <c r="C26" s="65">
        <f>+'El Paso'!A39</f>
        <v>37334</v>
      </c>
    </row>
    <row r="27" spans="1:6" x14ac:dyDescent="0.2">
      <c r="A27" t="s">
        <v>339</v>
      </c>
      <c r="B27" s="251">
        <f>SUM(B20:B22)</f>
        <v>104395</v>
      </c>
      <c r="F27" s="31"/>
    </row>
    <row r="29" spans="1:6" x14ac:dyDescent="0.2">
      <c r="A29" s="334" t="s">
        <v>158</v>
      </c>
    </row>
    <row r="30" spans="1:6" x14ac:dyDescent="0.2">
      <c r="A30" t="s">
        <v>87</v>
      </c>
      <c r="B30" s="629">
        <f>+NNG!D18</f>
        <v>17494</v>
      </c>
      <c r="C30" s="65">
        <f>+NNG!A24</f>
        <v>37333</v>
      </c>
    </row>
    <row r="31" spans="1:6" x14ac:dyDescent="0.2">
      <c r="A31" t="s">
        <v>80</v>
      </c>
      <c r="B31" s="629">
        <f>+Conoco!F35</f>
        <v>-31711</v>
      </c>
      <c r="C31" s="65">
        <f>+Conoco!A41</f>
        <v>37334</v>
      </c>
    </row>
    <row r="32" spans="1:6" x14ac:dyDescent="0.2">
      <c r="A32" t="s">
        <v>3</v>
      </c>
      <c r="B32" s="629">
        <f>+'Amoco Abo'!F39</f>
        <v>22750</v>
      </c>
      <c r="C32" s="65">
        <f>+'Amoco Abo'!A43</f>
        <v>37334</v>
      </c>
    </row>
    <row r="33" spans="1:4" x14ac:dyDescent="0.2">
      <c r="A33" t="s">
        <v>325</v>
      </c>
      <c r="B33" s="629">
        <f>+KN_Westar!F37</f>
        <v>-30996</v>
      </c>
      <c r="C33" s="65">
        <f>+KN_Westar!A41</f>
        <v>37333</v>
      </c>
    </row>
    <row r="34" spans="1:4" x14ac:dyDescent="0.2">
      <c r="A34" t="s">
        <v>348</v>
      </c>
      <c r="B34" s="629">
        <f>+Duke!B46</f>
        <v>1655</v>
      </c>
      <c r="C34" s="65">
        <f>+C36</f>
        <v>37333</v>
      </c>
    </row>
    <row r="35" spans="1:4" x14ac:dyDescent="0.2">
      <c r="A35" t="s">
        <v>347</v>
      </c>
      <c r="B35" s="629">
        <f>+Duke!B31</f>
        <v>0</v>
      </c>
      <c r="C35" s="65">
        <f>+C36</f>
        <v>37333</v>
      </c>
    </row>
    <row r="36" spans="1:4" x14ac:dyDescent="0.2">
      <c r="A36" t="s">
        <v>346</v>
      </c>
      <c r="B36" s="629">
        <f>+Duke!B18</f>
        <v>48346</v>
      </c>
      <c r="C36" s="65">
        <f>+C37</f>
        <v>37333</v>
      </c>
    </row>
    <row r="37" spans="1:4" x14ac:dyDescent="0.2">
      <c r="A37" t="s">
        <v>345</v>
      </c>
      <c r="B37" s="629">
        <f>+DEFS!E36</f>
        <v>2288</v>
      </c>
      <c r="C37" s="65">
        <f>+C38</f>
        <v>37333</v>
      </c>
    </row>
    <row r="38" spans="1:4" x14ac:dyDescent="0.2">
      <c r="A38" t="s">
        <v>344</v>
      </c>
      <c r="B38" s="629">
        <f>+DEFS!C36</f>
        <v>-6791</v>
      </c>
      <c r="C38" s="65">
        <f>+DEFS!A40</f>
        <v>37333</v>
      </c>
      <c r="D38" s="31"/>
    </row>
    <row r="39" spans="1:4" x14ac:dyDescent="0.2">
      <c r="A39" t="s">
        <v>2</v>
      </c>
      <c r="B39" s="629">
        <f>+mewborne!J39</f>
        <v>-6905</v>
      </c>
      <c r="C39" s="65">
        <f>+mewborne!A43</f>
        <v>37334</v>
      </c>
    </row>
    <row r="40" spans="1:4" x14ac:dyDescent="0.2">
      <c r="A40" t="s">
        <v>324</v>
      </c>
      <c r="B40" s="629">
        <f>+PGETX!H35</f>
        <v>8779</v>
      </c>
      <c r="C40" s="65">
        <f>+PGETX!E39</f>
        <v>37334</v>
      </c>
    </row>
    <row r="41" spans="1:4" x14ac:dyDescent="0.2">
      <c r="A41" t="s">
        <v>82</v>
      </c>
      <c r="B41" s="629">
        <f>+PNM!D17</f>
        <v>-83553</v>
      </c>
      <c r="C41" s="65">
        <f>+PNM!A23</f>
        <v>37334</v>
      </c>
    </row>
    <row r="42" spans="1:4" x14ac:dyDescent="0.2">
      <c r="A42" t="s">
        <v>103</v>
      </c>
      <c r="B42" s="629">
        <f>+EOG!J35</f>
        <v>-17828</v>
      </c>
      <c r="C42" s="65">
        <f>+EOG!A41</f>
        <v>37334</v>
      </c>
    </row>
    <row r="43" spans="1:4" x14ac:dyDescent="0.2">
      <c r="A43" t="s">
        <v>6</v>
      </c>
      <c r="B43" s="629">
        <f>+Oasis!D36</f>
        <v>6919</v>
      </c>
      <c r="C43" s="65">
        <f>+Oasis!A40</f>
        <v>37334</v>
      </c>
    </row>
    <row r="44" spans="1:4" x14ac:dyDescent="0.2">
      <c r="A44" t="s">
        <v>131</v>
      </c>
      <c r="B44" s="629">
        <f>+SidR!D37</f>
        <v>784</v>
      </c>
      <c r="C44" s="65">
        <f>+SidR!A41</f>
        <v>37333</v>
      </c>
    </row>
    <row r="45" spans="1:4" x14ac:dyDescent="0.2">
      <c r="A45" t="s">
        <v>328</v>
      </c>
      <c r="B45" s="251">
        <f>+MiVida_Rich!D39</f>
        <v>0</v>
      </c>
    </row>
    <row r="46" spans="1:4" x14ac:dyDescent="0.2">
      <c r="A46" t="s">
        <v>331</v>
      </c>
      <c r="B46" s="629">
        <f>+Dominion!D37</f>
        <v>-899</v>
      </c>
      <c r="C46" s="65">
        <f>+Dominion!A41</f>
        <v>37334</v>
      </c>
    </row>
    <row r="47" spans="1:4" x14ac:dyDescent="0.2">
      <c r="A47" t="s">
        <v>329</v>
      </c>
      <c r="B47" s="629">
        <f>+WTGmktg!J37</f>
        <v>2983</v>
      </c>
      <c r="C47" s="65">
        <f>+WTGmktg!A43</f>
        <v>37333</v>
      </c>
    </row>
    <row r="48" spans="1:4" x14ac:dyDescent="0.2">
      <c r="A48" t="s">
        <v>330</v>
      </c>
      <c r="B48" s="629">
        <f>+'WTG inc'!N37</f>
        <v>2</v>
      </c>
      <c r="C48" s="65">
        <f>+'WTG inc'!A43</f>
        <v>37334</v>
      </c>
    </row>
    <row r="49" spans="1:6" x14ac:dyDescent="0.2">
      <c r="A49" t="s">
        <v>209</v>
      </c>
      <c r="B49" s="629">
        <f>+Devon!D37</f>
        <v>2929</v>
      </c>
      <c r="C49" s="65">
        <f>+Devon!A41</f>
        <v>37334</v>
      </c>
    </row>
    <row r="50" spans="1:6" x14ac:dyDescent="0.2">
      <c r="A50" t="s">
        <v>340</v>
      </c>
      <c r="B50" s="629">
        <f>+crosstex!F37</f>
        <v>-3813</v>
      </c>
      <c r="C50" s="65">
        <f>+crosstex!A41</f>
        <v>37334</v>
      </c>
    </row>
    <row r="51" spans="1:6" x14ac:dyDescent="0.2">
      <c r="A51" t="s">
        <v>332</v>
      </c>
      <c r="B51" s="629">
        <f>+Amarillo!P37</f>
        <v>7076</v>
      </c>
      <c r="C51" s="65">
        <f>+Amarillo!A41</f>
        <v>37334</v>
      </c>
    </row>
    <row r="52" spans="1:6" x14ac:dyDescent="0.2">
      <c r="A52" t="s">
        <v>334</v>
      </c>
      <c r="B52" s="251">
        <f>+Stratland!D39</f>
        <v>0</v>
      </c>
    </row>
    <row r="53" spans="1:6" x14ac:dyDescent="0.2">
      <c r="A53" t="s">
        <v>335</v>
      </c>
      <c r="B53" s="251">
        <f>+Plains!N37</f>
        <v>0</v>
      </c>
    </row>
    <row r="54" spans="1:6" x14ac:dyDescent="0.2">
      <c r="A54" t="s">
        <v>109</v>
      </c>
      <c r="B54" s="629">
        <f>+Continental!F39</f>
        <v>5686</v>
      </c>
      <c r="C54" s="65">
        <f>+Continental!A43</f>
        <v>37333</v>
      </c>
    </row>
    <row r="55" spans="1:6" x14ac:dyDescent="0.2">
      <c r="A55" t="s">
        <v>326</v>
      </c>
      <c r="B55" s="629">
        <f>+EPFS!D37</f>
        <v>-17288</v>
      </c>
      <c r="C55" s="65">
        <f>+EPFS!A41</f>
        <v>37334</v>
      </c>
    </row>
    <row r="56" spans="1:6" x14ac:dyDescent="0.2">
      <c r="A56" t="s">
        <v>79</v>
      </c>
      <c r="B56" s="629">
        <f>+Agave!D19</f>
        <v>15337</v>
      </c>
      <c r="C56" s="65">
        <f>+Agave!A25</f>
        <v>37333</v>
      </c>
      <c r="F56" s="31"/>
    </row>
    <row r="57" spans="1:6" x14ac:dyDescent="0.2">
      <c r="A57" t="s">
        <v>88</v>
      </c>
      <c r="B57" s="629">
        <f>+NGPL!H34</f>
        <v>-51342</v>
      </c>
      <c r="C57" s="65">
        <f>+NGPL!A38</f>
        <v>37333</v>
      </c>
    </row>
    <row r="58" spans="1:6" x14ac:dyDescent="0.2">
      <c r="A58" t="s">
        <v>256</v>
      </c>
      <c r="B58" s="629">
        <f>+PEPL!D37</f>
        <v>16703</v>
      </c>
      <c r="C58" s="65">
        <f>+PEPL!A41</f>
        <v>37334</v>
      </c>
    </row>
    <row r="59" spans="1:6" x14ac:dyDescent="0.2">
      <c r="A59" t="s">
        <v>110</v>
      </c>
      <c r="B59" s="251">
        <f>+CIG!D39</f>
        <v>0</v>
      </c>
    </row>
    <row r="60" spans="1:6" x14ac:dyDescent="0.2">
      <c r="A60" t="s">
        <v>31</v>
      </c>
      <c r="B60" s="629">
        <f>+Lonestar!F36</f>
        <v>-23635</v>
      </c>
      <c r="C60" s="65">
        <f>+Lonestar!A43</f>
        <v>37334</v>
      </c>
    </row>
    <row r="61" spans="1:6" x14ac:dyDescent="0.2">
      <c r="A61" t="s">
        <v>260</v>
      </c>
      <c r="B61" s="628">
        <f>-1210135+1131178+64456</f>
        <v>-14501</v>
      </c>
      <c r="C61" s="65">
        <v>37332</v>
      </c>
    </row>
    <row r="62" spans="1:6" x14ac:dyDescent="0.2">
      <c r="B62" s="251">
        <f>SUM(B30:B61)</f>
        <v>-129531</v>
      </c>
    </row>
    <row r="65" spans="1:2" x14ac:dyDescent="0.2">
      <c r="A65" t="s">
        <v>343</v>
      </c>
      <c r="B65" s="251">
        <f>+B62+B27+B17</f>
        <v>-253623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3" workbookViewId="0">
      <selection activeCell="C27" sqref="C2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143879</v>
      </c>
      <c r="D9" s="11">
        <v>19863</v>
      </c>
      <c r="E9" s="11">
        <v>20284</v>
      </c>
      <c r="F9" s="11">
        <f t="shared" ref="F9:F39" si="5">+C9-B9+E9-D9</f>
        <v>-219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159614</v>
      </c>
      <c r="C20" s="11">
        <v>158912</v>
      </c>
      <c r="D20" s="11">
        <v>21074</v>
      </c>
      <c r="E20" s="11">
        <v>20284</v>
      </c>
      <c r="F20" s="11">
        <f t="shared" si="5"/>
        <v>-1492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155441</v>
      </c>
      <c r="C21" s="11">
        <v>170470</v>
      </c>
      <c r="D21" s="11">
        <v>21390</v>
      </c>
      <c r="E21" s="11">
        <v>20284</v>
      </c>
      <c r="F21" s="11">
        <f t="shared" si="5"/>
        <v>13923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170025</v>
      </c>
      <c r="C22" s="11">
        <v>169027</v>
      </c>
      <c r="D22" s="11">
        <v>21032</v>
      </c>
      <c r="E22" s="11">
        <v>20284</v>
      </c>
      <c r="F22" s="11">
        <f t="shared" si="5"/>
        <v>-1746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170359</v>
      </c>
      <c r="C23" s="11">
        <v>168676</v>
      </c>
      <c r="D23" s="11">
        <v>20634</v>
      </c>
      <c r="E23" s="11">
        <v>20284</v>
      </c>
      <c r="F23" s="11">
        <f t="shared" si="5"/>
        <v>-2033</v>
      </c>
      <c r="G23" s="142"/>
      <c r="H23" s="492">
        <f>+A45</f>
        <v>37334</v>
      </c>
      <c r="I23" s="11">
        <f>+B39</f>
        <v>3058497</v>
      </c>
      <c r="J23" s="11">
        <f>+C39</f>
        <v>3047577</v>
      </c>
      <c r="K23" s="11">
        <f>+D39</f>
        <v>391621</v>
      </c>
      <c r="L23" s="11">
        <f>+E39</f>
        <v>379964</v>
      </c>
      <c r="M23" s="42">
        <f>+J23-I23+L23-K23</f>
        <v>-22577</v>
      </c>
      <c r="N23" s="102">
        <f>+summary!G3</f>
        <v>2.66</v>
      </c>
      <c r="O23" s="494">
        <f>+N23*M23</f>
        <v>-60054.82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169633</v>
      </c>
      <c r="C24" s="11">
        <v>168650</v>
      </c>
      <c r="D24" s="11">
        <v>20500</v>
      </c>
      <c r="E24" s="11">
        <v>20284</v>
      </c>
      <c r="F24" s="11">
        <f t="shared" si="5"/>
        <v>-1199</v>
      </c>
      <c r="G24" s="268"/>
      <c r="H24" s="168"/>
      <c r="I24" s="11"/>
      <c r="J24" s="11"/>
      <c r="K24" s="11"/>
      <c r="L24" s="142"/>
      <c r="M24" s="493">
        <f>SUM(M9:M23)</f>
        <v>67223</v>
      </c>
      <c r="N24" s="102"/>
      <c r="O24" s="102">
        <f>SUM(O9:O23)</f>
        <v>508061.51999999996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170001</v>
      </c>
      <c r="C25" s="11">
        <v>169032</v>
      </c>
      <c r="D25" s="11">
        <v>20458</v>
      </c>
      <c r="E25" s="11">
        <v>20284</v>
      </c>
      <c r="F25" s="11">
        <f t="shared" si="5"/>
        <v>-1143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170652</v>
      </c>
      <c r="C26" s="11">
        <v>170475</v>
      </c>
      <c r="D26" s="11">
        <v>20437</v>
      </c>
      <c r="E26" s="11">
        <v>19899</v>
      </c>
      <c r="F26" s="11">
        <f t="shared" si="5"/>
        <v>-715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3058497</v>
      </c>
      <c r="C39" s="150">
        <f>SUM(C8:C38)</f>
        <v>3047577</v>
      </c>
      <c r="D39" s="150">
        <f>SUM(D8:D38)</f>
        <v>391621</v>
      </c>
      <c r="E39" s="150">
        <f>SUM(E8:E38)</f>
        <v>379964</v>
      </c>
      <c r="F39" s="11">
        <f t="shared" si="5"/>
        <v>-22577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8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37334</v>
      </c>
      <c r="B45" s="32"/>
      <c r="C45" s="106"/>
      <c r="D45" s="106"/>
      <c r="E45" s="106"/>
      <c r="F45" s="24">
        <f>+F44+F39</f>
        <v>41612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37334</v>
      </c>
      <c r="B51" s="32"/>
      <c r="C51" s="32"/>
      <c r="D51" s="348">
        <f>+F39*summary!G3</f>
        <v>-60054.82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421331.18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10.125232625204267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2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>
        <v>153443</v>
      </c>
      <c r="C18" s="409">
        <v>152961</v>
      </c>
      <c r="D18" s="307">
        <f t="shared" si="0"/>
        <v>-482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>
        <v>149798</v>
      </c>
      <c r="C19" s="409">
        <v>152961</v>
      </c>
      <c r="D19" s="307">
        <f t="shared" si="0"/>
        <v>3163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>
        <v>154339</v>
      </c>
      <c r="C20" s="409">
        <v>161562</v>
      </c>
      <c r="D20" s="307">
        <f t="shared" si="0"/>
        <v>7223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>
        <v>160561</v>
      </c>
      <c r="C21" s="409">
        <v>162442</v>
      </c>
      <c r="D21" s="307">
        <f t="shared" si="0"/>
        <v>1881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>
        <v>158817</v>
      </c>
      <c r="C22" s="409">
        <v>162414</v>
      </c>
      <c r="D22" s="307">
        <f t="shared" si="0"/>
        <v>3597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>
        <v>164129</v>
      </c>
      <c r="C23" s="409">
        <v>162414</v>
      </c>
      <c r="D23" s="307">
        <f t="shared" si="0"/>
        <v>-1715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>
        <v>157040</v>
      </c>
      <c r="C24" s="435">
        <v>156247</v>
      </c>
      <c r="D24" s="480">
        <f t="shared" si="0"/>
        <v>-793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2977190</v>
      </c>
      <c r="C37" s="409">
        <f>SUM(C6:C36)</f>
        <v>2984829</v>
      </c>
      <c r="D37" s="409">
        <f>SUM(D6:D36)</f>
        <v>7639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3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37334</v>
      </c>
      <c r="B40" s="285"/>
      <c r="C40" s="434"/>
      <c r="D40" s="307">
        <f>+D39+D37</f>
        <v>6188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37334</v>
      </c>
      <c r="B46" s="32"/>
      <c r="C46" s="32"/>
      <c r="D46" s="373">
        <f>+D37*'by type_area'!G3</f>
        <v>20319.740000000002</v>
      </c>
    </row>
    <row r="47" spans="1:16" x14ac:dyDescent="0.2">
      <c r="A47" s="32"/>
      <c r="B47" s="32"/>
      <c r="C47" s="32"/>
      <c r="D47" s="200">
        <f>+D46+D45</f>
        <v>357230.74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14" workbookViewId="0">
      <selection activeCell="C24" sqref="C24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-43001</v>
      </c>
      <c r="C17" s="24">
        <v>-42582</v>
      </c>
      <c r="D17" s="24">
        <f t="shared" si="0"/>
        <v>419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-137</v>
      </c>
      <c r="C18" s="24"/>
      <c r="D18" s="24">
        <f t="shared" si="0"/>
        <v>137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-12361</v>
      </c>
      <c r="C19" s="24">
        <v>-9999</v>
      </c>
      <c r="D19" s="24">
        <f t="shared" si="0"/>
        <v>2362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-4810</v>
      </c>
      <c r="C23" s="24">
        <v>-4530</v>
      </c>
      <c r="D23" s="24">
        <f t="shared" si="0"/>
        <v>280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-365050</v>
      </c>
      <c r="C36" s="24">
        <f>SUM(C5:C35)</f>
        <v>-358131</v>
      </c>
      <c r="D36" s="24">
        <f t="shared" si="0"/>
        <v>6919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2.65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18335.349999999999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1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37334</v>
      </c>
      <c r="B40"/>
      <c r="C40" s="48"/>
      <c r="D40" s="138">
        <f>+D39+D38</f>
        <v>104536.9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6">
        <v>39515</v>
      </c>
    </row>
    <row r="46" spans="1:65" x14ac:dyDescent="0.2">
      <c r="A46" s="49">
        <f>+A40</f>
        <v>37334</v>
      </c>
      <c r="B46" s="32"/>
      <c r="C46" s="32"/>
      <c r="D46" s="348">
        <f>+D36</f>
        <v>6919</v>
      </c>
    </row>
    <row r="47" spans="1:65" x14ac:dyDescent="0.2">
      <c r="A47" s="32"/>
      <c r="B47" s="32"/>
      <c r="C47" s="32"/>
      <c r="D47" s="14">
        <f>+D46+D45</f>
        <v>46434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2.2513007709867767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3" workbookViewId="0">
      <selection activeCell="G22" sqref="G2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560082</v>
      </c>
      <c r="C5" s="90">
        <v>616033</v>
      </c>
      <c r="D5" s="90">
        <f t="shared" ref="D5:D18" si="0">+C5-B5</f>
        <v>55951</v>
      </c>
      <c r="E5" s="275"/>
      <c r="F5" s="273"/>
    </row>
    <row r="6" spans="1:13" x14ac:dyDescent="0.2">
      <c r="A6" s="87">
        <v>78311</v>
      </c>
      <c r="B6" s="90">
        <v>384996</v>
      </c>
      <c r="C6" s="90">
        <v>380999</v>
      </c>
      <c r="D6" s="90">
        <f t="shared" si="0"/>
        <v>-3997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9592</v>
      </c>
      <c r="C7" s="90"/>
      <c r="D7" s="90">
        <f t="shared" si="0"/>
        <v>-9592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543790</v>
      </c>
      <c r="C8" s="90">
        <v>588151</v>
      </c>
      <c r="D8" s="90">
        <f t="shared" si="0"/>
        <v>44361</v>
      </c>
      <c r="E8" s="454"/>
      <c r="F8" s="273"/>
    </row>
    <row r="9" spans="1:13" x14ac:dyDescent="0.2">
      <c r="A9" s="87">
        <v>500239</v>
      </c>
      <c r="B9" s="90">
        <v>711205</v>
      </c>
      <c r="C9" s="90">
        <v>614083</v>
      </c>
      <c r="D9" s="90">
        <f t="shared" si="0"/>
        <v>-97122</v>
      </c>
      <c r="E9" s="275"/>
      <c r="F9" s="273"/>
    </row>
    <row r="10" spans="1:13" x14ac:dyDescent="0.2">
      <c r="A10" s="87">
        <v>500293</v>
      </c>
      <c r="B10" s="90">
        <v>273732</v>
      </c>
      <c r="C10" s="90">
        <v>364771</v>
      </c>
      <c r="D10" s="90">
        <f t="shared" si="0"/>
        <v>91039</v>
      </c>
      <c r="E10" s="275"/>
      <c r="F10" s="273"/>
    </row>
    <row r="11" spans="1:13" x14ac:dyDescent="0.2">
      <c r="A11" s="87">
        <v>500302</v>
      </c>
      <c r="B11" s="90"/>
      <c r="C11" s="305">
        <v>4997</v>
      </c>
      <c r="D11" s="90">
        <f t="shared" si="0"/>
        <v>4997</v>
      </c>
      <c r="E11" s="275"/>
      <c r="F11" s="273"/>
    </row>
    <row r="12" spans="1:13" x14ac:dyDescent="0.2">
      <c r="A12" s="87">
        <v>500303</v>
      </c>
      <c r="B12" s="90"/>
      <c r="C12" s="305">
        <v>28264</v>
      </c>
      <c r="D12" s="90">
        <f t="shared" si="0"/>
        <v>28264</v>
      </c>
      <c r="E12" s="276"/>
      <c r="F12" s="464"/>
      <c r="G12" s="90"/>
    </row>
    <row r="13" spans="1:13" x14ac:dyDescent="0.2">
      <c r="A13" s="91">
        <v>500305</v>
      </c>
      <c r="B13" s="90">
        <v>862636</v>
      </c>
      <c r="C13" s="90">
        <v>950211</v>
      </c>
      <c r="D13" s="90">
        <f t="shared" si="0"/>
        <v>87575</v>
      </c>
      <c r="E13" s="275"/>
      <c r="F13" s="273"/>
    </row>
    <row r="14" spans="1:13" x14ac:dyDescent="0.2">
      <c r="A14" s="87">
        <v>500307</v>
      </c>
      <c r="B14" s="90">
        <f>51484+3138</f>
        <v>54622</v>
      </c>
      <c r="C14" s="90">
        <v>38304</v>
      </c>
      <c r="D14" s="90">
        <f t="shared" si="0"/>
        <v>-16318</v>
      </c>
      <c r="E14" s="275"/>
      <c r="F14" s="273"/>
    </row>
    <row r="15" spans="1:13" x14ac:dyDescent="0.2">
      <c r="A15" s="87">
        <v>500313</v>
      </c>
      <c r="B15" s="90"/>
      <c r="C15" s="90">
        <v>1818</v>
      </c>
      <c r="D15" s="90">
        <f t="shared" si="0"/>
        <v>1818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140900</v>
      </c>
      <c r="C17" s="90"/>
      <c r="D17" s="90">
        <f t="shared" si="0"/>
        <v>-140900</v>
      </c>
      <c r="E17" s="275"/>
      <c r="F17" s="273"/>
      <c r="G17" s="554"/>
    </row>
    <row r="18" spans="1:7" x14ac:dyDescent="0.2">
      <c r="A18" s="87">
        <v>500657</v>
      </c>
      <c r="B18" s="88">
        <v>70239</v>
      </c>
      <c r="C18" s="88">
        <v>39500</v>
      </c>
      <c r="D18" s="94">
        <f t="shared" si="0"/>
        <v>-30739</v>
      </c>
      <c r="E18" s="275"/>
      <c r="F18" s="464"/>
    </row>
    <row r="19" spans="1:7" x14ac:dyDescent="0.2">
      <c r="A19" s="87"/>
      <c r="B19" s="88"/>
      <c r="C19" s="88"/>
      <c r="D19" s="88">
        <f>SUM(D5:D18)</f>
        <v>15337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2.65</v>
      </c>
      <c r="E20" s="207"/>
      <c r="F20" s="464"/>
    </row>
    <row r="21" spans="1:7" x14ac:dyDescent="0.2">
      <c r="A21" s="87"/>
      <c r="B21" s="88"/>
      <c r="C21" s="88"/>
      <c r="D21" s="96">
        <f>+D20*D19</f>
        <v>40643.049999999996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7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37333</v>
      </c>
      <c r="B25" s="88"/>
      <c r="C25" s="88"/>
      <c r="D25" s="318">
        <f>+D23+D21</f>
        <v>79132.350000000006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37333</v>
      </c>
      <c r="B30" s="32"/>
      <c r="C30" s="32"/>
      <c r="D30" s="348">
        <f>+D19</f>
        <v>15337</v>
      </c>
    </row>
    <row r="31" spans="1:7" x14ac:dyDescent="0.2">
      <c r="A31" s="32"/>
      <c r="B31" s="32"/>
      <c r="C31" s="32"/>
      <c r="D31" s="14">
        <f>+D30+D29</f>
        <v>46571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1.6991765261643512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4" workbookViewId="0">
      <selection activeCell="C23" sqref="C2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26039</v>
      </c>
      <c r="E11" s="11">
        <v>26690</v>
      </c>
      <c r="F11" s="25">
        <f>+E11+C11-D11-B11</f>
        <v>-3919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24747</v>
      </c>
      <c r="E12" s="11">
        <v>26414</v>
      </c>
      <c r="F12" s="25">
        <f>+E12+C12-D12-B12</f>
        <v>-1311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26875</v>
      </c>
      <c r="C15" s="11">
        <v>26999</v>
      </c>
      <c r="D15" s="11">
        <v>29218</v>
      </c>
      <c r="E15" s="11">
        <v>26519</v>
      </c>
      <c r="F15" s="25">
        <f t="shared" si="2"/>
        <v>-2575</v>
      </c>
      <c r="G15" s="25"/>
    </row>
    <row r="16" spans="1:14" x14ac:dyDescent="0.2">
      <c r="A16" s="41">
        <v>13</v>
      </c>
      <c r="B16" s="11">
        <v>25809</v>
      </c>
      <c r="C16" s="11">
        <v>27458</v>
      </c>
      <c r="D16" s="11">
        <v>25656</v>
      </c>
      <c r="E16" s="11">
        <v>27000</v>
      </c>
      <c r="F16" s="25">
        <f t="shared" si="2"/>
        <v>2993</v>
      </c>
      <c r="G16" s="25"/>
    </row>
    <row r="17" spans="1:7" x14ac:dyDescent="0.2">
      <c r="A17" s="41">
        <v>14</v>
      </c>
      <c r="B17" s="11">
        <v>26084</v>
      </c>
      <c r="C17" s="11">
        <v>30146</v>
      </c>
      <c r="D17" s="11">
        <v>27434</v>
      </c>
      <c r="E17" s="11">
        <v>27000</v>
      </c>
      <c r="F17" s="25">
        <f t="shared" si="2"/>
        <v>3628</v>
      </c>
      <c r="G17" s="25"/>
    </row>
    <row r="18" spans="1:7" x14ac:dyDescent="0.2">
      <c r="A18" s="41">
        <v>15</v>
      </c>
      <c r="B18" s="11">
        <v>24832</v>
      </c>
      <c r="C18" s="11">
        <v>29458</v>
      </c>
      <c r="D18" s="11">
        <v>26769</v>
      </c>
      <c r="E18" s="11">
        <v>27000</v>
      </c>
      <c r="F18" s="25">
        <f t="shared" si="2"/>
        <v>4857</v>
      </c>
      <c r="G18" s="25"/>
    </row>
    <row r="19" spans="1:7" x14ac:dyDescent="0.2">
      <c r="A19" s="41">
        <v>16</v>
      </c>
      <c r="B19" s="11">
        <v>29408</v>
      </c>
      <c r="C19" s="11">
        <v>30458</v>
      </c>
      <c r="D19" s="11">
        <v>30762</v>
      </c>
      <c r="E19" s="11">
        <v>27000</v>
      </c>
      <c r="F19" s="25">
        <f t="shared" si="2"/>
        <v>-2712</v>
      </c>
      <c r="G19" s="25"/>
    </row>
    <row r="20" spans="1:7" x14ac:dyDescent="0.2">
      <c r="A20" s="41">
        <v>17</v>
      </c>
      <c r="B20" s="11">
        <v>25730</v>
      </c>
      <c r="C20" s="11">
        <v>30458</v>
      </c>
      <c r="D20" s="11">
        <v>33332</v>
      </c>
      <c r="E20" s="11">
        <v>27000</v>
      </c>
      <c r="F20" s="25">
        <f t="shared" si="2"/>
        <v>-1604</v>
      </c>
      <c r="G20" s="25"/>
    </row>
    <row r="21" spans="1:7" x14ac:dyDescent="0.2">
      <c r="A21" s="41">
        <v>18</v>
      </c>
      <c r="B21" s="11">
        <v>26351</v>
      </c>
      <c r="C21" s="11">
        <v>30458</v>
      </c>
      <c r="D21" s="129">
        <v>35417</v>
      </c>
      <c r="E21" s="11">
        <v>27000</v>
      </c>
      <c r="F21" s="25">
        <f t="shared" si="2"/>
        <v>-4310</v>
      </c>
      <c r="G21" s="25"/>
    </row>
    <row r="22" spans="1:7" x14ac:dyDescent="0.2">
      <c r="A22" s="41">
        <v>19</v>
      </c>
      <c r="B22" s="11">
        <v>26921</v>
      </c>
      <c r="C22" s="11">
        <v>25821</v>
      </c>
      <c r="D22" s="11">
        <v>29514</v>
      </c>
      <c r="E22" s="11">
        <v>31819</v>
      </c>
      <c r="F22" s="25">
        <f t="shared" si="2"/>
        <v>1205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514773</v>
      </c>
      <c r="C35" s="11">
        <f>SUM(C4:C34)</f>
        <v>498745</v>
      </c>
      <c r="D35" s="11">
        <f>SUM(D4:D34)</f>
        <v>522961</v>
      </c>
      <c r="E35" s="11">
        <f>SUM(E4:E34)</f>
        <v>507278</v>
      </c>
      <c r="F35" s="11">
        <f>+E35-D35+C35-B35</f>
        <v>-31711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2.65</v>
      </c>
    </row>
    <row r="38" spans="1:7" x14ac:dyDescent="0.2">
      <c r="C38" s="48"/>
      <c r="D38" s="47"/>
      <c r="E38" s="48"/>
      <c r="F38" s="46">
        <f>+F37*F35</f>
        <v>-84034.15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8">
        <v>494173.81</v>
      </c>
      <c r="G40" s="25"/>
    </row>
    <row r="41" spans="1:7" x14ac:dyDescent="0.2">
      <c r="A41" s="57">
        <v>37334</v>
      </c>
      <c r="C41" s="106"/>
      <c r="D41" s="106"/>
      <c r="E41" s="106"/>
      <c r="F41" s="106">
        <f>+F38+F40</f>
        <v>410139.66000000003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599">
        <v>33900</v>
      </c>
      <c r="E46" s="11"/>
      <c r="F46" s="11"/>
      <c r="G46" s="25"/>
    </row>
    <row r="47" spans="1:7" x14ac:dyDescent="0.2">
      <c r="A47" s="49">
        <f>+A41</f>
        <v>37334</v>
      </c>
      <c r="D47" s="348">
        <f>+F35</f>
        <v>-31711</v>
      </c>
      <c r="E47" s="11"/>
      <c r="F47" s="11"/>
      <c r="G47" s="25"/>
    </row>
    <row r="48" spans="1:7" x14ac:dyDescent="0.2">
      <c r="D48" s="14">
        <f>+D47+D46</f>
        <v>2189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2" workbookViewId="0">
      <selection activeCell="E24" sqref="E24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186342</v>
      </c>
      <c r="C18" s="11">
        <v>198329</v>
      </c>
      <c r="D18" s="11"/>
      <c r="E18" s="11">
        <v>-6970</v>
      </c>
      <c r="F18" s="11">
        <f t="shared" si="2"/>
        <v>5017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148727</v>
      </c>
      <c r="C19" s="11">
        <v>166258</v>
      </c>
      <c r="D19" s="11"/>
      <c r="E19" s="11">
        <v>-16850</v>
      </c>
      <c r="F19" s="11">
        <f t="shared" si="2"/>
        <v>681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137525</v>
      </c>
      <c r="C20" s="11">
        <v>161364</v>
      </c>
      <c r="D20" s="11"/>
      <c r="E20" s="11">
        <v>-24482</v>
      </c>
      <c r="F20" s="11">
        <f t="shared" si="2"/>
        <v>-643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122199</v>
      </c>
      <c r="C21" s="11">
        <v>161105</v>
      </c>
      <c r="D21" s="11"/>
      <c r="E21" s="11">
        <v>-39833</v>
      </c>
      <c r="F21" s="11">
        <f t="shared" si="2"/>
        <v>-927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113749</v>
      </c>
      <c r="C22" s="11">
        <v>158229</v>
      </c>
      <c r="D22" s="11"/>
      <c r="E22" s="11">
        <v>-45189</v>
      </c>
      <c r="F22" s="11">
        <f t="shared" si="2"/>
        <v>-709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116549</v>
      </c>
      <c r="C23" s="11">
        <v>165584</v>
      </c>
      <c r="D23" s="11"/>
      <c r="E23" s="11">
        <v>-49571</v>
      </c>
      <c r="F23" s="11">
        <f t="shared" si="2"/>
        <v>-536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3099731</v>
      </c>
      <c r="C36" s="11">
        <f>SUM(C5:C35)</f>
        <v>3385542</v>
      </c>
      <c r="D36" s="11">
        <f>SUM(D5:D35)</f>
        <v>0</v>
      </c>
      <c r="E36" s="11">
        <f>SUM(E5:E35)</f>
        <v>-278042</v>
      </c>
      <c r="F36" s="11">
        <f>SUM(F5:F35)</f>
        <v>7769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4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37334</v>
      </c>
      <c r="F41" s="332">
        <f>+F39+F36</f>
        <v>-8370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37334</v>
      </c>
      <c r="C48" s="32"/>
      <c r="D48" s="32"/>
      <c r="E48" s="373">
        <f>+F36*'by type_area'!G3</f>
        <v>20665.54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-473100.46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5" workbookViewId="0">
      <selection activeCell="C27" sqref="C27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78478</v>
      </c>
      <c r="C11" s="11">
        <v>78052</v>
      </c>
      <c r="D11" s="11">
        <f t="shared" si="0"/>
        <v>-426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78188</v>
      </c>
      <c r="C16" s="11">
        <v>78221</v>
      </c>
      <c r="D16" s="11">
        <f t="shared" si="0"/>
        <v>33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>
        <v>94139</v>
      </c>
      <c r="C20" s="11">
        <v>93799</v>
      </c>
      <c r="D20" s="11">
        <f t="shared" si="0"/>
        <v>-340</v>
      </c>
      <c r="E20" s="10"/>
      <c r="F20" s="11"/>
      <c r="G20" s="11"/>
      <c r="H20" s="11"/>
    </row>
    <row r="21" spans="1:8" x14ac:dyDescent="0.2">
      <c r="A21" s="10">
        <v>14</v>
      </c>
      <c r="B21" s="11">
        <v>84378</v>
      </c>
      <c r="C21" s="11">
        <v>93799</v>
      </c>
      <c r="D21" s="11">
        <f t="shared" si="0"/>
        <v>9421</v>
      </c>
      <c r="E21" s="10"/>
      <c r="F21" s="11"/>
      <c r="G21" s="11"/>
      <c r="H21" s="11"/>
    </row>
    <row r="22" spans="1:8" x14ac:dyDescent="0.2">
      <c r="A22" s="10">
        <v>15</v>
      </c>
      <c r="B22" s="11">
        <v>70956</v>
      </c>
      <c r="C22" s="11">
        <v>75411</v>
      </c>
      <c r="D22" s="11">
        <f t="shared" si="0"/>
        <v>4455</v>
      </c>
      <c r="E22" s="10"/>
      <c r="F22" s="11"/>
      <c r="G22" s="11"/>
      <c r="H22" s="11"/>
    </row>
    <row r="23" spans="1:8" x14ac:dyDescent="0.2">
      <c r="A23" s="10">
        <v>16</v>
      </c>
      <c r="B23" s="11">
        <v>68000</v>
      </c>
      <c r="C23" s="11">
        <v>68870</v>
      </c>
      <c r="D23" s="11">
        <f t="shared" si="0"/>
        <v>870</v>
      </c>
      <c r="E23" s="10"/>
      <c r="F23" s="11"/>
      <c r="G23" s="11"/>
      <c r="H23" s="11"/>
    </row>
    <row r="24" spans="1:8" x14ac:dyDescent="0.2">
      <c r="A24" s="10">
        <v>17</v>
      </c>
      <c r="B24" s="11">
        <v>82820</v>
      </c>
      <c r="C24" s="11">
        <v>80397</v>
      </c>
      <c r="D24" s="11">
        <f t="shared" si="0"/>
        <v>-2423</v>
      </c>
      <c r="E24" s="10"/>
      <c r="F24" s="11"/>
      <c r="G24" s="11"/>
      <c r="H24" s="11"/>
    </row>
    <row r="25" spans="1:8" x14ac:dyDescent="0.2">
      <c r="A25" s="10">
        <v>18</v>
      </c>
      <c r="B25" s="11">
        <v>81000</v>
      </c>
      <c r="C25" s="11">
        <v>80685</v>
      </c>
      <c r="D25" s="11">
        <f t="shared" si="0"/>
        <v>-315</v>
      </c>
      <c r="E25" s="10"/>
      <c r="F25" s="11"/>
      <c r="G25" s="11"/>
      <c r="H25" s="11"/>
    </row>
    <row r="26" spans="1:8" x14ac:dyDescent="0.2">
      <c r="A26" s="10">
        <v>19</v>
      </c>
      <c r="B26" s="11">
        <v>81001</v>
      </c>
      <c r="C26" s="11">
        <v>78832</v>
      </c>
      <c r="D26" s="11">
        <f t="shared" si="0"/>
        <v>-2169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1561357</v>
      </c>
      <c r="C39" s="11">
        <f>SUM(C8:C38)</f>
        <v>1566811</v>
      </c>
      <c r="D39" s="11">
        <f>SUM(D8:D38)</f>
        <v>5454</v>
      </c>
      <c r="E39" s="10"/>
      <c r="F39" s="11"/>
      <c r="G39" s="11"/>
      <c r="H39" s="11"/>
    </row>
    <row r="40" spans="1:8" x14ac:dyDescent="0.2">
      <c r="A40" s="26"/>
      <c r="D40" s="75">
        <f>+summary!G4</f>
        <v>2.65</v>
      </c>
      <c r="E40" s="26"/>
      <c r="H40" s="75"/>
    </row>
    <row r="41" spans="1:8" x14ac:dyDescent="0.2">
      <c r="D41" s="195">
        <f>+D40*D39</f>
        <v>14453.1</v>
      </c>
      <c r="F41" s="247"/>
      <c r="H41" s="195"/>
    </row>
    <row r="42" spans="1:8" x14ac:dyDescent="0.2">
      <c r="A42" s="57">
        <v>37315</v>
      </c>
      <c r="D42" s="620">
        <v>21511.71</v>
      </c>
      <c r="E42" s="57"/>
      <c r="H42" s="195"/>
    </row>
    <row r="43" spans="1:8" x14ac:dyDescent="0.2">
      <c r="A43" s="57">
        <v>37334</v>
      </c>
      <c r="D43" s="196">
        <f>+D42+D41</f>
        <v>35964.81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6">
        <v>-45555</v>
      </c>
    </row>
    <row r="49" spans="1:4" x14ac:dyDescent="0.2">
      <c r="A49" s="49">
        <f>+A43</f>
        <v>37334</v>
      </c>
      <c r="B49" s="32"/>
      <c r="C49" s="32"/>
      <c r="D49" s="348">
        <f>+D39</f>
        <v>5454</v>
      </c>
    </row>
    <row r="50" spans="1:4" x14ac:dyDescent="0.2">
      <c r="A50" s="32"/>
      <c r="B50" s="32"/>
      <c r="C50" s="32"/>
      <c r="D50" s="14">
        <f>+D49+D48</f>
        <v>-40101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7" workbookViewId="0">
      <selection activeCell="B10" sqref="B10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7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37333</v>
      </c>
      <c r="I7" s="3" t="s">
        <v>253</v>
      </c>
      <c r="J7" s="15"/>
    </row>
    <row r="8" spans="1:14" x14ac:dyDescent="0.2">
      <c r="A8" s="248">
        <v>50895</v>
      </c>
      <c r="B8" s="339">
        <f>3596-3724</f>
        <v>-128</v>
      </c>
      <c r="J8" s="15"/>
    </row>
    <row r="9" spans="1:14" x14ac:dyDescent="0.2">
      <c r="A9" s="248">
        <v>60874</v>
      </c>
      <c r="B9" s="339">
        <v>1983</v>
      </c>
      <c r="J9" s="15"/>
    </row>
    <row r="10" spans="1:14" x14ac:dyDescent="0.2">
      <c r="A10" s="248">
        <v>78169</v>
      </c>
      <c r="B10" s="626">
        <f>438724-305066-16918-20925-15496-21267-21330-21309</f>
        <v>16413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7552-8919</f>
        <v>-1367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2158-1044</f>
        <v>1114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8990-9297</f>
        <v>-307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7">
        <f>727157-234575-17721-30705-26486-25441-25527-26726-51134-50401-47830-53210-51605-55157</f>
        <v>30639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48346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2.65</v>
      </c>
      <c r="C19" s="199">
        <f>+B19*B18</f>
        <v>128116.9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1628091.5799999998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7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2.65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6">
        <v>363784</v>
      </c>
      <c r="G38" s="608">
        <v>117857</v>
      </c>
      <c r="H38" s="606">
        <v>197167</v>
      </c>
      <c r="I38" s="14"/>
    </row>
    <row r="39" spans="1:9" x14ac:dyDescent="0.2">
      <c r="E39" s="49">
        <f>+A7</f>
        <v>37333</v>
      </c>
      <c r="F39" s="348">
        <f>+B18</f>
        <v>48346</v>
      </c>
      <c r="G39" s="348">
        <f>+B31</f>
        <v>0</v>
      </c>
      <c r="H39" s="348">
        <f>+B46</f>
        <v>1655</v>
      </c>
      <c r="I39" s="14"/>
    </row>
    <row r="40" spans="1:9" x14ac:dyDescent="0.2">
      <c r="A40" s="49">
        <v>37315</v>
      </c>
      <c r="C40" s="607">
        <v>863723.35</v>
      </c>
      <c r="F40" s="14">
        <f>+F39+F38</f>
        <v>412130</v>
      </c>
      <c r="G40" s="14">
        <f>+G39+G38</f>
        <v>117857</v>
      </c>
      <c r="H40" s="14">
        <f>+H39+H38</f>
        <v>198822</v>
      </c>
      <c r="I40" s="14">
        <f>+H40+G40+F40</f>
        <v>728809</v>
      </c>
    </row>
    <row r="41" spans="1:9" x14ac:dyDescent="0.2">
      <c r="G41" s="32"/>
      <c r="H41" s="15"/>
      <c r="I41" s="32"/>
    </row>
    <row r="42" spans="1:9" x14ac:dyDescent="0.2">
      <c r="A42" s="245">
        <v>37333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1655</v>
      </c>
      <c r="G45" s="32"/>
      <c r="H45" s="379"/>
      <c r="I45" s="14"/>
    </row>
    <row r="46" spans="1:9" x14ac:dyDescent="0.2">
      <c r="B46" s="14">
        <f>SUM(B43:B45)</f>
        <v>1655</v>
      </c>
      <c r="G46" s="32"/>
      <c r="H46" s="379"/>
      <c r="I46" s="14"/>
    </row>
    <row r="47" spans="1:9" x14ac:dyDescent="0.2">
      <c r="B47" s="199">
        <f>+summary!G5</f>
        <v>2.65</v>
      </c>
      <c r="C47" s="199">
        <f>+B47*B46</f>
        <v>4385.75</v>
      </c>
      <c r="H47" s="379"/>
      <c r="I47" s="14"/>
    </row>
    <row r="48" spans="1:9" x14ac:dyDescent="0.2">
      <c r="C48" s="321">
        <f>+C47+C40</f>
        <v>868109.1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5">
        <v>23612.35</v>
      </c>
      <c r="D54" s="32" t="s">
        <v>120</v>
      </c>
      <c r="H54" s="379">
        <v>22664</v>
      </c>
      <c r="I54" s="604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2868571.83</v>
      </c>
      <c r="I57" s="14">
        <f>SUM(I40:I54)</f>
        <v>784142</v>
      </c>
    </row>
    <row r="61" spans="1:9" x14ac:dyDescent="0.2">
      <c r="C61" s="15">
        <f>+DEFS!F49</f>
        <v>-2897256.3100000005</v>
      </c>
    </row>
    <row r="62" spans="1:9" x14ac:dyDescent="0.2">
      <c r="C62" s="15">
        <f>+C61+C57</f>
        <v>-28684.480000000447</v>
      </c>
      <c r="I62" s="31">
        <f>+I57+DEFS!K49</f>
        <v>303622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1628091.5799999998</v>
      </c>
      <c r="C72" s="14">
        <f>+F40</f>
        <v>412130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868109.1</v>
      </c>
      <c r="C74" s="14">
        <f>+H40</f>
        <v>198822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-1051416.1599999999</v>
      </c>
      <c r="C77" s="14">
        <f>+DEFS!I36</f>
        <v>-189813</v>
      </c>
      <c r="D77" s="16"/>
    </row>
    <row r="78" spans="1:4" x14ac:dyDescent="0.2">
      <c r="A78" s="32">
        <v>22051</v>
      </c>
      <c r="B78" s="15">
        <f>+DEFS!E40</f>
        <v>-641023.02</v>
      </c>
      <c r="C78" s="14">
        <f>+DEFS!J36</f>
        <v>-162200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-28684.480000000214</v>
      </c>
      <c r="C83" s="16">
        <f>SUM(C72:C82)</f>
        <v>303622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5" sqref="A45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>
        <v>265</v>
      </c>
      <c r="C16" s="11"/>
      <c r="D16" s="11">
        <v>30293</v>
      </c>
      <c r="E16" s="11">
        <v>33120</v>
      </c>
      <c r="F16" s="11">
        <f t="shared" si="0"/>
        <v>2562</v>
      </c>
      <c r="G16" s="11"/>
      <c r="I16" s="11"/>
      <c r="J16" s="24"/>
    </row>
    <row r="17" spans="1:10" x14ac:dyDescent="0.2">
      <c r="A17" s="10">
        <v>14</v>
      </c>
      <c r="B17" s="11">
        <v>259</v>
      </c>
      <c r="C17" s="11"/>
      <c r="D17" s="11">
        <v>32532</v>
      </c>
      <c r="E17" s="11">
        <v>33120</v>
      </c>
      <c r="F17" s="11">
        <f t="shared" si="0"/>
        <v>329</v>
      </c>
      <c r="G17" s="11"/>
      <c r="I17" s="11"/>
      <c r="J17" s="24"/>
    </row>
    <row r="18" spans="1:10" x14ac:dyDescent="0.2">
      <c r="A18" s="10">
        <v>15</v>
      </c>
      <c r="B18" s="11">
        <v>236</v>
      </c>
      <c r="C18" s="11"/>
      <c r="D18" s="11">
        <v>23932</v>
      </c>
      <c r="E18" s="11">
        <v>33120</v>
      </c>
      <c r="F18" s="11">
        <f t="shared" si="0"/>
        <v>8952</v>
      </c>
      <c r="G18" s="11"/>
      <c r="I18" s="11"/>
      <c r="J18" s="24"/>
    </row>
    <row r="19" spans="1:10" x14ac:dyDescent="0.2">
      <c r="A19" s="10">
        <v>16</v>
      </c>
      <c r="B19" s="11">
        <v>271</v>
      </c>
      <c r="C19" s="11"/>
      <c r="D19" s="11">
        <v>33597</v>
      </c>
      <c r="E19" s="11">
        <v>32657</v>
      </c>
      <c r="F19" s="11">
        <f t="shared" si="0"/>
        <v>-1211</v>
      </c>
      <c r="G19" s="11"/>
      <c r="I19" s="11"/>
      <c r="J19" s="24"/>
    </row>
    <row r="20" spans="1:10" x14ac:dyDescent="0.2">
      <c r="A20" s="10">
        <v>17</v>
      </c>
      <c r="B20" s="11">
        <v>274</v>
      </c>
      <c r="C20" s="11"/>
      <c r="D20" s="11">
        <v>33619</v>
      </c>
      <c r="E20" s="11">
        <v>33120</v>
      </c>
      <c r="F20" s="11">
        <f t="shared" si="0"/>
        <v>-773</v>
      </c>
      <c r="G20" s="11"/>
      <c r="I20" s="11"/>
      <c r="J20" s="24"/>
    </row>
    <row r="21" spans="1:10" x14ac:dyDescent="0.2">
      <c r="A21" s="10">
        <v>18</v>
      </c>
      <c r="B21" s="129">
        <v>307</v>
      </c>
      <c r="C21" s="11"/>
      <c r="D21" s="11">
        <v>33637</v>
      </c>
      <c r="E21" s="11">
        <v>33120</v>
      </c>
      <c r="F21" s="11">
        <f t="shared" si="0"/>
        <v>-824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6">
        <v>-183022</v>
      </c>
      <c r="J34" s="606">
        <v>-164488</v>
      </c>
      <c r="K34" s="14"/>
      <c r="L34" s="14"/>
    </row>
    <row r="35" spans="1:13" x14ac:dyDescent="0.2">
      <c r="A35" s="10"/>
      <c r="B35" s="11">
        <f>SUM(B4:B34)</f>
        <v>6791</v>
      </c>
      <c r="C35" s="11">
        <f>SUM(C4:C34)</f>
        <v>0</v>
      </c>
      <c r="D35" s="11">
        <f>SUM(D4:D34)</f>
        <v>598474</v>
      </c>
      <c r="E35" s="11">
        <f>SUM(E4:E34)</f>
        <v>600762</v>
      </c>
      <c r="F35" s="11">
        <f>SUM(F4:F34)</f>
        <v>-4503</v>
      </c>
      <c r="G35" s="11"/>
      <c r="H35" s="49">
        <f>+A40</f>
        <v>37333</v>
      </c>
      <c r="I35" s="348">
        <f>+C36</f>
        <v>-6791</v>
      </c>
      <c r="J35" s="348">
        <f>+E36</f>
        <v>2288</v>
      </c>
      <c r="K35" s="206"/>
      <c r="L35" s="14"/>
    </row>
    <row r="36" spans="1:13" x14ac:dyDescent="0.2">
      <c r="C36" s="25">
        <f>+C35-B35</f>
        <v>-6791</v>
      </c>
      <c r="E36" s="25">
        <f>+E35-D35</f>
        <v>2288</v>
      </c>
      <c r="F36" s="25">
        <f>+E36+C36</f>
        <v>-4503</v>
      </c>
      <c r="H36" s="32"/>
      <c r="I36" s="14">
        <f>+I35+I34</f>
        <v>-189813</v>
      </c>
      <c r="J36" s="14">
        <f>+J35+J34</f>
        <v>-162200</v>
      </c>
      <c r="K36" s="14">
        <f>+J36+I36</f>
        <v>-352013</v>
      </c>
      <c r="L36" s="14"/>
    </row>
    <row r="37" spans="1:13" x14ac:dyDescent="0.2">
      <c r="C37" s="313">
        <f>+summary!G5</f>
        <v>2.65</v>
      </c>
      <c r="E37" s="104">
        <f>+C37</f>
        <v>2.65</v>
      </c>
      <c r="F37" s="138">
        <f>+F36*E37</f>
        <v>-11932.949999999999</v>
      </c>
    </row>
    <row r="38" spans="1:13" x14ac:dyDescent="0.2">
      <c r="C38" s="138">
        <f>+C37*C36</f>
        <v>-17996.149999999998</v>
      </c>
      <c r="E38" s="136">
        <f>+E37*E36</f>
        <v>6063.2</v>
      </c>
      <c r="F38" s="138">
        <f>+E38+C38</f>
        <v>-11932.949999999997</v>
      </c>
    </row>
    <row r="39" spans="1:13" x14ac:dyDescent="0.2">
      <c r="A39" s="57">
        <v>37315</v>
      </c>
      <c r="B39" s="2" t="s">
        <v>45</v>
      </c>
      <c r="C39" s="613">
        <v>-1033420.01</v>
      </c>
      <c r="D39" s="320"/>
      <c r="E39" s="612">
        <v>-647086.22</v>
      </c>
      <c r="F39" s="319">
        <f>+E39+C39</f>
        <v>-1680506.23</v>
      </c>
    </row>
    <row r="40" spans="1:13" x14ac:dyDescent="0.2">
      <c r="A40" s="57">
        <v>37333</v>
      </c>
      <c r="B40" s="2" t="s">
        <v>45</v>
      </c>
      <c r="C40" s="314">
        <f>+C39+C38</f>
        <v>-1051416.1599999999</v>
      </c>
      <c r="D40" s="252"/>
      <c r="E40" s="314">
        <f>+E39+E38</f>
        <v>-641023.02</v>
      </c>
      <c r="F40" s="314">
        <f>+E40+C40</f>
        <v>-1692439.18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7">
        <v>-51695.87</v>
      </c>
      <c r="G45" s="249" t="s">
        <v>122</v>
      </c>
      <c r="J45" s="12">
        <v>20379</v>
      </c>
      <c r="K45" s="608">
        <v>2979</v>
      </c>
      <c r="M45" s="14"/>
    </row>
    <row r="46" spans="1:13" x14ac:dyDescent="0.2">
      <c r="C46" s="246"/>
      <c r="D46" s="246"/>
      <c r="E46" s="12">
        <v>26357</v>
      </c>
      <c r="F46" s="615">
        <f>44144.84-58339.66</f>
        <v>-14194.820000000007</v>
      </c>
      <c r="G46" s="249" t="s">
        <v>123</v>
      </c>
      <c r="J46" s="12">
        <v>26357</v>
      </c>
      <c r="K46" s="608">
        <f>26521-24566</f>
        <v>1955</v>
      </c>
    </row>
    <row r="47" spans="1:13" x14ac:dyDescent="0.2">
      <c r="C47" s="246"/>
      <c r="D47" s="246"/>
      <c r="E47" s="12">
        <v>21544</v>
      </c>
      <c r="F47" s="607">
        <v>61340.160000000003</v>
      </c>
      <c r="G47" s="249" t="s">
        <v>124</v>
      </c>
      <c r="J47" s="12">
        <v>21544</v>
      </c>
      <c r="K47" s="608">
        <v>36108</v>
      </c>
    </row>
    <row r="48" spans="1:13" x14ac:dyDescent="0.2">
      <c r="C48" s="246"/>
      <c r="D48" s="246"/>
      <c r="E48" s="12">
        <v>24532</v>
      </c>
      <c r="F48" s="614">
        <v>-1200266.6000000001</v>
      </c>
      <c r="G48" s="249" t="s">
        <v>121</v>
      </c>
      <c r="J48" s="12">
        <v>24532</v>
      </c>
      <c r="K48" s="606">
        <v>-169549</v>
      </c>
    </row>
    <row r="49" spans="3:13" x14ac:dyDescent="0.2">
      <c r="C49" s="246"/>
      <c r="D49" s="246"/>
      <c r="F49" s="330">
        <f>SUM(F40:F48)</f>
        <v>-2897256.3100000005</v>
      </c>
      <c r="G49" s="246"/>
      <c r="K49" s="14">
        <f>SUM(K36:K48)</f>
        <v>-480520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2868571.83</v>
      </c>
      <c r="M51" s="14">
        <f>+Duke!I57</f>
        <v>784142</v>
      </c>
    </row>
    <row r="53" spans="3:13" x14ac:dyDescent="0.2">
      <c r="F53" s="104">
        <f>+F51+F49</f>
        <v>-28684.480000000447</v>
      </c>
      <c r="M53" s="16">
        <f>+M51+K49</f>
        <v>303622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-189813</v>
      </c>
      <c r="C73" s="247">
        <f>+C40</f>
        <v>-1051416.1599999999</v>
      </c>
    </row>
    <row r="74" spans="1:3" x14ac:dyDescent="0.2">
      <c r="A74">
        <v>22051</v>
      </c>
      <c r="B74" s="31">
        <f>+J36</f>
        <v>-162200</v>
      </c>
      <c r="C74" s="247">
        <f>+E40</f>
        <v>-641023.02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198822</v>
      </c>
      <c r="C77" s="259">
        <f>+Duke!C48</f>
        <v>868109.1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412130</v>
      </c>
      <c r="C79" s="259">
        <f>+Duke!C20</f>
        <v>1628091.5799999998</v>
      </c>
    </row>
    <row r="81" spans="2:3" x14ac:dyDescent="0.2">
      <c r="B81" s="31">
        <f>SUM(B68:B80)</f>
        <v>303622</v>
      </c>
      <c r="C81" s="259">
        <f>SUM(C68:C80)</f>
        <v>-28684.479999999981</v>
      </c>
    </row>
    <row r="82" spans="2:3" x14ac:dyDescent="0.2">
      <c r="C82">
        <f>+C81/B81</f>
        <v>-9.4474313455546632E-2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workbookViewId="0">
      <selection activeCell="D12" sqref="D12"/>
    </sheetView>
  </sheetViews>
  <sheetFormatPr defaultRowHeight="12.75" x14ac:dyDescent="0.2"/>
  <cols>
    <col min="2" max="2" width="10" customWidth="1"/>
    <col min="3" max="3" width="9.28515625" bestFit="1" customWidth="1"/>
    <col min="4" max="4" width="9" bestFit="1" customWidth="1"/>
    <col min="6" max="6" width="9" style="246" bestFit="1" customWidth="1"/>
    <col min="7" max="7" width="9.28515625" bestFit="1" customWidth="1"/>
    <col min="8" max="8" width="9" bestFit="1" customWidth="1"/>
    <col min="9" max="9" width="9.28515625" bestFit="1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830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173</v>
      </c>
      <c r="G9" s="11">
        <v>901</v>
      </c>
      <c r="H9" s="11">
        <v>1282</v>
      </c>
      <c r="I9" s="11">
        <v>1247</v>
      </c>
      <c r="J9" s="25">
        <f t="shared" si="0"/>
        <v>901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1073</v>
      </c>
      <c r="G10" s="11">
        <v>901</v>
      </c>
      <c r="H10" s="11">
        <v>1359</v>
      </c>
      <c r="I10" s="11">
        <v>1247</v>
      </c>
      <c r="J10" s="25">
        <f t="shared" si="0"/>
        <v>-73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1146</v>
      </c>
      <c r="G11" s="11">
        <v>901</v>
      </c>
      <c r="H11" s="11">
        <v>1382</v>
      </c>
      <c r="I11" s="11">
        <v>1247</v>
      </c>
      <c r="J11" s="25">
        <f t="shared" si="0"/>
        <v>-976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902</v>
      </c>
      <c r="G12" s="11">
        <v>901</v>
      </c>
      <c r="H12" s="11">
        <v>1409</v>
      </c>
      <c r="I12" s="11">
        <v>1247</v>
      </c>
      <c r="J12" s="25">
        <f t="shared" si="0"/>
        <v>762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817</v>
      </c>
      <c r="G13" s="11">
        <v>901</v>
      </c>
      <c r="H13" s="11">
        <v>1389</v>
      </c>
      <c r="I13" s="11">
        <v>1247</v>
      </c>
      <c r="J13" s="25">
        <f t="shared" si="0"/>
        <v>21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949</v>
      </c>
      <c r="G14" s="11">
        <v>854</v>
      </c>
      <c r="H14" s="11">
        <v>1350</v>
      </c>
      <c r="I14" s="11">
        <v>1247</v>
      </c>
      <c r="J14" s="25">
        <f t="shared" si="0"/>
        <v>-225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919</v>
      </c>
      <c r="G15" s="11">
        <v>680</v>
      </c>
      <c r="H15" s="11">
        <v>1368</v>
      </c>
      <c r="I15" s="11">
        <v>1247</v>
      </c>
      <c r="J15" s="25">
        <f t="shared" si="0"/>
        <v>-958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914</v>
      </c>
      <c r="G16" s="11">
        <v>225</v>
      </c>
      <c r="H16" s="11">
        <v>1358</v>
      </c>
      <c r="I16" s="11">
        <v>1247</v>
      </c>
      <c r="J16" s="25">
        <f t="shared" si="0"/>
        <v>-1374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868</v>
      </c>
      <c r="G17" s="11">
        <v>8</v>
      </c>
      <c r="H17" s="11">
        <v>1355</v>
      </c>
      <c r="I17" s="11">
        <v>1247</v>
      </c>
      <c r="J17" s="25">
        <f t="shared" si="0"/>
        <v>-1529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877</v>
      </c>
      <c r="G18" s="11">
        <v>901</v>
      </c>
      <c r="H18" s="11">
        <v>1379</v>
      </c>
      <c r="I18" s="11">
        <v>1247</v>
      </c>
      <c r="J18" s="25">
        <f t="shared" si="0"/>
        <v>-591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5555</v>
      </c>
      <c r="C19" s="11">
        <v>4941</v>
      </c>
      <c r="D19" s="11"/>
      <c r="E19" s="11"/>
      <c r="F19" s="129">
        <v>843</v>
      </c>
      <c r="G19" s="11">
        <v>901</v>
      </c>
      <c r="H19" s="11">
        <v>1351</v>
      </c>
      <c r="I19" s="11">
        <v>1247</v>
      </c>
      <c r="J19" s="25">
        <f t="shared" si="0"/>
        <v>-660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4841</v>
      </c>
      <c r="C20" s="11">
        <v>4944</v>
      </c>
      <c r="D20" s="11"/>
      <c r="E20" s="11"/>
      <c r="F20" s="129">
        <v>916</v>
      </c>
      <c r="G20" s="11">
        <v>901</v>
      </c>
      <c r="H20" s="11">
        <v>1349</v>
      </c>
      <c r="I20" s="11">
        <v>1247</v>
      </c>
      <c r="J20" s="25">
        <f t="shared" si="0"/>
        <v>-14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5472</v>
      </c>
      <c r="C21" s="11">
        <v>4944</v>
      </c>
      <c r="D21" s="11"/>
      <c r="E21" s="11"/>
      <c r="F21" s="129">
        <v>903</v>
      </c>
      <c r="G21" s="11">
        <v>901</v>
      </c>
      <c r="H21" s="11">
        <v>1347</v>
      </c>
      <c r="I21" s="11">
        <v>1247</v>
      </c>
      <c r="J21" s="25">
        <f t="shared" si="0"/>
        <v>-630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5321</v>
      </c>
      <c r="C22" s="11">
        <v>4944</v>
      </c>
      <c r="D22" s="11">
        <v>2</v>
      </c>
      <c r="E22" s="11"/>
      <c r="F22" s="129">
        <v>803</v>
      </c>
      <c r="G22" s="11">
        <v>901</v>
      </c>
      <c r="H22" s="11">
        <v>1328</v>
      </c>
      <c r="I22" s="11">
        <v>1247</v>
      </c>
      <c r="J22" s="25">
        <f t="shared" si="0"/>
        <v>-362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5319</v>
      </c>
      <c r="C23" s="11">
        <v>4944</v>
      </c>
      <c r="D23" s="11"/>
      <c r="E23" s="11"/>
      <c r="F23" s="129">
        <v>880</v>
      </c>
      <c r="G23" s="11">
        <v>901</v>
      </c>
      <c r="H23" s="11">
        <v>1314</v>
      </c>
      <c r="I23" s="11">
        <v>1247</v>
      </c>
      <c r="J23" s="25">
        <f t="shared" si="0"/>
        <v>-421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5104</v>
      </c>
      <c r="C24" s="11">
        <v>4944</v>
      </c>
      <c r="D24" s="11"/>
      <c r="E24" s="11"/>
      <c r="F24" s="129">
        <v>887</v>
      </c>
      <c r="G24" s="11">
        <v>901</v>
      </c>
      <c r="H24" s="11">
        <v>1317</v>
      </c>
      <c r="I24" s="11">
        <v>1247</v>
      </c>
      <c r="J24" s="25">
        <f t="shared" si="0"/>
        <v>-216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5295</v>
      </c>
      <c r="C25" s="11">
        <v>4944</v>
      </c>
      <c r="D25" s="11"/>
      <c r="E25" s="11"/>
      <c r="F25" s="129">
        <v>866</v>
      </c>
      <c r="G25" s="11">
        <v>901</v>
      </c>
      <c r="H25" s="11">
        <v>1328</v>
      </c>
      <c r="I25" s="11">
        <v>1247</v>
      </c>
      <c r="J25" s="25">
        <f t="shared" si="0"/>
        <v>-397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5291</v>
      </c>
      <c r="C26" s="11">
        <v>4944</v>
      </c>
      <c r="D26" s="11"/>
      <c r="E26" s="11"/>
      <c r="F26" s="129">
        <v>483</v>
      </c>
      <c r="G26" s="11">
        <v>901</v>
      </c>
      <c r="H26" s="11">
        <v>1285</v>
      </c>
      <c r="I26" s="11">
        <v>1247</v>
      </c>
      <c r="J26" s="25">
        <f t="shared" si="0"/>
        <v>33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101239</v>
      </c>
      <c r="C39" s="11">
        <f t="shared" si="1"/>
        <v>97013</v>
      </c>
      <c r="D39" s="11">
        <f t="shared" si="1"/>
        <v>4</v>
      </c>
      <c r="E39" s="11">
        <f t="shared" si="1"/>
        <v>0</v>
      </c>
      <c r="F39" s="129">
        <f t="shared" si="1"/>
        <v>16049</v>
      </c>
      <c r="G39" s="11">
        <f t="shared" si="1"/>
        <v>15282</v>
      </c>
      <c r="H39" s="11">
        <f t="shared" si="1"/>
        <v>25601</v>
      </c>
      <c r="I39" s="11">
        <f t="shared" si="1"/>
        <v>23693</v>
      </c>
      <c r="J39" s="25">
        <f t="shared" si="1"/>
        <v>-6905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2.65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-18298.25</v>
      </c>
      <c r="L41"/>
      <c r="R41" s="138"/>
      <c r="X41" s="138"/>
    </row>
    <row r="42" spans="1:24" x14ac:dyDescent="0.2">
      <c r="A42" s="57">
        <v>37315</v>
      </c>
      <c r="C42" s="15"/>
      <c r="J42" s="602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37334</v>
      </c>
      <c r="C43" s="48"/>
      <c r="J43" s="138">
        <f>+J42+J41</f>
        <v>307889.03000000003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7">
        <v>128267</v>
      </c>
      <c r="L47"/>
    </row>
    <row r="48" spans="1:24" x14ac:dyDescent="0.2">
      <c r="A48" s="49">
        <f>+A43</f>
        <v>37334</v>
      </c>
      <c r="B48" s="32"/>
      <c r="C48" s="32"/>
      <c r="D48" s="348">
        <f>+J39</f>
        <v>-6905</v>
      </c>
      <c r="L48"/>
    </row>
    <row r="49" spans="1:12" x14ac:dyDescent="0.2">
      <c r="A49" s="32"/>
      <c r="B49" s="32"/>
      <c r="C49" s="32"/>
      <c r="D49" s="14">
        <f>+D48+D47</f>
        <v>121362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D55" s="343">
        <f>+J43/D49</f>
        <v>2.5369475618397854</v>
      </c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1" workbookViewId="0">
      <selection activeCell="A12" sqref="A12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2.66</v>
      </c>
      <c r="H3" s="400">
        <f ca="1">NOW()</f>
        <v>41885.691191666665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2.65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2.65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44795.88</v>
      </c>
      <c r="C12" s="367">
        <f>+B12/$G$4</f>
        <v>16904.105660377358</v>
      </c>
      <c r="D12" s="14">
        <f>+Calpine!D47</f>
        <v>105475</v>
      </c>
      <c r="E12" s="70">
        <f>+C12-D12</f>
        <v>-88570.894339622639</v>
      </c>
      <c r="F12" s="362">
        <f>+Calpine!A41</f>
        <v>37334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-78793.639999999985</v>
      </c>
      <c r="C13" s="366">
        <f>+B13/$G$4</f>
        <v>-29733.449056603768</v>
      </c>
      <c r="D13" s="14">
        <f>+'Citizens-Griffith'!D48</f>
        <v>-20014</v>
      </c>
      <c r="E13" s="70">
        <f>+C13-D13</f>
        <v>-9719.4490566037675</v>
      </c>
      <c r="F13" s="362">
        <f>+'Citizens-Griffith'!A41</f>
        <v>37334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-9084.16</v>
      </c>
      <c r="C14" s="366">
        <f>+B14/G4</f>
        <v>-3427.9849056603775</v>
      </c>
      <c r="D14" s="14">
        <f>+SWGasTrans!$D$48</f>
        <v>7923</v>
      </c>
      <c r="E14" s="70">
        <f>+C14-D14</f>
        <v>-11350.984905660378</v>
      </c>
      <c r="F14" s="362">
        <f>+SWGasTrans!A41</f>
        <v>37334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-237235.68000000002</v>
      </c>
      <c r="C15" s="366">
        <f>+B15/$G$4</f>
        <v>-89522.898113207557</v>
      </c>
      <c r="D15" s="14">
        <f>+'NS Steel'!D50</f>
        <v>10365</v>
      </c>
      <c r="E15" s="70">
        <f>+C15-D15</f>
        <v>-99887.898113207557</v>
      </c>
      <c r="F15" s="363">
        <f>+'NS Steel'!A41</f>
        <v>37334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-600333.18999999994</v>
      </c>
      <c r="C16" s="368">
        <f>+B16/$G$4</f>
        <v>-226540.82641509431</v>
      </c>
      <c r="D16" s="348">
        <f>+Citizens!D24</f>
        <v>-64403</v>
      </c>
      <c r="E16" s="72">
        <f>+C16-D16</f>
        <v>-162137.82641509431</v>
      </c>
      <c r="F16" s="362">
        <f>+Citizens!A18</f>
        <v>37334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-880650.78999999992</v>
      </c>
      <c r="C17" s="391">
        <f>SUBTOTAL(9,C12:C16)</f>
        <v>-332321.05283018865</v>
      </c>
      <c r="D17" s="392">
        <f>SUBTOTAL(9,D12:D16)</f>
        <v>39346</v>
      </c>
      <c r="E17" s="393">
        <f>SUBTOTAL(9,E12:E16)</f>
        <v>-371667.05283018865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35964.81</v>
      </c>
      <c r="C20" s="366">
        <f>+B20/$G$4</f>
        <v>13571.626415094339</v>
      </c>
      <c r="D20" s="14">
        <f>+transcol!D50</f>
        <v>-40101</v>
      </c>
      <c r="E20" s="70">
        <f>+C20-D20</f>
        <v>53672.626415094339</v>
      </c>
      <c r="F20" s="363">
        <f>+transcol!A43</f>
        <v>37334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229480.86000000002</v>
      </c>
      <c r="C21" s="366">
        <f>+williams!J40</f>
        <v>86271</v>
      </c>
      <c r="D21" s="14">
        <f>+C21</f>
        <v>86271</v>
      </c>
      <c r="E21" s="70">
        <f>+C21-D21</f>
        <v>0</v>
      </c>
      <c r="F21" s="363">
        <f>+williams!A40</f>
        <v>37334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19757.410000000003</v>
      </c>
      <c r="C22" s="370">
        <f>+B22/$G$3</f>
        <v>7427.5977443609036</v>
      </c>
      <c r="D22" s="348">
        <f>+burlington!D49</f>
        <v>5640</v>
      </c>
      <c r="E22" s="72">
        <f>+C22-D22</f>
        <v>1787.5977443609036</v>
      </c>
      <c r="F22" s="362">
        <f>+burlington!A42</f>
        <v>37334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285203.08000000007</v>
      </c>
      <c r="C23" s="387">
        <f>SUBTOTAL(9,C20:C22)</f>
        <v>107270.22415945523</v>
      </c>
      <c r="D23" s="392">
        <f>SUBTOTAL(9,D20:D22)</f>
        <v>51810</v>
      </c>
      <c r="E23" s="393">
        <f>SUBTOTAL(9,E20:E22)</f>
        <v>55460.22415945524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-163124.99</v>
      </c>
      <c r="C26" s="366">
        <f>+B26/$G$4</f>
        <v>-61556.6</v>
      </c>
      <c r="D26" s="14">
        <f>+NNG!D34</f>
        <v>17584</v>
      </c>
      <c r="E26" s="70">
        <f t="shared" ref="E26:E48" si="0">+C26-D26</f>
        <v>-79140.600000000006</v>
      </c>
      <c r="F26" s="362">
        <f>+NNG!A24</f>
        <v>37333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410139.66000000003</v>
      </c>
      <c r="C27" s="366">
        <f>+B27/$G$4</f>
        <v>154769.68301886795</v>
      </c>
      <c r="D27" s="14">
        <f>+Conoco!D48</f>
        <v>2189</v>
      </c>
      <c r="E27" s="70">
        <f t="shared" si="0"/>
        <v>152580.68301886795</v>
      </c>
      <c r="F27" s="362">
        <f>+Conoco!A41</f>
        <v>37334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238643.93</v>
      </c>
      <c r="C28" s="366">
        <f>+B28/$G$4</f>
        <v>90054.313207547166</v>
      </c>
      <c r="D28" s="14">
        <f>+'Amoco Abo'!D49</f>
        <v>-333229</v>
      </c>
      <c r="E28" s="70">
        <f t="shared" si="0"/>
        <v>423283.31320754718</v>
      </c>
      <c r="F28" s="363">
        <f>+'Amoco Abo'!A43</f>
        <v>37334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242622.75000000003</v>
      </c>
      <c r="C29" s="366">
        <f>+B29/$G$4</f>
        <v>91555.754716981144</v>
      </c>
      <c r="D29" s="14">
        <f>+KN_Westar!D48</f>
        <v>-70233</v>
      </c>
      <c r="E29" s="70">
        <f t="shared" si="0"/>
        <v>161788.75471698114</v>
      </c>
      <c r="F29" s="363">
        <f>+KN_Westar!A41</f>
        <v>37333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-28684.480000000214</v>
      </c>
      <c r="C30" s="367">
        <f>+B30/$G$5</f>
        <v>-10824.332075471779</v>
      </c>
      <c r="D30" s="14">
        <f>+DEFS!$I$36+DEFS!$J$36+DEFS!$K$45+DEFS!$K$46+DEFS!$K$47+DEFS!$K$48+Duke!I53+Duke!I54+Duke!F40+Duke!G40+Duke!H40</f>
        <v>303622</v>
      </c>
      <c r="E30" s="70">
        <f t="shared" si="0"/>
        <v>-314446.33207547176</v>
      </c>
      <c r="F30" s="363">
        <f>+DEFS!A40</f>
        <v>37333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307889.03000000003</v>
      </c>
      <c r="C31" s="366">
        <f>+B31/$G$4</f>
        <v>116184.53962264152</v>
      </c>
      <c r="D31" s="14">
        <f>+mewborne!D49</f>
        <v>121362</v>
      </c>
      <c r="E31" s="70">
        <f t="shared" si="0"/>
        <v>-5177.4603773584822</v>
      </c>
      <c r="F31" s="363">
        <f>+mewborne!A43</f>
        <v>37334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106797.79000000001</v>
      </c>
      <c r="C32" s="366">
        <f>+B32/$G$4</f>
        <v>40301.052830188681</v>
      </c>
      <c r="D32" s="14">
        <f>+PGETX!E48</f>
        <v>76460</v>
      </c>
      <c r="E32" s="70">
        <f t="shared" si="0"/>
        <v>-36158.947169811319</v>
      </c>
      <c r="F32" s="363">
        <f>+PGETX!E39</f>
        <v>37334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645198.91</v>
      </c>
      <c r="C33" s="366">
        <f>+B33/$G$4</f>
        <v>243471.28679245285</v>
      </c>
      <c r="D33" s="14">
        <f>+PNM!D30</f>
        <v>271492</v>
      </c>
      <c r="E33" s="70">
        <f t="shared" si="0"/>
        <v>-28020.713207547145</v>
      </c>
      <c r="F33" s="363">
        <f>+PNM!A23</f>
        <v>37334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-14657.269999999997</v>
      </c>
      <c r="C34" s="366">
        <f>+B34/$G$4</f>
        <v>-5531.0452830188669</v>
      </c>
      <c r="D34" s="14">
        <f>+EOG!D48</f>
        <v>-129974</v>
      </c>
      <c r="E34" s="70">
        <f t="shared" si="0"/>
        <v>124442.95471698113</v>
      </c>
      <c r="F34" s="362">
        <f>+EOG!A41</f>
        <v>37334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104536.9</v>
      </c>
      <c r="C35" s="366">
        <f>+B35/G5</f>
        <v>39447.886792452831</v>
      </c>
      <c r="D35" s="14">
        <f>+Oasis!D47</f>
        <v>46434</v>
      </c>
      <c r="E35" s="70">
        <f>+C35-D35</f>
        <v>-6986.1132075471687</v>
      </c>
      <c r="F35" s="362">
        <f>+Oasis!A40</f>
        <v>37334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12473.720000000001</v>
      </c>
      <c r="C36" s="366">
        <f>+B36/$G$5</f>
        <v>4707.0641509433972</v>
      </c>
      <c r="D36" s="14">
        <f>+SidR!D48</f>
        <v>5517</v>
      </c>
      <c r="E36" s="70">
        <f t="shared" si="0"/>
        <v>-809.93584905660282</v>
      </c>
      <c r="F36" s="363">
        <f>+SidR!A41</f>
        <v>37333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-72315.09433962265</v>
      </c>
      <c r="D37" s="14">
        <f>+MiVida_Rich!D48</f>
        <v>-45642</v>
      </c>
      <c r="E37" s="70">
        <f>+C37-D37</f>
        <v>-26673.09433962265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169626.04</v>
      </c>
      <c r="C38" s="366">
        <f>+B38/$G$5</f>
        <v>64009.826415094343</v>
      </c>
      <c r="D38" s="14">
        <f>+Dominion!D48</f>
        <v>74266</v>
      </c>
      <c r="E38" s="70">
        <f t="shared" si="0"/>
        <v>-10256.173584905657</v>
      </c>
      <c r="F38" s="363">
        <f>+Dominion!A41</f>
        <v>37334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-19986.05</v>
      </c>
      <c r="C39" s="366">
        <f>+B39/$G$4</f>
        <v>-7541.9056603773588</v>
      </c>
      <c r="D39" s="14">
        <f>+WTGmktg!D50</f>
        <v>3163</v>
      </c>
      <c r="E39" s="70">
        <f t="shared" si="0"/>
        <v>-10704.905660377359</v>
      </c>
      <c r="F39" s="363">
        <f>+WTGmktg!A43</f>
        <v>37333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19528.469999999998</v>
      </c>
      <c r="C40" s="366">
        <f>+B40/G4</f>
        <v>7369.2339622641503</v>
      </c>
      <c r="D40" s="14">
        <f>+'WTG inc'!D50</f>
        <v>5873</v>
      </c>
      <c r="E40" s="70">
        <f>+C40-D40</f>
        <v>1496.2339622641503</v>
      </c>
      <c r="F40" s="363">
        <f>+'WTG inc'!A43</f>
        <v>37334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155472.70000000001</v>
      </c>
      <c r="C41" s="366">
        <f>+B41/$G$5</f>
        <v>58668.943396226423</v>
      </c>
      <c r="D41" s="14">
        <f>+Devon!D48</f>
        <v>30361</v>
      </c>
      <c r="E41" s="70">
        <f t="shared" si="0"/>
        <v>28307.943396226423</v>
      </c>
      <c r="F41" s="363">
        <f>+Devon!A41</f>
        <v>37334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-131076.93000000002</v>
      </c>
      <c r="C42" s="366">
        <f>+B42/$G$4</f>
        <v>-49462.9924528302</v>
      </c>
      <c r="D42" s="14">
        <f>+crosstex!D48</f>
        <v>-38759</v>
      </c>
      <c r="E42" s="70">
        <f t="shared" si="0"/>
        <v>-10703.9924528302</v>
      </c>
      <c r="F42" s="363">
        <f>+crosstex!A41</f>
        <v>37334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126417.81</v>
      </c>
      <c r="C43" s="366">
        <f>+B43/$G$4</f>
        <v>47704.833962264151</v>
      </c>
      <c r="D43" s="14">
        <f>+Amarillo!D48</f>
        <v>52600</v>
      </c>
      <c r="E43" s="70">
        <f t="shared" si="0"/>
        <v>-4895.1660377358494</v>
      </c>
      <c r="F43" s="363">
        <f>+Amarillo!A41</f>
        <v>37334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26326.581132075473</v>
      </c>
      <c r="D44" s="14">
        <f>+Stratland!D48</f>
        <v>27486</v>
      </c>
      <c r="E44" s="70">
        <f>+C44-D44</f>
        <v>-1159.4188679245271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24975.479245283022</v>
      </c>
      <c r="D45" s="14">
        <f>+Plains!D50</f>
        <v>23662</v>
      </c>
      <c r="E45" s="70">
        <f>+C45-D45</f>
        <v>1313.4792452830225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72489.08</v>
      </c>
      <c r="C46" s="367">
        <f>+B46/$G$4</f>
        <v>27354.369811320757</v>
      </c>
      <c r="D46" s="14">
        <f>+Continental!D50</f>
        <v>13530</v>
      </c>
      <c r="E46" s="70">
        <f t="shared" si="0"/>
        <v>13824.369811320757</v>
      </c>
      <c r="F46" s="363">
        <f>+Continental!A43</f>
        <v>37333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121125.97000000002</v>
      </c>
      <c r="C47" s="367">
        <f>+B47/$G$5</f>
        <v>45707.913207547179</v>
      </c>
      <c r="D47" s="14">
        <f>+EPFS!D47</f>
        <v>76087</v>
      </c>
      <c r="E47" s="70">
        <f t="shared" si="0"/>
        <v>-30379.086792452821</v>
      </c>
      <c r="F47" s="362">
        <f>+EPFS!A41</f>
        <v>37334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79132.350000000006</v>
      </c>
      <c r="C48" s="368">
        <f>+B48/$G$4</f>
        <v>29861.2641509434</v>
      </c>
      <c r="D48" s="348">
        <f>+Agave!D31</f>
        <v>46571</v>
      </c>
      <c r="E48" s="72">
        <f t="shared" si="0"/>
        <v>-16709.7358490566</v>
      </c>
      <c r="F48" s="362">
        <f>+Agave!A25</f>
        <v>37333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2398880.85</v>
      </c>
      <c r="C49" s="391">
        <f>SUBTOTAL(9,C26:C48)</f>
        <v>905238.0566037735</v>
      </c>
      <c r="D49" s="392">
        <f>SUBTOTAL(9,D26:D48)</f>
        <v>580422</v>
      </c>
      <c r="E49" s="393">
        <f>SUBTOTAL(9,E26:E48)</f>
        <v>324816.05660377356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1803433.1400000001</v>
      </c>
      <c r="C51" s="391">
        <f>SUBTOTAL(9,C12:C48)</f>
        <v>680187.22793304035</v>
      </c>
      <c r="D51" s="392">
        <f>SUBTOTAL(9,D12:D48)</f>
        <v>671578</v>
      </c>
      <c r="E51" s="393">
        <f>SUBTOTAL(9,E12:E48)</f>
        <v>8609.2279330402271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2.66</v>
      </c>
      <c r="H57" s="400">
        <f ca="1">NOW()</f>
        <v>41885.691191666665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2.65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2.65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-3709</v>
      </c>
      <c r="C66" s="581">
        <f>+B66*$I$5</f>
        <v>-8530.6999999999989</v>
      </c>
      <c r="D66" s="47">
        <f>+Mojave!D47</f>
        <v>-9828.85</v>
      </c>
      <c r="E66" s="47">
        <f>+C66-D66</f>
        <v>1298.1500000000015</v>
      </c>
      <c r="F66" s="363">
        <f>+Mojave!A40</f>
        <v>37334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-94399</v>
      </c>
      <c r="C67" s="581">
        <f>+B67*$G$4</f>
        <v>-250157.35</v>
      </c>
      <c r="D67" s="47">
        <f>+SoCal!D47</f>
        <v>-180660.89999999997</v>
      </c>
      <c r="E67" s="47">
        <f>+C67-D67</f>
        <v>-69496.450000000041</v>
      </c>
      <c r="F67" s="363">
        <f>+SoCal!A40</f>
        <v>37334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170312.85</v>
      </c>
      <c r="D68" s="47">
        <f>+'El Paso'!C46</f>
        <v>-1582961.01</v>
      </c>
      <c r="E68" s="47">
        <f>+C68-D68</f>
        <v>1753273.86</v>
      </c>
      <c r="F68" s="363">
        <f>+'El Paso'!A39</f>
        <v>37334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-4928</v>
      </c>
      <c r="C69" s="583">
        <f>+B69*$G$4</f>
        <v>-13059.199999999999</v>
      </c>
      <c r="D69" s="347">
        <f>+'PG&amp;E'!D47</f>
        <v>-220243.65</v>
      </c>
      <c r="E69" s="347">
        <f>+C69-D69</f>
        <v>207184.44999999998</v>
      </c>
      <c r="F69" s="363">
        <f>+'PG&amp;E'!A40</f>
        <v>37334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-38767</v>
      </c>
      <c r="C70" s="386">
        <f>SUBTOTAL(9,C66:C69)</f>
        <v>-101434.40000000001</v>
      </c>
      <c r="D70" s="386">
        <f>SUBTOTAL(9,D66:D69)</f>
        <v>-1993694.41</v>
      </c>
      <c r="E70" s="386">
        <f>SUBTOTAL(9,E66:E69)</f>
        <v>1892260.01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41612</v>
      </c>
      <c r="C73" s="582">
        <f>+B73*G57</f>
        <v>110687.92000000001</v>
      </c>
      <c r="D73" s="200">
        <f>+'Red C'!D52</f>
        <v>421331.18</v>
      </c>
      <c r="E73" s="47">
        <f>+C73-D73</f>
        <v>-310643.26</v>
      </c>
      <c r="F73" s="362">
        <f>+'Red C'!A45</f>
        <v>37334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6188</v>
      </c>
      <c r="C74" s="587">
        <f>+B74*$G$3</f>
        <v>16460.080000000002</v>
      </c>
      <c r="D74" s="47">
        <f>+Amoco!D47</f>
        <v>357230.74</v>
      </c>
      <c r="E74" s="47">
        <f>+C74-D74</f>
        <v>-340770.66</v>
      </c>
      <c r="F74" s="363">
        <f>+Amoco!A40</f>
        <v>37334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-111051</v>
      </c>
      <c r="C75" s="581">
        <f>+B75*$G$3</f>
        <v>-295395.66000000003</v>
      </c>
      <c r="D75" s="47">
        <f>+'El Paso'!F46</f>
        <v>-657254.01</v>
      </c>
      <c r="E75" s="47">
        <f>+C75-D75</f>
        <v>361858.35</v>
      </c>
      <c r="F75" s="363">
        <f>+'El Paso'!A39</f>
        <v>37334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-8370</v>
      </c>
      <c r="C76" s="588">
        <f>+B76*$G$3</f>
        <v>-22264.2</v>
      </c>
      <c r="D76" s="347">
        <f>+NW!E49</f>
        <v>-473100.46</v>
      </c>
      <c r="E76" s="347">
        <f>+C76-D76</f>
        <v>450836.26</v>
      </c>
      <c r="F76" s="362">
        <f>+NW!B41</f>
        <v>37334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-71621</v>
      </c>
      <c r="C77" s="386">
        <f>SUBTOTAL(9,C73:C76)</f>
        <v>-190511.86000000004</v>
      </c>
      <c r="D77" s="386">
        <f>SUBTOTAL(9,D73:D76)</f>
        <v>-351792.5500000001</v>
      </c>
      <c r="E77" s="386">
        <f>SUBTOTAL(9,E73:E76)</f>
        <v>161280.69000000006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-22638</v>
      </c>
      <c r="C80" s="581">
        <f>+B80*$G$5</f>
        <v>-59990.7</v>
      </c>
      <c r="D80" s="47">
        <f>+NGPL!D45</f>
        <v>10138.700000000012</v>
      </c>
      <c r="E80" s="47">
        <f>+C80-D80</f>
        <v>-70129.400000000009</v>
      </c>
      <c r="F80" s="363">
        <f>+NGPL!A38</f>
        <v>37333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13832</v>
      </c>
      <c r="C81" s="582">
        <f>+B81*$G$4</f>
        <v>36654.799999999996</v>
      </c>
      <c r="D81" s="47">
        <f>+PEPL!D47</f>
        <v>198998.95</v>
      </c>
      <c r="E81" s="47">
        <f>+C81-D81</f>
        <v>-162344.15000000002</v>
      </c>
      <c r="F81" s="363">
        <f>+PEPL!A41</f>
        <v>37334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46605.549999999996</v>
      </c>
      <c r="D82" s="200">
        <f>+CIG!D49</f>
        <v>385897</v>
      </c>
      <c r="E82" s="70">
        <f>+C82-D82</f>
        <v>-339291.45</v>
      </c>
      <c r="F82" s="363">
        <f>+CIG!A42</f>
        <v>37333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37936</v>
      </c>
      <c r="C83" s="583">
        <f>+B83*G59</f>
        <v>100530.4</v>
      </c>
      <c r="D83" s="347">
        <f>+Lonestar!D50</f>
        <v>66658.960000000006</v>
      </c>
      <c r="E83" s="347">
        <f>+C83-D83</f>
        <v>33871.439999999988</v>
      </c>
      <c r="F83" s="362">
        <f>+Lonestar!A43</f>
        <v>37334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46717</v>
      </c>
      <c r="C84" s="386">
        <f>SUBTOTAL(9,C80:C83)</f>
        <v>123800.04999999999</v>
      </c>
      <c r="D84" s="386">
        <f>SUBTOTAL(9,D80:D83)</f>
        <v>661693.61</v>
      </c>
      <c r="E84" s="386">
        <f>SUBTOTAL(9,E80:E83)</f>
        <v>-537893.56000000006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-63671</v>
      </c>
      <c r="C86" s="386">
        <f>SUBTOTAL(9,C66:C83)</f>
        <v>-168146.21000000011</v>
      </c>
      <c r="D86" s="386">
        <f>SUBTOTAL(9,D66:D83)</f>
        <v>-1683793.3499999996</v>
      </c>
      <c r="E86" s="386">
        <f>SUBTOTAL(9,E66:E83)</f>
        <v>1515647.14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1635286.93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616516.22793304035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1" workbookViewId="0">
      <selection activeCell="A44" sqref="A44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>
        <v>1010</v>
      </c>
      <c r="C20" s="409"/>
      <c r="D20" s="409"/>
      <c r="E20" s="409"/>
      <c r="F20" s="307">
        <f t="shared" si="0"/>
        <v>-1010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1714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22750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2.65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60287.5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37334</v>
      </c>
      <c r="B43" s="285"/>
      <c r="C43" s="434"/>
      <c r="D43" s="434"/>
      <c r="E43" s="434"/>
      <c r="F43" s="415">
        <f>+F42+F41</f>
        <v>238643.93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37334</v>
      </c>
      <c r="B48" s="32"/>
      <c r="C48" s="32"/>
      <c r="D48" s="348">
        <f>+F39</f>
        <v>22750</v>
      </c>
      <c r="E48" s="11"/>
    </row>
    <row r="49" spans="1:5" x14ac:dyDescent="0.2">
      <c r="A49" s="32"/>
      <c r="B49" s="32"/>
      <c r="C49" s="32"/>
      <c r="D49" s="14">
        <f>+D48+D47</f>
        <v>-333229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D22" sqref="D2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-1147634</v>
      </c>
      <c r="C6" s="80"/>
      <c r="D6" s="80">
        <f t="shared" ref="D6:D14" si="0">+C6-B6</f>
        <v>1147634</v>
      </c>
    </row>
    <row r="7" spans="1:4" x14ac:dyDescent="0.2">
      <c r="A7" s="32">
        <v>3531</v>
      </c>
      <c r="B7" s="309">
        <v>-585831</v>
      </c>
      <c r="C7" s="80">
        <v>-203940</v>
      </c>
      <c r="D7" s="80">
        <f t="shared" si="0"/>
        <v>381891</v>
      </c>
    </row>
    <row r="8" spans="1:4" x14ac:dyDescent="0.2">
      <c r="A8" s="32">
        <v>60667</v>
      </c>
      <c r="B8" s="309">
        <v>-191052</v>
      </c>
      <c r="C8" s="80">
        <v>-1758118</v>
      </c>
      <c r="D8" s="80">
        <f t="shared" si="0"/>
        <v>-1567066</v>
      </c>
    </row>
    <row r="9" spans="1:4" x14ac:dyDescent="0.2">
      <c r="A9" s="32">
        <v>60749</v>
      </c>
      <c r="B9" s="309">
        <v>40544</v>
      </c>
      <c r="C9" s="80">
        <v>84117</v>
      </c>
      <c r="D9" s="80">
        <f t="shared" si="0"/>
        <v>43573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17494</v>
      </c>
    </row>
    <row r="19" spans="1:5" x14ac:dyDescent="0.2">
      <c r="A19" s="32" t="s">
        <v>81</v>
      </c>
      <c r="B19" s="69"/>
      <c r="C19" s="69"/>
      <c r="D19" s="73">
        <f>+summary!G4</f>
        <v>2.65</v>
      </c>
    </row>
    <row r="20" spans="1:5" x14ac:dyDescent="0.2">
      <c r="B20" s="69"/>
      <c r="C20" s="69"/>
      <c r="D20" s="75">
        <f>+D19*D18</f>
        <v>46359.1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-209484.09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37333</v>
      </c>
      <c r="B24" s="69"/>
      <c r="C24" s="69"/>
      <c r="D24" s="331">
        <f>+D22+D20</f>
        <v>-163124.99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37333</v>
      </c>
      <c r="D33" s="348">
        <f>+D18</f>
        <v>17494</v>
      </c>
    </row>
    <row r="34" spans="1:4" x14ac:dyDescent="0.2">
      <c r="D34" s="14">
        <f>+D33+D32</f>
        <v>17584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11" workbookViewId="0">
      <selection activeCell="B13" sqref="B1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-92570-7262</f>
        <v>-99832</v>
      </c>
      <c r="C5" s="90">
        <v>-92567</v>
      </c>
      <c r="D5" s="90">
        <f t="shared" ref="D5:D13" si="0">+C5-B5</f>
        <v>7265</v>
      </c>
      <c r="E5" s="69"/>
      <c r="F5" s="201"/>
    </row>
    <row r="6" spans="1:11" x14ac:dyDescent="0.2">
      <c r="A6" s="87">
        <v>9238</v>
      </c>
      <c r="B6" s="90">
        <f>-4895-431</f>
        <v>-5326</v>
      </c>
      <c r="C6" s="90">
        <v>-19000</v>
      </c>
      <c r="D6" s="90">
        <f t="shared" si="0"/>
        <v>-13674</v>
      </c>
      <c r="E6" s="275"/>
      <c r="F6" s="201"/>
      <c r="K6" s="65"/>
    </row>
    <row r="7" spans="1:11" x14ac:dyDescent="0.2">
      <c r="A7" s="87">
        <v>56422</v>
      </c>
      <c r="B7" s="90">
        <f>-1317623-47517</f>
        <v>-1365140</v>
      </c>
      <c r="C7" s="90">
        <v>-1390481</v>
      </c>
      <c r="D7" s="90">
        <f t="shared" si="0"/>
        <v>-25341</v>
      </c>
      <c r="E7" s="275"/>
      <c r="F7" s="201"/>
    </row>
    <row r="8" spans="1:11" x14ac:dyDescent="0.2">
      <c r="A8" s="87">
        <v>58710</v>
      </c>
      <c r="B8" s="90"/>
      <c r="C8" s="90">
        <v>-1292</v>
      </c>
      <c r="D8" s="90">
        <f t="shared" si="0"/>
        <v>-1292</v>
      </c>
      <c r="E8" s="275"/>
      <c r="F8" s="201"/>
    </row>
    <row r="9" spans="1:11" x14ac:dyDescent="0.2">
      <c r="A9" s="87">
        <v>60921</v>
      </c>
      <c r="B9" s="90">
        <f>-538064-27940</f>
        <v>-566004</v>
      </c>
      <c r="C9" s="90">
        <v>-639031</v>
      </c>
      <c r="D9" s="90">
        <f t="shared" si="0"/>
        <v>-73027</v>
      </c>
      <c r="E9" s="275"/>
      <c r="F9" s="201"/>
    </row>
    <row r="10" spans="1:11" x14ac:dyDescent="0.2">
      <c r="A10" s="87">
        <v>78026</v>
      </c>
      <c r="B10" s="90"/>
      <c r="C10" s="90">
        <v>1104</v>
      </c>
      <c r="D10" s="90">
        <f t="shared" si="0"/>
        <v>1104</v>
      </c>
      <c r="E10" s="275"/>
      <c r="F10" s="464"/>
    </row>
    <row r="11" spans="1:11" x14ac:dyDescent="0.2">
      <c r="A11" s="87">
        <v>500084</v>
      </c>
      <c r="B11" s="90">
        <f>-38086-2200</f>
        <v>-40286</v>
      </c>
      <c r="C11" s="90">
        <v>-19000</v>
      </c>
      <c r="D11" s="90">
        <f t="shared" si="0"/>
        <v>21286</v>
      </c>
      <c r="E11" s="276"/>
      <c r="F11" s="464"/>
    </row>
    <row r="12" spans="1:11" x14ac:dyDescent="0.2">
      <c r="A12" s="317">
        <v>500085</v>
      </c>
      <c r="B12" s="90">
        <v>-5</v>
      </c>
      <c r="C12" s="90"/>
      <c r="D12" s="90">
        <f t="shared" si="0"/>
        <v>5</v>
      </c>
      <c r="E12" s="275"/>
      <c r="F12" s="464"/>
    </row>
    <row r="13" spans="1:11" x14ac:dyDescent="0.2">
      <c r="A13" s="87">
        <v>500097</v>
      </c>
      <c r="B13" s="90">
        <v>-12121</v>
      </c>
      <c r="C13" s="90">
        <v>-12000</v>
      </c>
      <c r="D13" s="90">
        <f t="shared" si="0"/>
        <v>121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-83553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2.65</v>
      </c>
      <c r="E18" s="277"/>
      <c r="F18" s="464"/>
    </row>
    <row r="19" spans="1:7" x14ac:dyDescent="0.2">
      <c r="A19" s="87"/>
      <c r="B19" s="88"/>
      <c r="C19" s="88"/>
      <c r="D19" s="96">
        <f>+D18*D17</f>
        <v>-221415.44999999998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37334</v>
      </c>
      <c r="B23" s="88"/>
      <c r="C23" s="88"/>
      <c r="D23" s="318">
        <f>+D21+D19</f>
        <v>645198.91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7">
        <v>355045</v>
      </c>
    </row>
    <row r="29" spans="1:7" x14ac:dyDescent="0.2">
      <c r="A29" s="49">
        <f>+A23</f>
        <v>37334</v>
      </c>
      <c r="B29" s="32"/>
      <c r="C29" s="32"/>
      <c r="D29" s="348">
        <f>+D17</f>
        <v>-83553</v>
      </c>
    </row>
    <row r="30" spans="1:7" x14ac:dyDescent="0.2">
      <c r="A30" s="32"/>
      <c r="B30" s="32"/>
      <c r="C30" s="32"/>
      <c r="D30" s="14">
        <f>+D29+D28</f>
        <v>271492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2.3764932668365919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17" workbookViewId="0">
      <selection activeCell="H34" sqref="H34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>
        <v>24656</v>
      </c>
      <c r="C15" s="88">
        <v>24611</v>
      </c>
      <c r="D15" s="88"/>
      <c r="E15" s="88">
        <v>-14</v>
      </c>
      <c r="F15" s="88">
        <v>24197</v>
      </c>
      <c r="G15" s="88">
        <v>26294</v>
      </c>
      <c r="H15" s="90">
        <f t="shared" si="0"/>
        <v>2038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>
        <v>20682</v>
      </c>
      <c r="C16" s="88">
        <v>20611</v>
      </c>
      <c r="D16" s="88"/>
      <c r="E16" s="88">
        <v>-14</v>
      </c>
      <c r="F16" s="88">
        <v>27354</v>
      </c>
      <c r="G16" s="88">
        <v>27471</v>
      </c>
      <c r="H16" s="90">
        <f t="shared" si="0"/>
        <v>32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>
        <v>19469</v>
      </c>
      <c r="C17" s="88">
        <v>19611</v>
      </c>
      <c r="D17" s="327">
        <v>-8210</v>
      </c>
      <c r="E17" s="327">
        <v>-16914</v>
      </c>
      <c r="F17" s="327">
        <v>33492</v>
      </c>
      <c r="G17" s="327">
        <v>33554</v>
      </c>
      <c r="H17" s="90">
        <f t="shared" si="0"/>
        <v>-8500</v>
      </c>
    </row>
    <row r="18" spans="1:23" x14ac:dyDescent="0.2">
      <c r="A18">
        <v>16</v>
      </c>
      <c r="B18" s="88">
        <v>19863</v>
      </c>
      <c r="C18" s="88">
        <v>19611</v>
      </c>
      <c r="D18" s="327"/>
      <c r="E18" s="327"/>
      <c r="F18" s="327">
        <v>33492</v>
      </c>
      <c r="G18" s="327">
        <v>18351</v>
      </c>
      <c r="H18" s="90">
        <f t="shared" si="0"/>
        <v>-15393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>
        <v>19689</v>
      </c>
      <c r="C19" s="88">
        <v>19611</v>
      </c>
      <c r="D19" s="327"/>
      <c r="E19" s="327"/>
      <c r="F19" s="327">
        <v>32430</v>
      </c>
      <c r="G19" s="327">
        <v>25000</v>
      </c>
      <c r="H19" s="90">
        <f t="shared" si="0"/>
        <v>-7508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>
        <v>39166</v>
      </c>
      <c r="C20" s="327">
        <v>19611</v>
      </c>
      <c r="D20" s="327"/>
      <c r="E20" s="327"/>
      <c r="F20" s="327">
        <v>10870</v>
      </c>
      <c r="G20" s="327">
        <v>30124</v>
      </c>
      <c r="H20" s="90">
        <f t="shared" si="0"/>
        <v>-301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496791</v>
      </c>
      <c r="C34" s="287">
        <f t="shared" si="2"/>
        <v>493298</v>
      </c>
      <c r="D34" s="14">
        <f t="shared" si="2"/>
        <v>-309947</v>
      </c>
      <c r="E34" s="14">
        <f t="shared" si="2"/>
        <v>-337418</v>
      </c>
      <c r="F34" s="14">
        <f t="shared" si="2"/>
        <v>464380</v>
      </c>
      <c r="G34" s="14">
        <f t="shared" si="2"/>
        <v>444002</v>
      </c>
      <c r="H34" s="14">
        <f t="shared" si="2"/>
        <v>-51342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37333</v>
      </c>
      <c r="B38" s="14"/>
      <c r="C38" s="14"/>
      <c r="D38" s="14"/>
      <c r="E38" s="14"/>
      <c r="F38" s="14"/>
      <c r="G38" s="14"/>
      <c r="H38" s="150">
        <f>+H37+H34</f>
        <v>-22638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37333</v>
      </c>
      <c r="B44" s="32"/>
      <c r="C44" s="32"/>
      <c r="D44" s="373">
        <f>+H34*'by type_area'!G4</f>
        <v>-136056.29999999999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10138.700000000012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33" workbookViewId="0">
      <selection activeCell="D55" sqref="D55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>
        <v>-34856</v>
      </c>
      <c r="C16" s="11">
        <v>-34960</v>
      </c>
      <c r="D16" s="25">
        <f t="shared" si="0"/>
        <v>-104</v>
      </c>
    </row>
    <row r="17" spans="1:8" x14ac:dyDescent="0.2">
      <c r="A17" s="10">
        <v>14</v>
      </c>
      <c r="B17" s="11">
        <v>-34868</v>
      </c>
      <c r="C17" s="11">
        <v>-34960</v>
      </c>
      <c r="D17" s="25">
        <f t="shared" si="0"/>
        <v>-92</v>
      </c>
    </row>
    <row r="18" spans="1:8" x14ac:dyDescent="0.2">
      <c r="A18" s="10">
        <v>15</v>
      </c>
      <c r="B18" s="11">
        <v>-18657</v>
      </c>
      <c r="C18" s="11">
        <v>-18478</v>
      </c>
      <c r="D18" s="25">
        <f t="shared" si="0"/>
        <v>179</v>
      </c>
    </row>
    <row r="19" spans="1:8" x14ac:dyDescent="0.2">
      <c r="A19" s="10">
        <v>16</v>
      </c>
      <c r="B19" s="11">
        <v>-19098</v>
      </c>
      <c r="C19" s="11">
        <v>-18953</v>
      </c>
      <c r="D19" s="25">
        <f t="shared" si="0"/>
        <v>145</v>
      </c>
    </row>
    <row r="20" spans="1:8" x14ac:dyDescent="0.2">
      <c r="A20" s="10">
        <v>17</v>
      </c>
      <c r="B20" s="11">
        <v>-18990</v>
      </c>
      <c r="C20" s="11">
        <v>-18596</v>
      </c>
      <c r="D20" s="25">
        <f t="shared" si="0"/>
        <v>394</v>
      </c>
    </row>
    <row r="21" spans="1:8" x14ac:dyDescent="0.2">
      <c r="A21" s="10">
        <v>18</v>
      </c>
      <c r="B21" s="11">
        <v>-19004</v>
      </c>
      <c r="C21" s="11">
        <v>-18596</v>
      </c>
      <c r="D21" s="25">
        <f t="shared" si="0"/>
        <v>408</v>
      </c>
    </row>
    <row r="22" spans="1:8" x14ac:dyDescent="0.2">
      <c r="A22" s="10">
        <v>19</v>
      </c>
      <c r="B22" s="11">
        <v>-8320</v>
      </c>
      <c r="C22" s="11">
        <v>-14485</v>
      </c>
      <c r="D22" s="25">
        <f t="shared" si="0"/>
        <v>-6165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-394233</v>
      </c>
      <c r="C35" s="11">
        <f>SUM(C4:C34)</f>
        <v>-397942</v>
      </c>
      <c r="D35" s="11">
        <f>SUM(D4:D34)</f>
        <v>-3709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57"/>
      <c r="D39" s="24"/>
    </row>
    <row r="40" spans="1:4" x14ac:dyDescent="0.2">
      <c r="A40" s="57">
        <v>37334</v>
      </c>
      <c r="D40" s="51">
        <f>+D38+D35</f>
        <v>-3709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37334</v>
      </c>
      <c r="B46" s="32"/>
      <c r="C46" s="32"/>
      <c r="D46" s="373">
        <f>+D35*'by type_area'!G4</f>
        <v>-9828.85</v>
      </c>
    </row>
    <row r="47" spans="1:4" x14ac:dyDescent="0.2">
      <c r="A47" s="32"/>
      <c r="B47" s="32"/>
      <c r="C47" s="32"/>
      <c r="D47" s="200">
        <f>+D46+D45</f>
        <v>-9828.85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8" workbookViewId="0">
      <selection activeCell="H22" sqref="H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11353</v>
      </c>
      <c r="C16" s="11">
        <v>10000</v>
      </c>
      <c r="D16" s="11">
        <v>7133</v>
      </c>
      <c r="E16" s="11">
        <v>6400</v>
      </c>
      <c r="F16" s="11"/>
      <c r="G16" s="11"/>
      <c r="H16" s="11"/>
      <c r="I16" s="11"/>
      <c r="J16" s="11">
        <f t="shared" si="0"/>
        <v>-2086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11269</v>
      </c>
      <c r="C17" s="11">
        <v>11900</v>
      </c>
      <c r="D17" s="11">
        <v>7606</v>
      </c>
      <c r="E17" s="11">
        <v>8900</v>
      </c>
      <c r="F17" s="11">
        <v>7753</v>
      </c>
      <c r="G17" s="11"/>
      <c r="H17" s="11"/>
      <c r="I17" s="11"/>
      <c r="J17" s="11">
        <f t="shared" si="0"/>
        <v>-5828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10198</v>
      </c>
      <c r="C18" s="11">
        <v>12500</v>
      </c>
      <c r="D18" s="11">
        <v>6967</v>
      </c>
      <c r="E18" s="11">
        <v>8900</v>
      </c>
      <c r="F18" s="11">
        <v>15164</v>
      </c>
      <c r="G18" s="11">
        <v>19000</v>
      </c>
      <c r="H18" s="11"/>
      <c r="I18" s="11">
        <v>100</v>
      </c>
      <c r="J18" s="11">
        <f t="shared" si="0"/>
        <v>8171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10216</v>
      </c>
      <c r="C19" s="11">
        <v>12500</v>
      </c>
      <c r="D19" s="11">
        <v>7025</v>
      </c>
      <c r="E19" s="11">
        <v>8900</v>
      </c>
      <c r="F19" s="11">
        <v>15297</v>
      </c>
      <c r="G19" s="11">
        <v>17600</v>
      </c>
      <c r="H19" s="11">
        <v>1430</v>
      </c>
      <c r="I19" s="11"/>
      <c r="J19" s="11">
        <f t="shared" si="0"/>
        <v>5032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11216</v>
      </c>
      <c r="C20" s="11">
        <v>12500</v>
      </c>
      <c r="D20" s="11">
        <v>7144</v>
      </c>
      <c r="E20" s="11">
        <v>8900</v>
      </c>
      <c r="F20" s="11">
        <v>15863</v>
      </c>
      <c r="G20" s="11">
        <v>17600</v>
      </c>
      <c r="H20" s="11"/>
      <c r="I20" s="11"/>
      <c r="J20" s="11">
        <f t="shared" si="0"/>
        <v>4777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11116</v>
      </c>
      <c r="C21" s="11">
        <v>12500</v>
      </c>
      <c r="D21" s="11">
        <v>6511</v>
      </c>
      <c r="E21" s="11">
        <v>8900</v>
      </c>
      <c r="F21" s="11">
        <v>16210</v>
      </c>
      <c r="G21" s="11">
        <v>17600</v>
      </c>
      <c r="H21" s="11">
        <v>4</v>
      </c>
      <c r="I21" s="11"/>
      <c r="J21" s="11">
        <f t="shared" si="0"/>
        <v>5159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11042</v>
      </c>
      <c r="C22" s="11">
        <v>12500</v>
      </c>
      <c r="D22" s="11">
        <v>6942</v>
      </c>
      <c r="E22" s="11">
        <v>8900</v>
      </c>
      <c r="F22" s="11">
        <v>16818</v>
      </c>
      <c r="G22" s="11">
        <v>10600</v>
      </c>
      <c r="H22" s="11"/>
      <c r="I22" s="11"/>
      <c r="J22" s="11">
        <f t="shared" si="0"/>
        <v>-2802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207696</v>
      </c>
      <c r="C35" s="11">
        <f t="shared" ref="C35:I35" si="1">SUM(C4:C34)</f>
        <v>202923</v>
      </c>
      <c r="D35" s="11">
        <f t="shared" si="1"/>
        <v>142268</v>
      </c>
      <c r="E35" s="11">
        <f t="shared" si="1"/>
        <v>135654</v>
      </c>
      <c r="F35" s="11">
        <f t="shared" si="1"/>
        <v>87105</v>
      </c>
      <c r="G35" s="11">
        <f t="shared" si="1"/>
        <v>82400</v>
      </c>
      <c r="H35" s="11">
        <f t="shared" si="1"/>
        <v>1836</v>
      </c>
      <c r="I35" s="11">
        <f t="shared" si="1"/>
        <v>100</v>
      </c>
      <c r="J35" s="11">
        <f>SUM(J4:J34)</f>
        <v>-17828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2.65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-47244.2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6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37334</v>
      </c>
      <c r="J41" s="319">
        <f>+J39+J37</f>
        <v>-14657.269999999997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7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37334</v>
      </c>
      <c r="B47" s="32"/>
      <c r="C47" s="32"/>
      <c r="D47" s="348">
        <f>+J35</f>
        <v>-17828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-129974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D47" sqref="D4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-6166</v>
      </c>
      <c r="E18" s="24">
        <v>-5772</v>
      </c>
      <c r="F18" s="24">
        <f t="shared" si="0"/>
        <v>394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-25584</v>
      </c>
      <c r="E19" s="24">
        <v>-25772</v>
      </c>
      <c r="F19" s="24">
        <f t="shared" si="0"/>
        <v>-188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-10356</v>
      </c>
      <c r="E20" s="24">
        <v>-14272</v>
      </c>
      <c r="F20" s="24">
        <f t="shared" si="0"/>
        <v>-3916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-19850</v>
      </c>
      <c r="E21" s="24">
        <v>-15605</v>
      </c>
      <c r="F21" s="24">
        <f t="shared" si="0"/>
        <v>4245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-19526</v>
      </c>
      <c r="E22" s="24">
        <v>-15605</v>
      </c>
      <c r="F22" s="24">
        <f t="shared" si="0"/>
        <v>3921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-87</v>
      </c>
      <c r="E23" s="24">
        <v>-605</v>
      </c>
      <c r="F23" s="24">
        <f t="shared" si="0"/>
        <v>-518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-391175</v>
      </c>
      <c r="E37" s="24">
        <f>SUM(E6:E36)</f>
        <v>-422171</v>
      </c>
      <c r="F37" s="24">
        <f>SUM(F6:F36)</f>
        <v>-30996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-82139.399999999994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324762.15000000002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37333</v>
      </c>
      <c r="E41" s="14"/>
      <c r="F41" s="104">
        <f>+F40+F39</f>
        <v>242622.75000000003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-39237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37333</v>
      </c>
      <c r="B47" s="32"/>
      <c r="C47" s="32"/>
      <c r="D47" s="348">
        <f>+F37</f>
        <v>-30996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-70233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E26" sqref="E26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>
        <v>2</v>
      </c>
      <c r="F13" s="25">
        <f t="shared" si="0"/>
        <v>2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>
        <v>812</v>
      </c>
      <c r="F20" s="25">
        <f t="shared" si="0"/>
        <v>812</v>
      </c>
    </row>
    <row r="21" spans="1:10" x14ac:dyDescent="0.2">
      <c r="A21" s="10">
        <v>14</v>
      </c>
      <c r="B21" s="11"/>
      <c r="C21" s="11"/>
      <c r="D21" s="11"/>
      <c r="E21" s="11">
        <v>812</v>
      </c>
      <c r="F21" s="25">
        <f t="shared" si="0"/>
        <v>812</v>
      </c>
    </row>
    <row r="22" spans="1:10" x14ac:dyDescent="0.2">
      <c r="A22" s="10">
        <v>15</v>
      </c>
      <c r="B22" s="11"/>
      <c r="C22" s="11"/>
      <c r="D22" s="11"/>
      <c r="E22" s="11">
        <v>812</v>
      </c>
      <c r="F22" s="25">
        <f t="shared" si="0"/>
        <v>812</v>
      </c>
    </row>
    <row r="23" spans="1:10" x14ac:dyDescent="0.2">
      <c r="A23" s="10">
        <v>16</v>
      </c>
      <c r="B23" s="11"/>
      <c r="C23" s="11"/>
      <c r="D23" s="11"/>
      <c r="E23" s="11">
        <v>812</v>
      </c>
      <c r="F23" s="25">
        <f t="shared" si="0"/>
        <v>812</v>
      </c>
    </row>
    <row r="24" spans="1:10" x14ac:dyDescent="0.2">
      <c r="A24" s="10">
        <v>17</v>
      </c>
      <c r="B24" s="11"/>
      <c r="C24" s="11"/>
      <c r="D24" s="11"/>
      <c r="E24" s="11">
        <v>812</v>
      </c>
      <c r="F24" s="25">
        <f t="shared" si="0"/>
        <v>812</v>
      </c>
    </row>
    <row r="25" spans="1:10" x14ac:dyDescent="0.2">
      <c r="A25" s="10">
        <v>18</v>
      </c>
      <c r="B25" s="11"/>
      <c r="C25" s="11"/>
      <c r="D25" s="11"/>
      <c r="E25" s="11">
        <v>812</v>
      </c>
      <c r="F25" s="25">
        <f t="shared" si="0"/>
        <v>812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5686</v>
      </c>
      <c r="F39" s="25">
        <f>SUM(F8:F38)</f>
        <v>5686</v>
      </c>
    </row>
    <row r="40" spans="1:6" x14ac:dyDescent="0.2">
      <c r="A40" s="26"/>
      <c r="C40" s="14"/>
      <c r="F40" s="253">
        <f>+summary!G4</f>
        <v>2.65</v>
      </c>
    </row>
    <row r="41" spans="1:6" x14ac:dyDescent="0.2">
      <c r="F41" s="138">
        <f>+F40*F39</f>
        <v>15067.9</v>
      </c>
    </row>
    <row r="42" spans="1:6" x14ac:dyDescent="0.2">
      <c r="A42" s="57">
        <v>37315</v>
      </c>
      <c r="C42" s="15"/>
      <c r="F42" s="611">
        <v>57421.18</v>
      </c>
    </row>
    <row r="43" spans="1:6" x14ac:dyDescent="0.2">
      <c r="A43" s="57">
        <v>37333</v>
      </c>
      <c r="C43" s="48"/>
      <c r="F43" s="138">
        <f>+F42+F41</f>
        <v>72489.08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6">
        <v>7844</v>
      </c>
    </row>
    <row r="49" spans="1:4" x14ac:dyDescent="0.2">
      <c r="A49" s="49">
        <f>+A43</f>
        <v>37333</v>
      </c>
      <c r="B49" s="32"/>
      <c r="C49" s="32"/>
      <c r="D49" s="348">
        <f>+F39</f>
        <v>5686</v>
      </c>
    </row>
    <row r="50" spans="1:4" x14ac:dyDescent="0.2">
      <c r="A50" s="32"/>
      <c r="B50" s="32"/>
      <c r="C50" s="32"/>
      <c r="D50" s="14">
        <f>+D49+D48</f>
        <v>13530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37333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37333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5" workbookViewId="0">
      <selection activeCell="C25" sqref="C25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-6</v>
      </c>
      <c r="C18" s="11"/>
      <c r="D18" s="25">
        <f t="shared" si="0"/>
        <v>6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>
        <v>-2</v>
      </c>
      <c r="C19" s="11"/>
      <c r="D19" s="25">
        <f t="shared" si="0"/>
        <v>2</v>
      </c>
      <c r="G19" s="118" t="s">
        <v>183</v>
      </c>
      <c r="H19" s="119">
        <f>+B37</f>
        <v>-627929</v>
      </c>
      <c r="I19" s="119">
        <f>+C37</f>
        <v>-616834</v>
      </c>
      <c r="J19" s="119">
        <f>+I19-H19</f>
        <v>11095</v>
      </c>
      <c r="K19" s="410">
        <f>+D38</f>
        <v>2.65</v>
      </c>
      <c r="L19" s="415">
        <f>+K19*J19</f>
        <v>29401.75</v>
      </c>
      <c r="M19" s="2"/>
      <c r="N19" s="34"/>
    </row>
    <row r="20" spans="1:14" x14ac:dyDescent="0.2">
      <c r="A20" s="10">
        <v>15</v>
      </c>
      <c r="B20" s="11">
        <v>-325</v>
      </c>
      <c r="C20" s="11">
        <v>-10000</v>
      </c>
      <c r="D20" s="25">
        <f t="shared" si="0"/>
        <v>-9675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>
        <v>-12569</v>
      </c>
      <c r="C21" s="11">
        <v>-33554</v>
      </c>
      <c r="D21" s="25">
        <f t="shared" si="0"/>
        <v>-20985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-58047</v>
      </c>
      <c r="C22" s="11">
        <v>-34047</v>
      </c>
      <c r="D22" s="25">
        <f t="shared" si="0"/>
        <v>24000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-81844</v>
      </c>
      <c r="C23" s="11">
        <v>-60570</v>
      </c>
      <c r="D23" s="25">
        <f t="shared" si="0"/>
        <v>21274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>
        <v>-86245</v>
      </c>
      <c r="C24" s="11">
        <v>-87486</v>
      </c>
      <c r="D24" s="25">
        <f t="shared" si="0"/>
        <v>-1241</v>
      </c>
      <c r="G24" s="2" t="s">
        <v>184</v>
      </c>
      <c r="H24" s="24"/>
      <c r="I24" s="24"/>
      <c r="J24" s="24">
        <f>+J19+J17</f>
        <v>141587</v>
      </c>
      <c r="K24" s="406"/>
      <c r="L24" s="110">
        <f>+L19+L17</f>
        <v>111086.84999999983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41919.566037735785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-627929</v>
      </c>
      <c r="C37" s="11">
        <f>SUM(C6:C36)</f>
        <v>-616834</v>
      </c>
      <c r="D37" s="25">
        <f>SUM(D6:D36)</f>
        <v>11095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29401.75</v>
      </c>
    </row>
    <row r="40" spans="1:4" x14ac:dyDescent="0.2">
      <c r="A40" s="57">
        <v>37315</v>
      </c>
      <c r="C40" s="15"/>
      <c r="D40" s="611">
        <v>15394.13</v>
      </c>
    </row>
    <row r="41" spans="1:4" x14ac:dyDescent="0.2">
      <c r="A41" s="57">
        <v>37334</v>
      </c>
      <c r="C41" s="48"/>
      <c r="D41" s="138">
        <f>+D40+D39</f>
        <v>44795.88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6">
        <v>94380</v>
      </c>
    </row>
    <row r="46" spans="1:4" x14ac:dyDescent="0.2">
      <c r="A46" s="49">
        <f>+A41</f>
        <v>37334</v>
      </c>
      <c r="B46" s="32"/>
      <c r="C46" s="32"/>
      <c r="D46" s="348">
        <f>+D37</f>
        <v>11095</v>
      </c>
    </row>
    <row r="47" spans="1:4" x14ac:dyDescent="0.2">
      <c r="A47" s="32"/>
      <c r="B47" s="32"/>
      <c r="C47" s="32"/>
      <c r="D47" s="14">
        <f>+D46+D45</f>
        <v>105475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0.42470613889547282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abSelected="1" workbookViewId="0">
      <selection activeCell="B41" sqref="B41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2.66</v>
      </c>
      <c r="J3" s="372">
        <f ca="1">NOW()</f>
        <v>41885.691191666665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2.65</v>
      </c>
      <c r="H4" s="548"/>
      <c r="I4" s="592"/>
    </row>
    <row r="5" spans="1:33" ht="15" customHeight="1" x14ac:dyDescent="0.2">
      <c r="B5" s="550"/>
      <c r="F5" s="546" t="s">
        <v>117</v>
      </c>
      <c r="G5" s="547">
        <f>+'[3]1001'!$E$39</f>
        <v>2.65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645198.91</v>
      </c>
      <c r="C8" s="275">
        <f>+B8/$G$4</f>
        <v>243471.28679245285</v>
      </c>
      <c r="D8" s="363">
        <f>+PNM!A23</f>
        <v>37334</v>
      </c>
      <c r="E8" s="32" t="s">
        <v>85</v>
      </c>
      <c r="F8" s="32" t="s">
        <v>297</v>
      </c>
      <c r="G8" s="32" t="s">
        <v>288</v>
      </c>
      <c r="H8" s="32" t="s">
        <v>314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410139.66000000003</v>
      </c>
      <c r="C9" s="275">
        <f>+B9/$G$4</f>
        <v>154769.68301886795</v>
      </c>
      <c r="D9" s="362">
        <f>+Conoco!A41</f>
        <v>37334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307889.03000000003</v>
      </c>
      <c r="C10" s="275">
        <f>+B10/$G$4</f>
        <v>116184.53962264152</v>
      </c>
      <c r="D10" s="363">
        <f>+mewborne!A43</f>
        <v>37334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3</v>
      </c>
      <c r="B11" s="590">
        <f>+'Amoco Abo'!$F$43</f>
        <v>238643.93</v>
      </c>
      <c r="C11" s="275">
        <f>+B11/$G$4</f>
        <v>90054.313207547166</v>
      </c>
      <c r="D11" s="363">
        <f>+'Amoco Abo'!A43</f>
        <v>37334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590">
        <f>+KN_Westar!F41</f>
        <v>242622.75000000003</v>
      </c>
      <c r="C12" s="275">
        <f>+B12/$G$4</f>
        <v>91555.754716981144</v>
      </c>
      <c r="D12" s="363">
        <f>+KN_Westar!A41</f>
        <v>37333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204" t="s">
        <v>28</v>
      </c>
      <c r="B13" s="344">
        <f>+C13*$G$3</f>
        <v>229480.86000000002</v>
      </c>
      <c r="C13" s="275">
        <f>+williams!J40</f>
        <v>86271</v>
      </c>
      <c r="D13" s="362">
        <f>+williams!A40</f>
        <v>37334</v>
      </c>
      <c r="E13" s="204" t="s">
        <v>85</v>
      </c>
      <c r="F13" s="204" t="s">
        <v>153</v>
      </c>
      <c r="G13" s="204" t="s">
        <v>288</v>
      </c>
      <c r="H13" s="441"/>
      <c r="I13" s="441"/>
      <c r="J13" s="32"/>
      <c r="K13" s="32"/>
      <c r="L13" s="32"/>
      <c r="M13" s="32"/>
      <c r="N13" s="378" t="e">
        <f>+#REF!+#REF!+B37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206</v>
      </c>
      <c r="B14" s="344">
        <f>+Dominion!D41</f>
        <v>169626.04</v>
      </c>
      <c r="C14" s="275">
        <f>+B14/$G$5</f>
        <v>64009.826415094343</v>
      </c>
      <c r="D14" s="363">
        <f>+Dominion!A41</f>
        <v>37334</v>
      </c>
      <c r="E14" s="32" t="s">
        <v>85</v>
      </c>
      <c r="F14" s="32" t="s">
        <v>297</v>
      </c>
      <c r="G14" s="32" t="s">
        <v>99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126417.81</v>
      </c>
      <c r="C15" s="275">
        <f>+B15/$G$4</f>
        <v>47704.833962264151</v>
      </c>
      <c r="D15" s="363">
        <f>+Amarillo!A41</f>
        <v>37334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129</v>
      </c>
      <c r="B16" s="344">
        <f>+EPFS!D41</f>
        <v>121125.97000000002</v>
      </c>
      <c r="C16" s="206">
        <f>+B16/$G$5</f>
        <v>45707.913207547179</v>
      </c>
      <c r="D16" s="362">
        <f>+EPFS!A41</f>
        <v>37334</v>
      </c>
      <c r="E16" s="32" t="s">
        <v>85</v>
      </c>
      <c r="F16" s="32" t="s">
        <v>153</v>
      </c>
      <c r="G16" s="32" t="s">
        <v>102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23</v>
      </c>
      <c r="B17" s="344">
        <f>+C17*$G$3</f>
        <v>110687.92000000001</v>
      </c>
      <c r="C17" s="346">
        <f>+'Red C'!$F$45</f>
        <v>41612</v>
      </c>
      <c r="D17" s="362">
        <f>+'Red C'!A45</f>
        <v>37334</v>
      </c>
      <c r="E17" s="204" t="s">
        <v>84</v>
      </c>
      <c r="F17" s="32" t="s">
        <v>152</v>
      </c>
      <c r="G17" s="32" t="s">
        <v>115</v>
      </c>
      <c r="H17" s="32"/>
      <c r="I17" s="204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6</v>
      </c>
      <c r="B18" s="590">
        <f>+Oasis!$D$40</f>
        <v>104536.9</v>
      </c>
      <c r="C18" s="206">
        <f>+B18/$G$5</f>
        <v>39447.886792452831</v>
      </c>
      <c r="D18" s="363">
        <f>+Oasis!A40</f>
        <v>37334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31</v>
      </c>
      <c r="B19" s="344">
        <f>+C19*$G$5</f>
        <v>100530.4</v>
      </c>
      <c r="C19" s="275">
        <f>+Lonestar!F43</f>
        <v>37936</v>
      </c>
      <c r="D19" s="362">
        <f>+Lonestar!A43</f>
        <v>37334</v>
      </c>
      <c r="E19" s="32" t="s">
        <v>84</v>
      </c>
      <c r="F19" s="32" t="s">
        <v>298</v>
      </c>
      <c r="G19" s="32" t="s">
        <v>102</v>
      </c>
      <c r="H19" s="32"/>
      <c r="I19" s="15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441" t="s">
        <v>79</v>
      </c>
      <c r="B20" s="499">
        <f>+Agave!$D$25</f>
        <v>79132.350000000006</v>
      </c>
      <c r="C20" s="461">
        <f>+B20/$G$5</f>
        <v>29861.2641509434</v>
      </c>
      <c r="D20" s="460">
        <f>+Agave!A25</f>
        <v>37333</v>
      </c>
      <c r="E20" s="441" t="s">
        <v>85</v>
      </c>
      <c r="F20" s="441" t="s">
        <v>298</v>
      </c>
      <c r="G20" s="441" t="s">
        <v>102</v>
      </c>
      <c r="H20" s="441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109</v>
      </c>
      <c r="B21" s="344">
        <f>+Continental!F43</f>
        <v>72489.08</v>
      </c>
      <c r="C21" s="206">
        <f>+B21/$G$4</f>
        <v>27354.369811320757</v>
      </c>
      <c r="D21" s="362">
        <f>+Continental!A43</f>
        <v>37333</v>
      </c>
      <c r="E21" s="204" t="s">
        <v>85</v>
      </c>
      <c r="F21" s="204" t="s">
        <v>153</v>
      </c>
      <c r="G21" s="204" t="s">
        <v>115</v>
      </c>
      <c r="H21" s="204"/>
      <c r="I21" s="589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295</v>
      </c>
      <c r="B22" s="344">
        <f>+Stratland!$D$41</f>
        <v>69765.440000000002</v>
      </c>
      <c r="C22" s="275">
        <f>+B22/$G$4</f>
        <v>26326.581132075473</v>
      </c>
      <c r="D22" s="362">
        <f>+Stratland!A41</f>
        <v>37315</v>
      </c>
      <c r="E22" s="32" t="s">
        <v>85</v>
      </c>
      <c r="F22" s="32" t="s">
        <v>297</v>
      </c>
      <c r="G22" s="32" t="s">
        <v>102</v>
      </c>
      <c r="H22" s="32"/>
      <c r="I22" s="32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304</v>
      </c>
      <c r="B23" s="344">
        <f>+Plains!$N$43</f>
        <v>66185.02</v>
      </c>
      <c r="C23" s="206">
        <f>+B23/$G$4</f>
        <v>24975.479245283022</v>
      </c>
      <c r="D23" s="362">
        <f>+Plains!A43</f>
        <v>37315</v>
      </c>
      <c r="E23" s="204" t="s">
        <v>85</v>
      </c>
      <c r="F23" s="204"/>
      <c r="G23" s="204" t="s">
        <v>100</v>
      </c>
      <c r="H23" s="204"/>
      <c r="I23" s="204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106797.79000000001</v>
      </c>
      <c r="C24" s="275">
        <f>+B24/$G$4</f>
        <v>40301.052830188681</v>
      </c>
      <c r="D24" s="362">
        <f>+PGETX!E39</f>
        <v>37334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32" t="s">
        <v>110</v>
      </c>
      <c r="B25" s="344">
        <f>+C25*$G$4</f>
        <v>46605.549999999996</v>
      </c>
      <c r="C25" s="275">
        <f>+CIG!D42</f>
        <v>17587</v>
      </c>
      <c r="D25" s="363">
        <f>+CIG!A42</f>
        <v>37333</v>
      </c>
      <c r="E25" s="204" t="s">
        <v>84</v>
      </c>
      <c r="F25" s="32" t="s">
        <v>153</v>
      </c>
      <c r="G25" s="32" t="s">
        <v>113</v>
      </c>
      <c r="H25" s="585" t="s">
        <v>312</v>
      </c>
      <c r="I25" s="204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127</v>
      </c>
      <c r="B26" s="344">
        <f>+Calpine!D41</f>
        <v>44795.88</v>
      </c>
      <c r="C26" s="206">
        <f>+B26/$G$4</f>
        <v>16904.105660377358</v>
      </c>
      <c r="D26" s="362">
        <f>+Calpine!A41</f>
        <v>37334</v>
      </c>
      <c r="E26" s="204" t="s">
        <v>85</v>
      </c>
      <c r="F26" s="204" t="s">
        <v>152</v>
      </c>
      <c r="G26" s="204" t="s">
        <v>99</v>
      </c>
      <c r="H26" s="551"/>
      <c r="I26" s="551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ht="13.5" customHeight="1" x14ac:dyDescent="0.2">
      <c r="A27" s="204" t="s">
        <v>71</v>
      </c>
      <c r="B27" s="345">
        <f>+transcol!$D$43</f>
        <v>35964.81</v>
      </c>
      <c r="C27" s="346">
        <f>+B27/$G$4</f>
        <v>13571.626415094339</v>
      </c>
      <c r="D27" s="362">
        <f>+transcol!A43</f>
        <v>37334</v>
      </c>
      <c r="E27" s="204" t="s">
        <v>85</v>
      </c>
      <c r="F27" s="204" t="s">
        <v>152</v>
      </c>
      <c r="G27" s="204" t="s">
        <v>115</v>
      </c>
      <c r="H27" s="204"/>
      <c r="I27" s="204"/>
      <c r="J27" s="32"/>
      <c r="K27" s="32"/>
      <c r="L27" s="32"/>
      <c r="M27" s="32"/>
      <c r="N27" s="378"/>
      <c r="O27" s="70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ht="13.5" customHeight="1" x14ac:dyDescent="0.2">
      <c r="A28" s="204" t="s">
        <v>142</v>
      </c>
      <c r="B28" s="345">
        <f>+C28*$G$4</f>
        <v>36654.799999999996</v>
      </c>
      <c r="C28" s="346">
        <f>+PEPL!D41</f>
        <v>13832</v>
      </c>
      <c r="D28" s="362">
        <f>+PEPL!A41</f>
        <v>37334</v>
      </c>
      <c r="E28" s="204" t="s">
        <v>84</v>
      </c>
      <c r="F28" s="204" t="s">
        <v>298</v>
      </c>
      <c r="G28" s="204" t="s">
        <v>100</v>
      </c>
      <c r="H28" s="32"/>
      <c r="I28" s="585"/>
      <c r="J28" s="32"/>
      <c r="K28" s="32"/>
      <c r="L28" s="32"/>
      <c r="M28" s="32"/>
      <c r="N28" s="378"/>
      <c r="O28" s="70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 ht="13.5" customHeight="1" x14ac:dyDescent="0.2">
      <c r="A29" s="32" t="s">
        <v>278</v>
      </c>
      <c r="B29" s="344">
        <f>+'WTG inc'!N43</f>
        <v>19528.469999999998</v>
      </c>
      <c r="C29" s="275">
        <f>+B29/$G$4</f>
        <v>7369.2339622641503</v>
      </c>
      <c r="D29" s="363">
        <f>+'WTG inc'!A43</f>
        <v>37334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">
      <c r="A30" s="204" t="s">
        <v>95</v>
      </c>
      <c r="B30" s="344">
        <f>+burlington!D42</f>
        <v>19757.410000000003</v>
      </c>
      <c r="C30" s="275">
        <f>+B30/$G$3</f>
        <v>7427.5977443609036</v>
      </c>
      <c r="D30" s="362">
        <f>+burlington!A42</f>
        <v>37334</v>
      </c>
      <c r="E30" s="204" t="s">
        <v>85</v>
      </c>
      <c r="F30" s="204" t="s">
        <v>153</v>
      </c>
      <c r="G30" s="204" t="s">
        <v>113</v>
      </c>
      <c r="I30" s="32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286</v>
      </c>
      <c r="B31" s="344">
        <f>+C31*$G$3</f>
        <v>16460.080000000002</v>
      </c>
      <c r="C31" s="275">
        <f>+Amoco!D40</f>
        <v>6188</v>
      </c>
      <c r="D31" s="363">
        <f>+Amoco!A40</f>
        <v>37334</v>
      </c>
      <c r="E31" s="32" t="s">
        <v>84</v>
      </c>
      <c r="F31" s="32" t="s">
        <v>152</v>
      </c>
      <c r="G31" s="32" t="s">
        <v>115</v>
      </c>
      <c r="H31" s="204"/>
      <c r="I31" s="32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">
      <c r="A32" s="32" t="s">
        <v>209</v>
      </c>
      <c r="B32" s="344">
        <f>+Devon!D41</f>
        <v>155472.70000000001</v>
      </c>
      <c r="C32" s="275">
        <f>+B32/$G$5</f>
        <v>58668.943396226423</v>
      </c>
      <c r="D32" s="363">
        <f>+Devon!A41</f>
        <v>37334</v>
      </c>
      <c r="E32" s="32" t="s">
        <v>85</v>
      </c>
      <c r="F32" s="32" t="s">
        <v>298</v>
      </c>
      <c r="G32" s="32" t="s">
        <v>99</v>
      </c>
      <c r="H32" s="585" t="s">
        <v>309</v>
      </c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1" customFormat="1" ht="13.5" customHeight="1" x14ac:dyDescent="0.2">
      <c r="A33" s="32" t="s">
        <v>131</v>
      </c>
      <c r="B33" s="632">
        <f>+SidR!D41</f>
        <v>12473.720000000001</v>
      </c>
      <c r="C33" s="71">
        <f>+B33/$G$5</f>
        <v>4707.0641509433972</v>
      </c>
      <c r="D33" s="363">
        <f>+SidR!A41</f>
        <v>37333</v>
      </c>
      <c r="E33" s="32" t="s">
        <v>85</v>
      </c>
      <c r="F33" s="32" t="s">
        <v>151</v>
      </c>
      <c r="G33" s="32" t="s">
        <v>102</v>
      </c>
      <c r="H33" s="32"/>
      <c r="I33" s="441"/>
      <c r="J33" s="204"/>
      <c r="K33" s="204"/>
      <c r="L33" s="204"/>
      <c r="M33" s="204"/>
      <c r="N33" s="468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8" customHeight="1" x14ac:dyDescent="0.2">
      <c r="A34" s="32" t="s">
        <v>96</v>
      </c>
      <c r="B34" s="47">
        <f>SUM(B8:B33)</f>
        <v>3588983.2800000007</v>
      </c>
      <c r="C34" s="69">
        <f>SUM(C8:C33)</f>
        <v>1353799.3562349267</v>
      </c>
      <c r="D34" s="203"/>
      <c r="E34" s="32"/>
      <c r="F34" s="32"/>
      <c r="G34" s="32"/>
      <c r="H34" s="32"/>
      <c r="I34" s="32"/>
      <c r="J34" s="32"/>
      <c r="K34" s="32"/>
      <c r="L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5" customHeight="1" x14ac:dyDescent="0.2">
      <c r="A35" s="32"/>
      <c r="B35" s="47"/>
      <c r="C35" s="69"/>
      <c r="D35" s="203"/>
      <c r="E35" s="32"/>
      <c r="F35" s="349"/>
      <c r="G35" s="349"/>
      <c r="H35" s="32"/>
      <c r="I35" s="3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5" customHeight="1" x14ac:dyDescent="0.2">
      <c r="A36" s="334" t="s">
        <v>89</v>
      </c>
      <c r="B36" s="335" t="s">
        <v>16</v>
      </c>
      <c r="C36" s="336" t="s">
        <v>0</v>
      </c>
      <c r="D36" s="342" t="s">
        <v>145</v>
      </c>
      <c r="E36" s="334" t="s">
        <v>90</v>
      </c>
      <c r="F36" s="337" t="s">
        <v>101</v>
      </c>
      <c r="G36" s="337" t="s">
        <v>101</v>
      </c>
      <c r="H36" s="334" t="s">
        <v>98</v>
      </c>
      <c r="I36" s="32"/>
      <c r="J36" s="32"/>
      <c r="K36" s="32"/>
      <c r="L36" s="32"/>
      <c r="M36" s="32"/>
      <c r="N36" s="378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204" t="s">
        <v>135</v>
      </c>
      <c r="B37" s="344">
        <f>+Citizens!D18</f>
        <v>-600333.18999999994</v>
      </c>
      <c r="C37" s="206">
        <f>+B37/$G$4</f>
        <v>-226540.82641509431</v>
      </c>
      <c r="D37" s="362">
        <f>+Citizens!A18</f>
        <v>37334</v>
      </c>
      <c r="E37" s="204" t="s">
        <v>85</v>
      </c>
      <c r="F37" s="204" t="s">
        <v>298</v>
      </c>
      <c r="G37" s="204" t="s">
        <v>99</v>
      </c>
      <c r="H37" s="350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2.95" customHeight="1" x14ac:dyDescent="0.2">
      <c r="A38" s="204" t="s">
        <v>32</v>
      </c>
      <c r="B38" s="344">
        <f>+C38*$G$4</f>
        <v>-250157.35</v>
      </c>
      <c r="C38" s="206">
        <f>+SoCal!F40</f>
        <v>-94399</v>
      </c>
      <c r="D38" s="362">
        <f>+SoCal!A40</f>
        <v>37334</v>
      </c>
      <c r="E38" s="204" t="s">
        <v>84</v>
      </c>
      <c r="F38" s="204" t="s">
        <v>152</v>
      </c>
      <c r="G38" s="204" t="s">
        <v>102</v>
      </c>
      <c r="H38" s="32"/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2.95" customHeight="1" x14ac:dyDescent="0.2">
      <c r="A39" s="32" t="s">
        <v>133</v>
      </c>
      <c r="B39" s="344">
        <f>+'NS Steel'!D41</f>
        <v>-237235.68000000002</v>
      </c>
      <c r="C39" s="206">
        <f>+B39/$G$4</f>
        <v>-89522.898113207557</v>
      </c>
      <c r="D39" s="363">
        <f>+'NS Steel'!A41</f>
        <v>37334</v>
      </c>
      <c r="E39" s="32" t="s">
        <v>85</v>
      </c>
      <c r="F39" s="32" t="s">
        <v>153</v>
      </c>
      <c r="G39" s="32" t="s">
        <v>100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204" t="s">
        <v>255</v>
      </c>
      <c r="B40" s="344">
        <f>+MiVida_Rich!D41</f>
        <v>-191635</v>
      </c>
      <c r="C40" s="206">
        <f>+B40/$G$5</f>
        <v>-72315.09433962265</v>
      </c>
      <c r="D40" s="362">
        <f>+MiVida_Rich!A41</f>
        <v>37315</v>
      </c>
      <c r="E40" s="204" t="s">
        <v>85</v>
      </c>
      <c r="F40" s="204" t="s">
        <v>151</v>
      </c>
      <c r="G40" s="204" t="s">
        <v>102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87</v>
      </c>
      <c r="B41" s="590">
        <f>+NNG!$D$24</f>
        <v>-163124.99</v>
      </c>
      <c r="C41" s="275">
        <f>+B41/$G$4</f>
        <v>-61556.6</v>
      </c>
      <c r="D41" s="362">
        <f>+NNG!A24</f>
        <v>37333</v>
      </c>
      <c r="E41" s="204" t="s">
        <v>85</v>
      </c>
      <c r="F41" s="204" t="s">
        <v>297</v>
      </c>
      <c r="G41" s="204" t="s">
        <v>100</v>
      </c>
      <c r="H41" s="204"/>
      <c r="I41" s="441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215</v>
      </c>
      <c r="B42" s="344">
        <f>+crosstex!F41</f>
        <v>-131076.93000000002</v>
      </c>
      <c r="C42" s="206">
        <f>+B42/$G$4</f>
        <v>-49462.9924528302</v>
      </c>
      <c r="D42" s="363">
        <f>+crosstex!A41</f>
        <v>37334</v>
      </c>
      <c r="E42" s="32" t="s">
        <v>85</v>
      </c>
      <c r="F42" s="32" t="s">
        <v>151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">
      <c r="A43" s="204" t="s">
        <v>33</v>
      </c>
      <c r="B43" s="344">
        <f>+'El Paso'!C39*summary!G4+'El Paso'!E39*summary!G3</f>
        <v>-125082.81000000003</v>
      </c>
      <c r="C43" s="275">
        <f>+'El Paso'!H39</f>
        <v>-46782</v>
      </c>
      <c r="D43" s="362">
        <f>+'El Paso'!A39</f>
        <v>37334</v>
      </c>
      <c r="E43" s="204" t="s">
        <v>84</v>
      </c>
      <c r="F43" s="204" t="s">
        <v>153</v>
      </c>
      <c r="G43" s="204" t="s">
        <v>100</v>
      </c>
      <c r="H43" s="204"/>
      <c r="I43" s="249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">
      <c r="A44" s="204" t="s">
        <v>139</v>
      </c>
      <c r="B44" s="344">
        <f>+'Citizens-Griffith'!D41</f>
        <v>-78793.639999999985</v>
      </c>
      <c r="C44" s="275">
        <f>+B44/$G$4</f>
        <v>-29733.449056603768</v>
      </c>
      <c r="D44" s="362">
        <f>+'Citizens-Griffith'!A41</f>
        <v>37334</v>
      </c>
      <c r="E44" s="204" t="s">
        <v>85</v>
      </c>
      <c r="F44" s="204" t="s">
        <v>298</v>
      </c>
      <c r="G44" s="204" t="s">
        <v>99</v>
      </c>
      <c r="H44" s="204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32" t="s">
        <v>88</v>
      </c>
      <c r="B45" s="344">
        <f>+C45*$G$5</f>
        <v>-59990.7</v>
      </c>
      <c r="C45" s="275">
        <f>+NGPL!H38</f>
        <v>-22638</v>
      </c>
      <c r="D45" s="363">
        <f>+NGPL!A38</f>
        <v>37333</v>
      </c>
      <c r="E45" s="204" t="s">
        <v>84</v>
      </c>
      <c r="F45" s="32" t="s">
        <v>152</v>
      </c>
      <c r="G45" s="32" t="s">
        <v>115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308</v>
      </c>
      <c r="B46" s="345">
        <f>+Duke!B83</f>
        <v>-28684.480000000214</v>
      </c>
      <c r="C46" s="346">
        <f>+B46/$G$5</f>
        <v>-10824.332075471779</v>
      </c>
      <c r="D46" s="362">
        <f>+DEFS!A40</f>
        <v>37333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</v>
      </c>
      <c r="B47" s="344">
        <f>+C47*$G$3</f>
        <v>-22264.2</v>
      </c>
      <c r="C47" s="206">
        <f>+NW!$F$41</f>
        <v>-8370</v>
      </c>
      <c r="D47" s="362">
        <f>+NW!B41</f>
        <v>37334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204" t="s">
        <v>203</v>
      </c>
      <c r="B48" s="345">
        <f>+WTGmktg!J43</f>
        <v>-19986.05</v>
      </c>
      <c r="C48" s="206">
        <f>+B48/$G$4</f>
        <v>-7541.9056603773588</v>
      </c>
      <c r="D48" s="362">
        <f>+WTGmktg!A43</f>
        <v>37333</v>
      </c>
      <c r="E48" s="32" t="s">
        <v>85</v>
      </c>
      <c r="F48" s="204" t="s">
        <v>152</v>
      </c>
      <c r="G48" s="204" t="s">
        <v>115</v>
      </c>
      <c r="H48" s="204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s="552" customFormat="1" ht="13.5" customHeight="1" x14ac:dyDescent="0.2">
      <c r="A49" s="32" t="s">
        <v>103</v>
      </c>
      <c r="B49" s="590">
        <f>+EOG!$J$41</f>
        <v>-14657.269999999997</v>
      </c>
      <c r="C49" s="275">
        <f>+B49/$G$4</f>
        <v>-5531.0452830188669</v>
      </c>
      <c r="D49" s="362">
        <f>+EOG!A41</f>
        <v>37334</v>
      </c>
      <c r="E49" s="32" t="s">
        <v>85</v>
      </c>
      <c r="F49" s="32" t="s">
        <v>297</v>
      </c>
      <c r="G49" s="32" t="s">
        <v>102</v>
      </c>
      <c r="H49" s="32"/>
      <c r="I49" s="32"/>
      <c r="J49" s="249"/>
      <c r="K49" s="249"/>
      <c r="L49" s="249"/>
      <c r="M49" s="32"/>
      <c r="N49" s="468"/>
      <c r="O49" s="273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249"/>
      <c r="AF49" s="249"/>
      <c r="AG49" s="249"/>
    </row>
    <row r="50" spans="1:33" s="552" customFormat="1" ht="13.5" customHeight="1" x14ac:dyDescent="0.2">
      <c r="A50" s="32" t="s">
        <v>114</v>
      </c>
      <c r="B50" s="344">
        <f>+C50*$G$4</f>
        <v>-13059.199999999999</v>
      </c>
      <c r="C50" s="206">
        <f>+'PG&amp;E'!D40</f>
        <v>-4928</v>
      </c>
      <c r="D50" s="363">
        <f>+'PG&amp;E'!A40</f>
        <v>37334</v>
      </c>
      <c r="E50" s="32" t="s">
        <v>84</v>
      </c>
      <c r="F50" s="32" t="s">
        <v>153</v>
      </c>
      <c r="G50" s="32" t="s">
        <v>102</v>
      </c>
      <c r="H50" s="32"/>
      <c r="I50" s="32"/>
      <c r="J50" s="249"/>
      <c r="K50" s="249"/>
      <c r="L50" s="249"/>
      <c r="M50" s="32"/>
      <c r="N50" s="468"/>
      <c r="O50" s="273"/>
      <c r="P50" s="249"/>
      <c r="Q50" s="249"/>
      <c r="R50" s="249"/>
      <c r="S50" s="249"/>
      <c r="T50" s="249"/>
      <c r="U50" s="249"/>
      <c r="V50" s="249"/>
      <c r="W50" s="249"/>
      <c r="X50" s="249"/>
      <c r="Y50" s="249"/>
      <c r="Z50" s="249"/>
      <c r="AA50" s="249"/>
      <c r="AB50" s="249"/>
      <c r="AC50" s="249"/>
      <c r="AD50" s="249"/>
      <c r="AE50" s="249"/>
      <c r="AF50" s="249"/>
      <c r="AG50" s="249"/>
    </row>
    <row r="51" spans="1:33" s="552" customFormat="1" ht="13.5" customHeight="1" x14ac:dyDescent="0.2">
      <c r="A51" s="32" t="s">
        <v>275</v>
      </c>
      <c r="B51" s="344">
        <f>+SWGasTrans!$D$41</f>
        <v>-9084.16</v>
      </c>
      <c r="C51" s="275">
        <f>+B51/$G$4</f>
        <v>-3427.9849056603775</v>
      </c>
      <c r="D51" s="362">
        <f>+SWGasTrans!A41</f>
        <v>37334</v>
      </c>
      <c r="E51" s="32" t="s">
        <v>85</v>
      </c>
      <c r="F51" s="32" t="s">
        <v>152</v>
      </c>
      <c r="G51" s="32" t="s">
        <v>99</v>
      </c>
      <c r="H51" s="32"/>
      <c r="I51" s="249"/>
      <c r="J51" s="249"/>
      <c r="K51" s="249"/>
      <c r="L51" s="249"/>
      <c r="M51" s="32"/>
      <c r="N51" s="468"/>
      <c r="O51" s="273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249"/>
      <c r="AF51" s="249"/>
      <c r="AG51" s="249"/>
    </row>
    <row r="52" spans="1:33" ht="13.5" customHeight="1" x14ac:dyDescent="0.2">
      <c r="A52" s="32" t="s">
        <v>94</v>
      </c>
      <c r="B52" s="344">
        <f>+C52*$I$5</f>
        <v>-8530.6999999999989</v>
      </c>
      <c r="C52" s="275">
        <f>+Mojave!D40</f>
        <v>-3709</v>
      </c>
      <c r="D52" s="363">
        <f>+Mojave!A40</f>
        <v>37334</v>
      </c>
      <c r="E52" s="32" t="s">
        <v>85</v>
      </c>
      <c r="F52" s="32" t="s">
        <v>153</v>
      </c>
      <c r="G52" s="32" t="s">
        <v>100</v>
      </c>
      <c r="H52" s="249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SUM(B37:B52)</f>
        <v>-1953696.3499999999</v>
      </c>
      <c r="C53" s="392">
        <f>SUM(C37:C52)</f>
        <v>-737283.12830188673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+B53+B34</f>
        <v>1635286.9300000009</v>
      </c>
      <c r="C55" s="353">
        <f>+C53+C34</f>
        <v>616516.22793304001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0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0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0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0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0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6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6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6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19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6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322</v>
      </c>
      <c r="B94" s="609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30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38633</v>
      </c>
      <c r="C7" s="11">
        <v>35000</v>
      </c>
      <c r="D7" s="25">
        <f t="shared" ref="D7:D36" si="0">+C7-B7</f>
        <v>-3633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37434</v>
      </c>
      <c r="C9" s="11">
        <v>35000</v>
      </c>
      <c r="D9" s="25">
        <f t="shared" si="0"/>
        <v>-2434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32136</v>
      </c>
      <c r="C15" s="11">
        <v>32539</v>
      </c>
      <c r="D15" s="25">
        <f t="shared" si="0"/>
        <v>403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>
        <v>34198</v>
      </c>
      <c r="C18" s="11">
        <v>33600</v>
      </c>
      <c r="D18" s="25">
        <f t="shared" si="0"/>
        <v>-598</v>
      </c>
    </row>
    <row r="19" spans="1:4" x14ac:dyDescent="0.2">
      <c r="A19" s="10">
        <v>14</v>
      </c>
      <c r="B19" s="129">
        <v>37622</v>
      </c>
      <c r="C19" s="11">
        <v>35000</v>
      </c>
      <c r="D19" s="25">
        <f t="shared" si="0"/>
        <v>-2622</v>
      </c>
    </row>
    <row r="20" spans="1:4" x14ac:dyDescent="0.2">
      <c r="A20" s="10">
        <v>15</v>
      </c>
      <c r="B20" s="129">
        <v>37293</v>
      </c>
      <c r="C20" s="11">
        <v>35000</v>
      </c>
      <c r="D20" s="25">
        <f t="shared" si="0"/>
        <v>-2293</v>
      </c>
    </row>
    <row r="21" spans="1:4" x14ac:dyDescent="0.2">
      <c r="A21" s="10">
        <v>16</v>
      </c>
      <c r="B21" s="11">
        <v>34649</v>
      </c>
      <c r="C21" s="11">
        <v>35000</v>
      </c>
      <c r="D21" s="25">
        <f t="shared" si="0"/>
        <v>351</v>
      </c>
    </row>
    <row r="22" spans="1:4" x14ac:dyDescent="0.2">
      <c r="A22" s="10">
        <v>17</v>
      </c>
      <c r="B22" s="11">
        <v>33717</v>
      </c>
      <c r="C22" s="11">
        <v>35000</v>
      </c>
      <c r="D22" s="25">
        <f t="shared" si="0"/>
        <v>1283</v>
      </c>
    </row>
    <row r="23" spans="1:4" x14ac:dyDescent="0.2">
      <c r="A23" s="10">
        <v>18</v>
      </c>
      <c r="B23" s="11">
        <v>34727</v>
      </c>
      <c r="C23" s="11">
        <v>35000</v>
      </c>
      <c r="D23" s="25">
        <f t="shared" si="0"/>
        <v>273</v>
      </c>
    </row>
    <row r="24" spans="1:4" x14ac:dyDescent="0.2">
      <c r="A24" s="10">
        <v>19</v>
      </c>
      <c r="B24" s="11">
        <v>38500</v>
      </c>
      <c r="C24" s="11">
        <v>35000</v>
      </c>
      <c r="D24" s="25">
        <f t="shared" si="0"/>
        <v>-3500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672648</v>
      </c>
      <c r="C37" s="11">
        <f>SUM(C6:C36)</f>
        <v>655360</v>
      </c>
      <c r="D37" s="25">
        <f>SUM(D6:D36)</f>
        <v>-17288</v>
      </c>
    </row>
    <row r="38" spans="1:4" x14ac:dyDescent="0.2">
      <c r="A38" s="26"/>
      <c r="B38" s="31"/>
      <c r="C38" s="14"/>
      <c r="D38" s="326">
        <f>+summary!G5</f>
        <v>2.65</v>
      </c>
    </row>
    <row r="39" spans="1:4" x14ac:dyDescent="0.2">
      <c r="D39" s="138">
        <f>+D38*D37</f>
        <v>-45813.2</v>
      </c>
    </row>
    <row r="40" spans="1:4" x14ac:dyDescent="0.2">
      <c r="A40" s="57">
        <v>37315</v>
      </c>
      <c r="C40" s="15"/>
      <c r="D40" s="611">
        <v>166939.17000000001</v>
      </c>
    </row>
    <row r="41" spans="1:4" x14ac:dyDescent="0.2">
      <c r="A41" s="57">
        <v>37334</v>
      </c>
      <c r="C41" s="48"/>
      <c r="D41" s="138">
        <f>+D40+D39</f>
        <v>121125.97000000002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6">
        <v>93375</v>
      </c>
    </row>
    <row r="46" spans="1:4" x14ac:dyDescent="0.2">
      <c r="A46" s="49">
        <f>+A41</f>
        <v>37334</v>
      </c>
      <c r="B46" s="32"/>
      <c r="C46" s="32"/>
      <c r="D46" s="348">
        <f>+D37</f>
        <v>-17288</v>
      </c>
    </row>
    <row r="47" spans="1:4" x14ac:dyDescent="0.2">
      <c r="A47" s="32"/>
      <c r="B47" s="32"/>
      <c r="C47" s="32"/>
      <c r="D47" s="14">
        <f>+D46+D45</f>
        <v>76087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8" workbookViewId="0">
      <selection activeCell="D50" sqref="D5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>
        <v>34349</v>
      </c>
      <c r="C17" s="11">
        <v>34667</v>
      </c>
      <c r="D17" s="25">
        <f t="shared" si="0"/>
        <v>318</v>
      </c>
    </row>
    <row r="18" spans="1:4" x14ac:dyDescent="0.2">
      <c r="A18" s="10">
        <v>13</v>
      </c>
      <c r="B18" s="11">
        <v>165</v>
      </c>
      <c r="C18" s="11"/>
      <c r="D18" s="25">
        <f t="shared" si="0"/>
        <v>-165</v>
      </c>
    </row>
    <row r="19" spans="1:4" x14ac:dyDescent="0.2">
      <c r="A19" s="10">
        <v>14</v>
      </c>
      <c r="B19" s="11">
        <v>24800</v>
      </c>
      <c r="C19" s="11">
        <v>24882</v>
      </c>
      <c r="D19" s="25">
        <f t="shared" si="0"/>
        <v>82</v>
      </c>
    </row>
    <row r="20" spans="1:4" x14ac:dyDescent="0.2">
      <c r="A20" s="10">
        <v>15</v>
      </c>
      <c r="B20" s="11">
        <v>27927</v>
      </c>
      <c r="C20" s="11">
        <v>28214</v>
      </c>
      <c r="D20" s="25">
        <f t="shared" si="0"/>
        <v>287</v>
      </c>
    </row>
    <row r="21" spans="1:4" x14ac:dyDescent="0.2">
      <c r="A21" s="10">
        <v>16</v>
      </c>
      <c r="B21" s="11">
        <v>25532</v>
      </c>
      <c r="C21" s="11">
        <v>25656</v>
      </c>
      <c r="D21" s="25">
        <f t="shared" si="0"/>
        <v>124</v>
      </c>
    </row>
    <row r="22" spans="1:4" x14ac:dyDescent="0.2">
      <c r="A22" s="10">
        <v>17</v>
      </c>
      <c r="B22" s="11">
        <v>39933</v>
      </c>
      <c r="C22" s="11">
        <v>40856</v>
      </c>
      <c r="D22" s="25">
        <f t="shared" si="0"/>
        <v>923</v>
      </c>
    </row>
    <row r="23" spans="1:4" x14ac:dyDescent="0.2">
      <c r="A23" s="10">
        <v>18</v>
      </c>
      <c r="B23" s="11">
        <v>27375</v>
      </c>
      <c r="C23" s="11">
        <v>25856</v>
      </c>
      <c r="D23" s="25">
        <f t="shared" si="0"/>
        <v>-1519</v>
      </c>
    </row>
    <row r="24" spans="1:4" x14ac:dyDescent="0.2">
      <c r="A24" s="10">
        <v>19</v>
      </c>
      <c r="B24" s="11">
        <v>30760</v>
      </c>
      <c r="C24" s="11">
        <v>32658</v>
      </c>
      <c r="D24" s="25">
        <f t="shared" si="0"/>
        <v>1898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710713</v>
      </c>
      <c r="C37" s="11">
        <f>SUM(C6:C36)</f>
        <v>711497</v>
      </c>
      <c r="D37" s="25">
        <f>SUM(D6:D36)</f>
        <v>784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2077.6</v>
      </c>
    </row>
    <row r="40" spans="1:4" x14ac:dyDescent="0.2">
      <c r="A40" s="57">
        <v>37315</v>
      </c>
      <c r="C40" s="15"/>
      <c r="D40" s="579">
        <v>10396.120000000001</v>
      </c>
    </row>
    <row r="41" spans="1:4" x14ac:dyDescent="0.2">
      <c r="A41" s="57">
        <v>37333</v>
      </c>
      <c r="C41" s="48"/>
      <c r="D41" s="138">
        <f>+D40+D39</f>
        <v>12473.720000000001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4733</v>
      </c>
    </row>
    <row r="47" spans="1:4" x14ac:dyDescent="0.2">
      <c r="A47" s="49">
        <f>+A41</f>
        <v>37333</v>
      </c>
      <c r="B47" s="32"/>
      <c r="C47" s="32"/>
      <c r="D47" s="348">
        <f>+D37</f>
        <v>784</v>
      </c>
    </row>
    <row r="48" spans="1:4" x14ac:dyDescent="0.2">
      <c r="A48" s="32"/>
      <c r="B48" s="32"/>
      <c r="C48" s="32"/>
      <c r="D48" s="14">
        <f>+D47+D46</f>
        <v>5517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7" workbookViewId="0">
      <selection activeCell="C25" sqref="C25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>
        <v>-1507</v>
      </c>
      <c r="C18" s="11">
        <v>-1038</v>
      </c>
      <c r="D18" s="25">
        <f t="shared" si="0"/>
        <v>469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>
        <v>-767</v>
      </c>
      <c r="C19" s="11">
        <v>-995</v>
      </c>
      <c r="D19" s="25">
        <f t="shared" si="0"/>
        <v>-228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>
        <v>-595</v>
      </c>
      <c r="C20" s="11">
        <v>-281</v>
      </c>
      <c r="D20" s="25">
        <f t="shared" si="0"/>
        <v>314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>
        <v>-1351</v>
      </c>
      <c r="C21" s="11">
        <v>-707</v>
      </c>
      <c r="D21" s="25">
        <f t="shared" si="0"/>
        <v>644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>
        <v>-1915</v>
      </c>
      <c r="C22" s="11">
        <v>-870</v>
      </c>
      <c r="D22" s="25">
        <f t="shared" si="0"/>
        <v>1045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>
        <v>-1922</v>
      </c>
      <c r="C23" s="11">
        <v>-871</v>
      </c>
      <c r="D23" s="25">
        <f t="shared" si="0"/>
        <v>1051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-1171</v>
      </c>
      <c r="C24" s="11">
        <v>-713</v>
      </c>
      <c r="D24" s="25">
        <f t="shared" si="0"/>
        <v>458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-24333</v>
      </c>
      <c r="C37" s="11">
        <f>SUM(C6:C36)</f>
        <v>-17931</v>
      </c>
      <c r="D37" s="25">
        <f>SUM(D6:D36)</f>
        <v>6402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16965.3</v>
      </c>
    </row>
    <row r="40" spans="1:4" x14ac:dyDescent="0.2">
      <c r="A40" s="57">
        <v>37315</v>
      </c>
      <c r="C40" s="15"/>
      <c r="D40" s="611">
        <v>-254200.98</v>
      </c>
    </row>
    <row r="41" spans="1:4" x14ac:dyDescent="0.2">
      <c r="A41" s="57">
        <v>37334</v>
      </c>
      <c r="C41" s="48"/>
      <c r="D41" s="138">
        <f>+D40+D39</f>
        <v>-237235.68000000002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6">
        <v>3963</v>
      </c>
    </row>
    <row r="49" spans="1:4" x14ac:dyDescent="0.2">
      <c r="A49" s="49">
        <f>+A41</f>
        <v>37334</v>
      </c>
      <c r="B49" s="32"/>
      <c r="C49" s="32"/>
      <c r="D49" s="348">
        <f>+D37</f>
        <v>6402</v>
      </c>
    </row>
    <row r="50" spans="1:4" x14ac:dyDescent="0.2">
      <c r="A50" s="32"/>
      <c r="B50" s="32"/>
      <c r="C50" s="32"/>
      <c r="D50" s="14">
        <f>+D49+D48</f>
        <v>10365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3"/>
  <sheetViews>
    <sheetView topLeftCell="A13" workbookViewId="0">
      <selection activeCell="C25" sqref="C25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>
        <v>-30746</v>
      </c>
      <c r="C18" s="11">
        <v>-36000</v>
      </c>
      <c r="D18" s="25">
        <f t="shared" si="0"/>
        <v>-5254</v>
      </c>
    </row>
    <row r="19" spans="1:4" x14ac:dyDescent="0.2">
      <c r="A19" s="10">
        <v>14</v>
      </c>
      <c r="B19" s="11">
        <v>-5610</v>
      </c>
      <c r="C19" s="11">
        <v>-28516</v>
      </c>
      <c r="D19" s="25">
        <f t="shared" si="0"/>
        <v>-22906</v>
      </c>
    </row>
    <row r="20" spans="1:4" x14ac:dyDescent="0.2">
      <c r="A20" s="10">
        <v>15</v>
      </c>
      <c r="B20" s="11">
        <v>-33385</v>
      </c>
      <c r="C20" s="11">
        <v>-32829</v>
      </c>
      <c r="D20" s="25">
        <f t="shared" si="0"/>
        <v>556</v>
      </c>
    </row>
    <row r="21" spans="1:4" x14ac:dyDescent="0.2">
      <c r="A21" s="10">
        <v>16</v>
      </c>
      <c r="B21" s="11">
        <v>-28498</v>
      </c>
      <c r="C21" s="11">
        <v>-26930</v>
      </c>
      <c r="D21" s="25">
        <f t="shared" si="0"/>
        <v>1568</v>
      </c>
    </row>
    <row r="22" spans="1:4" x14ac:dyDescent="0.2">
      <c r="A22" s="10">
        <v>17</v>
      </c>
      <c r="B22" s="11">
        <v>-2469</v>
      </c>
      <c r="C22" s="11">
        <v>-13018</v>
      </c>
      <c r="D22" s="25">
        <f t="shared" si="0"/>
        <v>-10549</v>
      </c>
    </row>
    <row r="23" spans="1:4" x14ac:dyDescent="0.2">
      <c r="A23" s="10">
        <v>18</v>
      </c>
      <c r="B23" s="11">
        <v>-158</v>
      </c>
      <c r="C23" s="11">
        <v>-11149</v>
      </c>
      <c r="D23" s="25">
        <f t="shared" si="0"/>
        <v>-10991</v>
      </c>
    </row>
    <row r="24" spans="1:4" x14ac:dyDescent="0.2">
      <c r="A24" s="10">
        <v>19</v>
      </c>
      <c r="B24" s="11">
        <v>-70</v>
      </c>
      <c r="C24" s="11">
        <v>-2500</v>
      </c>
      <c r="D24" s="25">
        <f t="shared" si="0"/>
        <v>-2430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-523860</v>
      </c>
      <c r="C37" s="11">
        <f>SUM(C6:C36)</f>
        <v>-576942</v>
      </c>
      <c r="D37" s="25">
        <f>SUM(D6:D36)</f>
        <v>-53082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-140667.29999999999</v>
      </c>
    </row>
    <row r="40" spans="1:4" x14ac:dyDescent="0.2">
      <c r="A40" s="57">
        <v>37315</v>
      </c>
      <c r="C40" s="15"/>
      <c r="D40" s="611">
        <v>61873.66</v>
      </c>
    </row>
    <row r="41" spans="1:4" x14ac:dyDescent="0.2">
      <c r="A41" s="57">
        <v>37334</v>
      </c>
      <c r="C41" s="48"/>
      <c r="D41" s="138">
        <f>+D40+D39</f>
        <v>-78793.639999999985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33068</v>
      </c>
    </row>
    <row r="47" spans="1:4" x14ac:dyDescent="0.2">
      <c r="A47" s="49">
        <f>+A41</f>
        <v>37334</v>
      </c>
      <c r="B47" s="32"/>
      <c r="C47" s="32"/>
      <c r="D47" s="348">
        <f>+D37</f>
        <v>-53082</v>
      </c>
    </row>
    <row r="48" spans="1:4" x14ac:dyDescent="0.2">
      <c r="A48" s="32"/>
      <c r="B48" s="32"/>
      <c r="C48" s="32"/>
      <c r="D48" s="14">
        <f>+D47+D46</f>
        <v>-20014</v>
      </c>
    </row>
    <row r="49" spans="1:4" x14ac:dyDescent="0.2">
      <c r="A49" s="139"/>
      <c r="B49" s="119"/>
      <c r="C49" s="140"/>
      <c r="D49" s="140"/>
    </row>
    <row r="53" spans="1:4" x14ac:dyDescent="0.2">
      <c r="D53" s="354">
        <f>+D41/D48</f>
        <v>3.9369261516938137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4" workbookViewId="0">
      <selection activeCell="D12" sqref="D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-3030</v>
      </c>
      <c r="D5" s="90">
        <f>+C5-B5</f>
        <v>-3030</v>
      </c>
      <c r="E5" s="275"/>
      <c r="F5" s="273"/>
    </row>
    <row r="6" spans="1:13" x14ac:dyDescent="0.2">
      <c r="A6" s="87">
        <v>500046</v>
      </c>
      <c r="B6" s="90">
        <f>-7640-457-369</f>
        <v>-8466</v>
      </c>
      <c r="C6" s="90"/>
      <c r="D6" s="90">
        <f t="shared" ref="D6:D11" si="0">+C6-B6</f>
        <v>8466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-15062-788</f>
        <v>-15850</v>
      </c>
      <c r="C8" s="90">
        <v>-29776</v>
      </c>
      <c r="D8" s="90">
        <f t="shared" si="0"/>
        <v>-13926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-8490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2.65</v>
      </c>
      <c r="E13" s="277"/>
      <c r="F13" s="273"/>
    </row>
    <row r="14" spans="1:13" x14ac:dyDescent="0.2">
      <c r="A14" s="87"/>
      <c r="B14" s="88"/>
      <c r="C14" s="88"/>
      <c r="D14" s="96">
        <f>+D13*D12</f>
        <v>-22498.5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37334</v>
      </c>
      <c r="B18" s="88"/>
      <c r="C18" s="88"/>
      <c r="D18" s="318">
        <f>+D16+D14</f>
        <v>-600333.18999999994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6">
        <v>-55913</v>
      </c>
    </row>
    <row r="23" spans="1:7" x14ac:dyDescent="0.2">
      <c r="A23" s="49"/>
      <c r="B23" s="32"/>
      <c r="C23" s="32"/>
      <c r="D23" s="348">
        <f>+D12</f>
        <v>-8490</v>
      </c>
    </row>
    <row r="24" spans="1:7" x14ac:dyDescent="0.2">
      <c r="A24" s="49">
        <f>+A18</f>
        <v>37334</v>
      </c>
      <c r="B24" s="32"/>
      <c r="C24" s="32"/>
      <c r="D24" s="14">
        <f>+D23+D22</f>
        <v>-64403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9.3215097122804824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4" workbookViewId="0">
      <selection activeCell="C26" sqref="C26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>
        <v>-77515</v>
      </c>
      <c r="C18" s="11">
        <v>-79245</v>
      </c>
      <c r="D18" s="25">
        <f t="shared" si="0"/>
        <v>-1730</v>
      </c>
    </row>
    <row r="19" spans="1:4" x14ac:dyDescent="0.2">
      <c r="A19" s="10">
        <v>14</v>
      </c>
      <c r="B19" s="11">
        <v>-43180</v>
      </c>
      <c r="C19" s="11">
        <v>-42245</v>
      </c>
      <c r="D19" s="25">
        <f t="shared" si="0"/>
        <v>935</v>
      </c>
    </row>
    <row r="20" spans="1:4" x14ac:dyDescent="0.2">
      <c r="A20" s="10">
        <v>15</v>
      </c>
      <c r="B20" s="11">
        <v>-69312</v>
      </c>
      <c r="C20" s="11">
        <v>-70745</v>
      </c>
      <c r="D20" s="25">
        <f t="shared" si="0"/>
        <v>-1433</v>
      </c>
    </row>
    <row r="21" spans="1:4" x14ac:dyDescent="0.2">
      <c r="A21" s="10">
        <v>16</v>
      </c>
      <c r="B21" s="11">
        <v>-32156</v>
      </c>
      <c r="C21" s="11">
        <v>-30645</v>
      </c>
      <c r="D21" s="25">
        <f t="shared" si="0"/>
        <v>1511</v>
      </c>
    </row>
    <row r="22" spans="1:4" x14ac:dyDescent="0.2">
      <c r="A22" s="10">
        <v>17</v>
      </c>
      <c r="B22" s="11">
        <v>-32524</v>
      </c>
      <c r="C22" s="11">
        <v>-30645</v>
      </c>
      <c r="D22" s="25">
        <f t="shared" si="0"/>
        <v>1879</v>
      </c>
    </row>
    <row r="23" spans="1:4" x14ac:dyDescent="0.2">
      <c r="A23" s="10">
        <v>18</v>
      </c>
      <c r="B23" s="11">
        <v>-31945</v>
      </c>
      <c r="C23" s="11">
        <v>-30645</v>
      </c>
      <c r="D23" s="25">
        <f t="shared" si="0"/>
        <v>1300</v>
      </c>
    </row>
    <row r="24" spans="1:4" x14ac:dyDescent="0.2">
      <c r="A24" s="10">
        <v>19</v>
      </c>
      <c r="B24" s="11">
        <v>-19685</v>
      </c>
      <c r="C24" s="11">
        <v>-14575</v>
      </c>
      <c r="D24" s="25">
        <f t="shared" si="0"/>
        <v>5110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-847210</v>
      </c>
      <c r="C37" s="11">
        <f>SUM(C6:C36)</f>
        <v>-830507</v>
      </c>
      <c r="D37" s="25">
        <f>SUM(D6:D36)</f>
        <v>16703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3">
        <f>-22463+19592</f>
        <v>-2871</v>
      </c>
    </row>
    <row r="41" spans="1:4" x14ac:dyDescent="0.2">
      <c r="A41" s="57">
        <v>37334</v>
      </c>
      <c r="C41" s="48"/>
      <c r="D41" s="25">
        <f>+D40+D37</f>
        <v>13832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37334</v>
      </c>
      <c r="B46" s="32"/>
      <c r="C46" s="32"/>
      <c r="D46" s="373">
        <f>+D37*'by type_area'!G4</f>
        <v>44262.95</v>
      </c>
    </row>
    <row r="47" spans="1:4" x14ac:dyDescent="0.2">
      <c r="A47" s="32"/>
      <c r="B47" s="32"/>
      <c r="C47" s="32"/>
      <c r="D47" s="200">
        <f>+D46+D45</f>
        <v>198998.95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1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6" workbookViewId="0">
      <selection activeCell="G47" sqref="G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-642</v>
      </c>
      <c r="H13" s="11"/>
      <c r="I13" s="11"/>
      <c r="J13" s="11">
        <f t="shared" si="0"/>
        <v>-130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-86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-186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-108</v>
      </c>
      <c r="C18" s="11">
        <v>-120</v>
      </c>
      <c r="D18" s="11"/>
      <c r="E18" s="11"/>
      <c r="F18" s="11">
        <v>-377</v>
      </c>
      <c r="G18" s="11">
        <v>-461</v>
      </c>
      <c r="H18" s="11"/>
      <c r="I18" s="11"/>
      <c r="J18" s="11">
        <f t="shared" si="0"/>
        <v>-96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-133</v>
      </c>
      <c r="C19" s="11">
        <v>-120</v>
      </c>
      <c r="D19" s="11"/>
      <c r="E19" s="11"/>
      <c r="F19" s="11">
        <v>-364</v>
      </c>
      <c r="G19" s="11">
        <v>-642</v>
      </c>
      <c r="H19" s="11"/>
      <c r="I19" s="11"/>
      <c r="J19" s="11">
        <f t="shared" si="0"/>
        <v>-265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-127</v>
      </c>
      <c r="C20" s="11">
        <v>-120</v>
      </c>
      <c r="D20" s="11"/>
      <c r="E20" s="11"/>
      <c r="F20" s="11">
        <v>-586</v>
      </c>
      <c r="G20" s="11">
        <v>-642</v>
      </c>
      <c r="H20" s="11"/>
      <c r="I20" s="11"/>
      <c r="J20" s="11">
        <f t="shared" si="0"/>
        <v>-49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-104</v>
      </c>
      <c r="C21" s="11">
        <v>-120</v>
      </c>
      <c r="D21" s="11"/>
      <c r="E21" s="11"/>
      <c r="F21" s="11">
        <v>-544</v>
      </c>
      <c r="G21" s="11">
        <v>-642</v>
      </c>
      <c r="H21" s="11"/>
      <c r="I21" s="11"/>
      <c r="J21" s="11">
        <f t="shared" si="0"/>
        <v>-114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-141</v>
      </c>
      <c r="C22" s="11">
        <v>-120</v>
      </c>
      <c r="D22" s="11"/>
      <c r="E22" s="11"/>
      <c r="F22" s="11">
        <v>-476</v>
      </c>
      <c r="G22" s="11">
        <v>-642</v>
      </c>
      <c r="H22" s="11"/>
      <c r="I22" s="11"/>
      <c r="J22" s="11">
        <f t="shared" si="0"/>
        <v>-145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-140</v>
      </c>
      <c r="C23" s="11">
        <v>-120</v>
      </c>
      <c r="D23" s="11"/>
      <c r="E23" s="11"/>
      <c r="F23" s="11">
        <v>-406</v>
      </c>
      <c r="G23" s="11">
        <v>-642</v>
      </c>
      <c r="H23" s="11"/>
      <c r="I23" s="11"/>
      <c r="J23" s="11">
        <f t="shared" si="0"/>
        <v>-216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-2573</v>
      </c>
      <c r="C37" s="11">
        <f t="shared" ref="C37:I37" si="1">SUM(C6:C36)</f>
        <v>-2160</v>
      </c>
      <c r="D37" s="11">
        <f t="shared" si="1"/>
        <v>0</v>
      </c>
      <c r="E37" s="11">
        <f t="shared" si="1"/>
        <v>0</v>
      </c>
      <c r="F37" s="11">
        <f t="shared" si="1"/>
        <v>-13796</v>
      </c>
      <c r="G37" s="11">
        <f t="shared" si="1"/>
        <v>-11226</v>
      </c>
      <c r="H37" s="11">
        <f t="shared" si="1"/>
        <v>0</v>
      </c>
      <c r="I37" s="11">
        <f t="shared" si="1"/>
        <v>0</v>
      </c>
      <c r="J37" s="11">
        <f>SUM(J6:J36)</f>
        <v>2983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2.65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7904.95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2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37333</v>
      </c>
      <c r="J43" s="319">
        <f>+J41+J39</f>
        <v>-19986.05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6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37333</v>
      </c>
      <c r="B49" s="32"/>
      <c r="C49" s="32"/>
      <c r="D49" s="348">
        <f>+J37</f>
        <v>2983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3163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8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>
        <v>-1392</v>
      </c>
      <c r="M18" s="11">
        <v>-906</v>
      </c>
      <c r="N18" s="11">
        <f>+M18+K18+I18+G18+E18+C18-L18-J18-H18-F18-D18-B18</f>
        <v>486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>
        <v>-1580</v>
      </c>
      <c r="M19" s="11">
        <v>-906</v>
      </c>
      <c r="N19" s="11">
        <f>+M19+K19+I19+G19+E19+C19-L19-J19-H19-F19-D19-B19</f>
        <v>674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>
        <v>-1152</v>
      </c>
      <c r="M20" s="11">
        <v>-906</v>
      </c>
      <c r="N20" s="11">
        <f>+M20+K20+I20+G20+E20+C20-L20-J20-H20-F20-D20-B20</f>
        <v>246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>
        <v>-951</v>
      </c>
      <c r="M21" s="11">
        <v>-906</v>
      </c>
      <c r="N21" s="11">
        <f t="shared" si="0"/>
        <v>45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>
        <v>-657</v>
      </c>
      <c r="M22" s="11">
        <v>-906</v>
      </c>
      <c r="N22" s="11">
        <f t="shared" si="0"/>
        <v>-249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>
        <v>-793</v>
      </c>
      <c r="M23" s="11">
        <v>-906</v>
      </c>
      <c r="N23" s="11">
        <f t="shared" si="0"/>
        <v>-113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>
        <v>-717</v>
      </c>
      <c r="M24" s="11">
        <v>-906</v>
      </c>
      <c r="N24" s="11">
        <f t="shared" si="0"/>
        <v>-189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-16527</v>
      </c>
      <c r="M37" s="11">
        <f>SUM(M6:M36)</f>
        <v>-16525</v>
      </c>
      <c r="N37" s="11">
        <f t="shared" si="1"/>
        <v>2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2.65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5.3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2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37334</v>
      </c>
      <c r="N43" s="319">
        <f>+N41+N39</f>
        <v>19528.469999999998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6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37334</v>
      </c>
      <c r="B49" s="32"/>
      <c r="C49" s="32"/>
      <c r="D49" s="348">
        <f>+N37</f>
        <v>2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5873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>
        <v>297</v>
      </c>
      <c r="C18" s="11">
        <v>150</v>
      </c>
      <c r="D18" s="25">
        <f t="shared" si="0"/>
        <v>-147</v>
      </c>
    </row>
    <row r="19" spans="1:4" x14ac:dyDescent="0.2">
      <c r="A19" s="10">
        <v>14</v>
      </c>
      <c r="B19" s="11">
        <v>192</v>
      </c>
      <c r="C19" s="11">
        <v>150</v>
      </c>
      <c r="D19" s="25">
        <f t="shared" si="0"/>
        <v>-42</v>
      </c>
    </row>
    <row r="20" spans="1:4" x14ac:dyDescent="0.2">
      <c r="A20" s="10">
        <v>15</v>
      </c>
      <c r="B20" s="11">
        <v>248</v>
      </c>
      <c r="C20" s="11">
        <v>150</v>
      </c>
      <c r="D20" s="25">
        <f t="shared" si="0"/>
        <v>-98</v>
      </c>
    </row>
    <row r="21" spans="1:4" x14ac:dyDescent="0.2">
      <c r="A21" s="10">
        <v>16</v>
      </c>
      <c r="B21" s="11">
        <v>219</v>
      </c>
      <c r="C21" s="11">
        <v>150</v>
      </c>
      <c r="D21" s="25">
        <f t="shared" si="0"/>
        <v>-69</v>
      </c>
    </row>
    <row r="22" spans="1:4" x14ac:dyDescent="0.2">
      <c r="A22" s="10">
        <v>17</v>
      </c>
      <c r="B22" s="11">
        <v>195</v>
      </c>
      <c r="C22" s="11">
        <v>150</v>
      </c>
      <c r="D22" s="25">
        <f t="shared" si="0"/>
        <v>-45</v>
      </c>
    </row>
    <row r="23" spans="1:4" x14ac:dyDescent="0.2">
      <c r="A23" s="10">
        <v>18</v>
      </c>
      <c r="B23" s="11">
        <v>184</v>
      </c>
      <c r="C23" s="11">
        <v>150</v>
      </c>
      <c r="D23" s="25">
        <f t="shared" si="0"/>
        <v>-34</v>
      </c>
    </row>
    <row r="24" spans="1:4" x14ac:dyDescent="0.2">
      <c r="A24" s="10">
        <v>19</v>
      </c>
      <c r="B24" s="11">
        <v>250</v>
      </c>
      <c r="C24" s="11">
        <v>150</v>
      </c>
      <c r="D24" s="25">
        <f t="shared" si="0"/>
        <v>-100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3451</v>
      </c>
      <c r="C37" s="11">
        <f>SUM(C6:C36)</f>
        <v>2552</v>
      </c>
      <c r="D37" s="25">
        <f>SUM(D6:D36)</f>
        <v>-899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-2382.35</v>
      </c>
    </row>
    <row r="40" spans="1:4" x14ac:dyDescent="0.2">
      <c r="A40" s="57">
        <v>37315</v>
      </c>
      <c r="C40" s="15"/>
      <c r="D40" s="611">
        <v>172008.39</v>
      </c>
    </row>
    <row r="41" spans="1:4" x14ac:dyDescent="0.2">
      <c r="A41" s="57">
        <v>37334</v>
      </c>
      <c r="C41" s="48"/>
      <c r="D41" s="138">
        <f>+D40+D39</f>
        <v>169626.04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75165</v>
      </c>
    </row>
    <row r="47" spans="1:4" x14ac:dyDescent="0.2">
      <c r="A47" s="49">
        <f>+A41</f>
        <v>37334</v>
      </c>
      <c r="B47" s="32"/>
      <c r="C47" s="32"/>
      <c r="D47" s="348">
        <f>+D37</f>
        <v>-899</v>
      </c>
    </row>
    <row r="48" spans="1:4" x14ac:dyDescent="0.2">
      <c r="A48" s="32"/>
      <c r="B48" s="32"/>
      <c r="C48" s="32"/>
      <c r="D48" s="14">
        <f>+D47+D46</f>
        <v>74266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9" workbookViewId="0">
      <selection activeCell="B41" sqref="B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305620</v>
      </c>
      <c r="C16" s="11">
        <v>291299</v>
      </c>
      <c r="D16" s="11"/>
      <c r="E16" s="11">
        <v>6874</v>
      </c>
      <c r="F16" s="11">
        <v>35761</v>
      </c>
      <c r="G16" s="11">
        <v>36557</v>
      </c>
      <c r="H16" s="11">
        <v>129035</v>
      </c>
      <c r="I16" s="11">
        <v>132597</v>
      </c>
      <c r="J16" s="11">
        <f t="shared" si="0"/>
        <v>-3089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299448</v>
      </c>
      <c r="C17" s="11">
        <v>313299</v>
      </c>
      <c r="D17" s="11"/>
      <c r="E17" s="11"/>
      <c r="F17" s="11">
        <v>36591</v>
      </c>
      <c r="G17" s="11">
        <v>36557</v>
      </c>
      <c r="H17" s="11">
        <v>126552</v>
      </c>
      <c r="I17" s="11">
        <v>137775</v>
      </c>
      <c r="J17" s="11">
        <f t="shared" si="0"/>
        <v>25040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295747</v>
      </c>
      <c r="C18" s="11">
        <v>315231</v>
      </c>
      <c r="D18" s="11"/>
      <c r="E18" s="11">
        <v>4227</v>
      </c>
      <c r="F18" s="11">
        <v>34405</v>
      </c>
      <c r="G18" s="11">
        <v>36498</v>
      </c>
      <c r="H18" s="11">
        <v>112796</v>
      </c>
      <c r="I18" s="11">
        <v>129297</v>
      </c>
      <c r="J18" s="11">
        <f t="shared" si="0"/>
        <v>42305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263231</v>
      </c>
      <c r="C19" s="11">
        <v>255053</v>
      </c>
      <c r="D19" s="11"/>
      <c r="E19" s="11">
        <v>3809</v>
      </c>
      <c r="F19" s="11">
        <v>35273</v>
      </c>
      <c r="G19" s="11">
        <v>34958</v>
      </c>
      <c r="H19" s="11">
        <v>115231</v>
      </c>
      <c r="I19" s="11">
        <v>120738</v>
      </c>
      <c r="J19" s="11">
        <f t="shared" si="0"/>
        <v>823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255722</v>
      </c>
      <c r="C20" s="11">
        <v>255293</v>
      </c>
      <c r="D20" s="11"/>
      <c r="E20" s="11"/>
      <c r="F20" s="11">
        <v>37832</v>
      </c>
      <c r="G20" s="11">
        <v>39583</v>
      </c>
      <c r="H20" s="11">
        <v>131257</v>
      </c>
      <c r="I20" s="11">
        <v>129496</v>
      </c>
      <c r="J20" s="11">
        <f t="shared" si="0"/>
        <v>-439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250533</v>
      </c>
      <c r="C21" s="11">
        <v>247108</v>
      </c>
      <c r="D21" s="11"/>
      <c r="E21" s="11"/>
      <c r="F21" s="11">
        <v>46005</v>
      </c>
      <c r="G21" s="11">
        <v>46187</v>
      </c>
      <c r="H21" s="11">
        <v>131881</v>
      </c>
      <c r="I21" s="11">
        <v>132156</v>
      </c>
      <c r="J21" s="11">
        <f t="shared" si="0"/>
        <v>-2968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235489</v>
      </c>
      <c r="C22" s="11">
        <v>230919</v>
      </c>
      <c r="D22" s="11"/>
      <c r="E22" s="11">
        <v>4190</v>
      </c>
      <c r="F22" s="11">
        <v>48010</v>
      </c>
      <c r="G22" s="11">
        <v>45572</v>
      </c>
      <c r="H22" s="11">
        <v>139597</v>
      </c>
      <c r="I22" s="11">
        <v>134259</v>
      </c>
      <c r="J22" s="11">
        <f t="shared" si="0"/>
        <v>-8156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5756334</v>
      </c>
      <c r="C35" s="11">
        <f t="shared" ref="C35:I35" si="3">SUM(C4:C34)</f>
        <v>5660315</v>
      </c>
      <c r="D35" s="11">
        <f t="shared" si="3"/>
        <v>0</v>
      </c>
      <c r="E35" s="11">
        <f t="shared" si="3"/>
        <v>125035</v>
      </c>
      <c r="F35" s="11">
        <f t="shared" si="3"/>
        <v>712261</v>
      </c>
      <c r="G35" s="11">
        <f t="shared" si="3"/>
        <v>714596</v>
      </c>
      <c r="H35" s="11">
        <f t="shared" si="3"/>
        <v>2567595</v>
      </c>
      <c r="I35" s="11">
        <f t="shared" si="3"/>
        <v>2622515</v>
      </c>
      <c r="J35" s="11">
        <f>SUM(J4:J34)</f>
        <v>86271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37334</v>
      </c>
      <c r="J40" s="51">
        <f>+J38+J35</f>
        <v>86271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37334</v>
      </c>
      <c r="B47" s="32"/>
      <c r="C47" s="32"/>
      <c r="D47" s="373">
        <f>+J35*'by type_area'!G3</f>
        <v>229480.86000000002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313941.86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D47" sqref="D4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>
        <v>22</v>
      </c>
      <c r="C14" s="11">
        <v>429</v>
      </c>
      <c r="D14" s="25">
        <f t="shared" si="0"/>
        <v>407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>
        <v>96</v>
      </c>
      <c r="D18" s="25">
        <f t="shared" si="0"/>
        <v>96</v>
      </c>
    </row>
    <row r="19" spans="1:4" x14ac:dyDescent="0.2">
      <c r="A19" s="10">
        <v>14</v>
      </c>
      <c r="B19" s="11">
        <v>28</v>
      </c>
      <c r="C19" s="11">
        <v>96</v>
      </c>
      <c r="D19" s="25">
        <f t="shared" si="0"/>
        <v>68</v>
      </c>
    </row>
    <row r="20" spans="1:4" x14ac:dyDescent="0.2">
      <c r="A20" s="10">
        <v>15</v>
      </c>
      <c r="B20" s="11">
        <v>271</v>
      </c>
      <c r="C20" s="11">
        <v>96</v>
      </c>
      <c r="D20" s="25">
        <f t="shared" si="0"/>
        <v>-175</v>
      </c>
    </row>
    <row r="21" spans="1:4" x14ac:dyDescent="0.2">
      <c r="A21" s="10">
        <v>16</v>
      </c>
      <c r="B21" s="11">
        <v>769</v>
      </c>
      <c r="C21" s="11">
        <v>96</v>
      </c>
      <c r="D21" s="25">
        <f t="shared" si="0"/>
        <v>-673</v>
      </c>
    </row>
    <row r="22" spans="1:4" x14ac:dyDescent="0.2">
      <c r="A22" s="10">
        <v>17</v>
      </c>
      <c r="B22" s="11">
        <v>595</v>
      </c>
      <c r="C22" s="11">
        <v>96</v>
      </c>
      <c r="D22" s="25">
        <f t="shared" si="0"/>
        <v>-499</v>
      </c>
    </row>
    <row r="23" spans="1:4" x14ac:dyDescent="0.2">
      <c r="A23" s="10">
        <v>18</v>
      </c>
      <c r="B23" s="11">
        <v>421</v>
      </c>
      <c r="C23" s="11">
        <v>96</v>
      </c>
      <c r="D23" s="25">
        <f t="shared" si="0"/>
        <v>-325</v>
      </c>
    </row>
    <row r="24" spans="1:4" x14ac:dyDescent="0.2">
      <c r="A24" s="10">
        <v>19</v>
      </c>
      <c r="B24" s="11">
        <v>364</v>
      </c>
      <c r="C24" s="11">
        <v>96</v>
      </c>
      <c r="D24" s="25">
        <f t="shared" si="0"/>
        <v>-268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2526</v>
      </c>
      <c r="C37" s="11">
        <f>SUM(C6:C36)</f>
        <v>5455</v>
      </c>
      <c r="D37" s="25">
        <f>SUM(D6:D36)</f>
        <v>2929</v>
      </c>
    </row>
    <row r="38" spans="1:4" x14ac:dyDescent="0.2">
      <c r="A38" s="26"/>
      <c r="C38" s="14"/>
      <c r="D38" s="326">
        <f>+summary!G5</f>
        <v>2.65</v>
      </c>
    </row>
    <row r="39" spans="1:4" x14ac:dyDescent="0.2">
      <c r="D39" s="138">
        <f>+D38*D37</f>
        <v>7761.8499999999995</v>
      </c>
    </row>
    <row r="40" spans="1:4" x14ac:dyDescent="0.2">
      <c r="A40" s="57">
        <v>37315</v>
      </c>
      <c r="C40" s="15"/>
      <c r="D40" s="575">
        <v>147710.85</v>
      </c>
    </row>
    <row r="41" spans="1:4" x14ac:dyDescent="0.2">
      <c r="A41" s="57">
        <v>37334</v>
      </c>
      <c r="C41" s="48"/>
      <c r="D41" s="138">
        <f>+D40+D39</f>
        <v>155472.70000000001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27432</v>
      </c>
    </row>
    <row r="47" spans="1:4" x14ac:dyDescent="0.2">
      <c r="A47" s="49">
        <f>+A41</f>
        <v>37334</v>
      </c>
      <c r="B47" s="32"/>
      <c r="C47" s="32"/>
      <c r="D47" s="348">
        <f>+D37</f>
        <v>2929</v>
      </c>
    </row>
    <row r="48" spans="1:4" x14ac:dyDescent="0.2">
      <c r="A48" s="32"/>
      <c r="B48" s="32"/>
      <c r="C48" s="32"/>
      <c r="D48" s="14">
        <f>+D47+D46</f>
        <v>30361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1" sqref="E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-2182</v>
      </c>
      <c r="C18" s="24">
        <v>-1963</v>
      </c>
      <c r="D18" s="24">
        <v>-2172</v>
      </c>
      <c r="E18" s="24">
        <v>-2000</v>
      </c>
      <c r="F18" s="24">
        <f t="shared" si="0"/>
        <v>391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-1871</v>
      </c>
      <c r="C19" s="24">
        <v>-1963</v>
      </c>
      <c r="D19" s="24">
        <v>-2295</v>
      </c>
      <c r="E19" s="24">
        <v>-2000</v>
      </c>
      <c r="F19" s="24">
        <f t="shared" si="0"/>
        <v>203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-2137</v>
      </c>
      <c r="C20" s="24">
        <v>-1963</v>
      </c>
      <c r="D20" s="24">
        <v>-2077</v>
      </c>
      <c r="E20" s="24">
        <v>-2000</v>
      </c>
      <c r="F20" s="24">
        <f t="shared" si="0"/>
        <v>251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-2027</v>
      </c>
      <c r="C21" s="24">
        <v>-1963</v>
      </c>
      <c r="D21" s="24">
        <v>-211</v>
      </c>
      <c r="E21" s="24">
        <v>-2000</v>
      </c>
      <c r="F21" s="24">
        <f t="shared" si="0"/>
        <v>-1725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-2256</v>
      </c>
      <c r="C22" s="24">
        <v>-1963</v>
      </c>
      <c r="D22" s="24">
        <v>-607</v>
      </c>
      <c r="E22" s="24">
        <v>-2000</v>
      </c>
      <c r="F22" s="24">
        <f t="shared" si="0"/>
        <v>-1100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-2133</v>
      </c>
      <c r="C23" s="24">
        <v>-1963</v>
      </c>
      <c r="D23" s="24">
        <v>-2234</v>
      </c>
      <c r="E23" s="24">
        <v>-2000</v>
      </c>
      <c r="F23" s="24">
        <f t="shared" si="0"/>
        <v>404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-794</v>
      </c>
      <c r="C24" s="24">
        <v>-1963</v>
      </c>
      <c r="D24" s="24">
        <v>-2431</v>
      </c>
      <c r="E24" s="24">
        <v>-2000</v>
      </c>
      <c r="F24" s="24">
        <f t="shared" si="0"/>
        <v>-738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-39013</v>
      </c>
      <c r="C37" s="24">
        <f>SUM(C6:C36)</f>
        <v>-37297</v>
      </c>
      <c r="D37" s="24">
        <f>SUM(D6:D36)</f>
        <v>-32471</v>
      </c>
      <c r="E37" s="24">
        <f>SUM(E6:E36)</f>
        <v>-38000</v>
      </c>
      <c r="F37" s="24">
        <f>SUM(F6:F36)</f>
        <v>-3813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2.65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-10104.449999999999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1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37334</v>
      </c>
      <c r="C41" s="319"/>
      <c r="D41" s="262"/>
      <c r="E41" s="262"/>
      <c r="F41" s="104">
        <f>+F40+F39</f>
        <v>-131076.93000000002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6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37334</v>
      </c>
      <c r="B47" s="32"/>
      <c r="C47" s="32"/>
      <c r="D47" s="348">
        <f>+F37</f>
        <v>-3813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5" workbookViewId="0">
      <selection activeCell="D24" sqref="D24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-3339</v>
      </c>
      <c r="C18" s="24">
        <v>-3387</v>
      </c>
      <c r="D18" s="24">
        <v>-140</v>
      </c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67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-3394</v>
      </c>
      <c r="C19" s="24">
        <v>-3868</v>
      </c>
      <c r="D19" s="24">
        <v>-163</v>
      </c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-336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-3505</v>
      </c>
      <c r="C20" s="24">
        <v>-3868</v>
      </c>
      <c r="D20" s="24">
        <v>-124</v>
      </c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-264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-3450</v>
      </c>
      <c r="C21" s="24">
        <v>-3868</v>
      </c>
      <c r="D21" s="24">
        <v>-141</v>
      </c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-302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-3437</v>
      </c>
      <c r="C22" s="24">
        <v>-3868</v>
      </c>
      <c r="D22" s="24">
        <v>-165</v>
      </c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-291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-3480</v>
      </c>
      <c r="C23" s="24">
        <v>-3868</v>
      </c>
      <c r="D23" s="24">
        <v>-178</v>
      </c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-235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-3562</v>
      </c>
      <c r="C24" s="24">
        <v>-3868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-306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-66730</v>
      </c>
      <c r="C37" s="24">
        <f t="shared" si="1"/>
        <v>-61111</v>
      </c>
      <c r="D37" s="24">
        <f t="shared" si="1"/>
        <v>-1893</v>
      </c>
      <c r="E37" s="24">
        <f t="shared" si="1"/>
        <v>-436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7076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2.65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18751.399999999998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0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37334</v>
      </c>
      <c r="E41" s="14"/>
      <c r="O41" s="440"/>
      <c r="P41" s="104">
        <f>+P40+P39</f>
        <v>126417.81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7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37334</v>
      </c>
      <c r="B47" s="32"/>
      <c r="C47" s="32"/>
      <c r="D47" s="348">
        <f>+P37</f>
        <v>7076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52600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2.4033804182509506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C48" sqref="C4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>
        <v>-29303</v>
      </c>
      <c r="C18" s="11">
        <v>-29000</v>
      </c>
      <c r="D18" s="25">
        <f t="shared" si="0"/>
        <v>303</v>
      </c>
    </row>
    <row r="19" spans="1:4" x14ac:dyDescent="0.2">
      <c r="A19" s="10">
        <v>14</v>
      </c>
      <c r="B19" s="11">
        <v>-29209</v>
      </c>
      <c r="C19" s="11">
        <v>-29000</v>
      </c>
      <c r="D19" s="25">
        <f t="shared" si="0"/>
        <v>209</v>
      </c>
    </row>
    <row r="20" spans="1:4" x14ac:dyDescent="0.2">
      <c r="A20" s="10">
        <v>15</v>
      </c>
      <c r="B20" s="11">
        <v>-13916</v>
      </c>
      <c r="C20" s="11">
        <v>-14000</v>
      </c>
      <c r="D20" s="25">
        <f t="shared" si="0"/>
        <v>-84</v>
      </c>
    </row>
    <row r="21" spans="1:4" x14ac:dyDescent="0.2">
      <c r="A21" s="10">
        <v>16</v>
      </c>
      <c r="B21" s="11">
        <v>-14074</v>
      </c>
      <c r="C21" s="11">
        <v>-14000</v>
      </c>
      <c r="D21" s="25">
        <f t="shared" si="0"/>
        <v>74</v>
      </c>
    </row>
    <row r="22" spans="1:4" x14ac:dyDescent="0.2">
      <c r="A22" s="10">
        <v>17</v>
      </c>
      <c r="B22" s="11">
        <v>-13948</v>
      </c>
      <c r="C22" s="11">
        <v>-14000</v>
      </c>
      <c r="D22" s="25">
        <f t="shared" si="0"/>
        <v>-52</v>
      </c>
    </row>
    <row r="23" spans="1:4" x14ac:dyDescent="0.2">
      <c r="A23" s="10">
        <v>18</v>
      </c>
      <c r="B23" s="11">
        <v>-14004</v>
      </c>
      <c r="C23" s="11">
        <v>-14000</v>
      </c>
      <c r="D23" s="25">
        <f t="shared" si="0"/>
        <v>4</v>
      </c>
    </row>
    <row r="24" spans="1:4" x14ac:dyDescent="0.2">
      <c r="A24" s="10">
        <v>19</v>
      </c>
      <c r="B24" s="11">
        <v>-14008</v>
      </c>
      <c r="C24" s="11">
        <v>-14000</v>
      </c>
      <c r="D24" s="25">
        <f t="shared" si="0"/>
        <v>8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-341620</v>
      </c>
      <c r="C37" s="11">
        <f>SUM(C6:C36)</f>
        <v>-339116</v>
      </c>
      <c r="D37" s="25">
        <f>SUM(D6:D36)</f>
        <v>2504</v>
      </c>
    </row>
    <row r="38" spans="1:4" x14ac:dyDescent="0.2">
      <c r="A38" s="26"/>
      <c r="C38" s="14"/>
      <c r="D38" s="326">
        <f>+summary!G4</f>
        <v>2.65</v>
      </c>
    </row>
    <row r="39" spans="1:4" x14ac:dyDescent="0.2">
      <c r="D39" s="138">
        <f>+D38*D37</f>
        <v>6635.5999999999995</v>
      </c>
    </row>
    <row r="40" spans="1:4" x14ac:dyDescent="0.2">
      <c r="A40" s="57">
        <v>37315</v>
      </c>
      <c r="C40" s="15"/>
      <c r="D40" s="611">
        <v>-15719.76</v>
      </c>
    </row>
    <row r="41" spans="1:4" x14ac:dyDescent="0.2">
      <c r="A41" s="57">
        <v>37334</v>
      </c>
      <c r="C41" s="48"/>
      <c r="D41" s="138">
        <f>+D40+D39</f>
        <v>-9084.16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6">
        <v>5419</v>
      </c>
    </row>
    <row r="47" spans="1:4" x14ac:dyDescent="0.2">
      <c r="A47" s="49">
        <f>+A41</f>
        <v>37334</v>
      </c>
      <c r="B47" s="32"/>
      <c r="C47" s="32"/>
      <c r="D47" s="348">
        <f>+D37</f>
        <v>2504</v>
      </c>
    </row>
    <row r="48" spans="1:4" x14ac:dyDescent="0.2">
      <c r="A48" s="32"/>
      <c r="B48" s="32"/>
      <c r="C48" s="32"/>
      <c r="D48" s="14">
        <f>+D47+D46</f>
        <v>7923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24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2.65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2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7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321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315</v>
      </c>
      <c r="C4" s="518"/>
      <c r="D4" s="519" t="s">
        <v>316</v>
      </c>
      <c r="E4" s="518"/>
      <c r="F4" s="519" t="s">
        <v>317</v>
      </c>
      <c r="G4" s="518"/>
      <c r="H4" s="519" t="s">
        <v>318</v>
      </c>
      <c r="I4" s="518"/>
      <c r="J4" s="519" t="s">
        <v>319</v>
      </c>
      <c r="K4" s="518"/>
      <c r="L4" s="519" t="s">
        <v>320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2.65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2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6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9" workbookViewId="0">
      <selection activeCell="H40" sqref="H40:H45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>
        <v>135979</v>
      </c>
      <c r="C19" s="11">
        <v>133688</v>
      </c>
      <c r="D19" s="25">
        <f t="shared" si="0"/>
        <v>-2291</v>
      </c>
    </row>
    <row r="20" spans="1:4" x14ac:dyDescent="0.2">
      <c r="A20" s="10">
        <v>14</v>
      </c>
      <c r="B20" s="11">
        <v>128170</v>
      </c>
      <c r="C20" s="11">
        <v>142004</v>
      </c>
      <c r="D20" s="25">
        <f t="shared" si="0"/>
        <v>13834</v>
      </c>
    </row>
    <row r="21" spans="1:4" x14ac:dyDescent="0.2">
      <c r="A21" s="10">
        <v>15</v>
      </c>
      <c r="B21" s="11">
        <v>136763</v>
      </c>
      <c r="C21" s="11">
        <v>142004</v>
      </c>
      <c r="D21" s="25">
        <f t="shared" si="0"/>
        <v>5241</v>
      </c>
    </row>
    <row r="22" spans="1:4" x14ac:dyDescent="0.2">
      <c r="A22" s="10">
        <v>16</v>
      </c>
      <c r="B22" s="11">
        <v>134415</v>
      </c>
      <c r="C22" s="11">
        <v>133951</v>
      </c>
      <c r="D22" s="25">
        <f t="shared" si="0"/>
        <v>-464</v>
      </c>
    </row>
    <row r="23" spans="1:4" x14ac:dyDescent="0.2">
      <c r="A23" s="10">
        <v>17</v>
      </c>
      <c r="B23" s="11">
        <v>132041</v>
      </c>
      <c r="C23" s="11">
        <v>130612</v>
      </c>
      <c r="D23" s="25">
        <f t="shared" si="0"/>
        <v>-1429</v>
      </c>
    </row>
    <row r="24" spans="1:4" x14ac:dyDescent="0.2">
      <c r="A24" s="10">
        <v>18</v>
      </c>
      <c r="B24" s="11">
        <v>131889</v>
      </c>
      <c r="C24" s="11">
        <v>131407</v>
      </c>
      <c r="D24" s="25">
        <f t="shared" si="0"/>
        <v>-482</v>
      </c>
    </row>
    <row r="25" spans="1:4" x14ac:dyDescent="0.2">
      <c r="A25" s="10">
        <v>19</v>
      </c>
      <c r="B25" s="11">
        <v>130861</v>
      </c>
      <c r="C25" s="11">
        <v>126759</v>
      </c>
      <c r="D25" s="25">
        <f t="shared" si="0"/>
        <v>-4102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2711599</v>
      </c>
      <c r="C38" s="11">
        <f>SUM(C7:C37)</f>
        <v>2724269</v>
      </c>
      <c r="D38" s="11">
        <f>SUM(D7:D37)</f>
        <v>12670</v>
      </c>
    </row>
    <row r="39" spans="1:4" x14ac:dyDescent="0.2">
      <c r="A39" s="26"/>
      <c r="C39" s="14"/>
      <c r="D39" s="106">
        <f>+summary!G3</f>
        <v>2.66</v>
      </c>
    </row>
    <row r="40" spans="1:4" x14ac:dyDescent="0.2">
      <c r="D40" s="138">
        <f>+D39*D38</f>
        <v>33702.200000000004</v>
      </c>
    </row>
    <row r="41" spans="1:4" x14ac:dyDescent="0.2">
      <c r="A41" s="57">
        <v>37315</v>
      </c>
      <c r="C41" s="15"/>
      <c r="D41" s="601">
        <v>-13944.79</v>
      </c>
    </row>
    <row r="42" spans="1:4" x14ac:dyDescent="0.2">
      <c r="A42" s="57">
        <v>37334</v>
      </c>
      <c r="D42" s="319">
        <f>+D41+D40</f>
        <v>19757.410000000003</v>
      </c>
    </row>
    <row r="46" spans="1:4" x14ac:dyDescent="0.2">
      <c r="A46" s="32" t="s">
        <v>148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597">
        <v>-7030</v>
      </c>
    </row>
    <row r="48" spans="1:4" x14ac:dyDescent="0.2">
      <c r="A48" s="49">
        <f>+A42</f>
        <v>37334</v>
      </c>
      <c r="B48" s="32"/>
      <c r="C48" s="32"/>
      <c r="D48" s="348">
        <f>+D38</f>
        <v>12670</v>
      </c>
    </row>
    <row r="49" spans="1:4" x14ac:dyDescent="0.2">
      <c r="A49" s="32"/>
      <c r="B49" s="32"/>
      <c r="C49" s="32"/>
      <c r="D49" s="14">
        <f>+D48+D47</f>
        <v>5640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workbookViewId="0">
      <selection activeCell="A7" sqref="A7"/>
    </sheetView>
  </sheetViews>
  <sheetFormatPr defaultRowHeight="12.75" x14ac:dyDescent="0.2"/>
  <sheetData>
    <row r="6" spans="1:1" x14ac:dyDescent="0.2">
      <c r="A6">
        <v>500516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workbookViewId="0">
      <selection activeCell="F5" sqref="F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>
        <v>-10196</v>
      </c>
      <c r="C17" s="11">
        <v>-10000</v>
      </c>
      <c r="D17" s="11">
        <v>-2288</v>
      </c>
      <c r="E17" s="11">
        <v>-2300</v>
      </c>
      <c r="F17" s="11">
        <f t="shared" si="0"/>
        <v>184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>
        <v>-2481</v>
      </c>
      <c r="E18" s="11">
        <v>-2300</v>
      </c>
      <c r="F18" s="11">
        <f t="shared" si="0"/>
        <v>181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>
        <v>-10239</v>
      </c>
      <c r="C19" s="11">
        <v>-10000</v>
      </c>
      <c r="D19" s="11">
        <v>-26880</v>
      </c>
      <c r="E19" s="11">
        <v>-27300</v>
      </c>
      <c r="F19" s="11">
        <f t="shared" si="0"/>
        <v>-181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>
        <v>-5000</v>
      </c>
      <c r="E20" s="11">
        <v>-5300</v>
      </c>
      <c r="F20" s="11">
        <f t="shared" si="0"/>
        <v>-300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>
        <v>-5383</v>
      </c>
      <c r="E21" s="11">
        <v>-5300</v>
      </c>
      <c r="F21" s="11">
        <f t="shared" si="0"/>
        <v>83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>
        <v>-5232</v>
      </c>
      <c r="E22" s="11">
        <v>-5300</v>
      </c>
      <c r="F22" s="11">
        <f t="shared" si="0"/>
        <v>-68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>
        <v>-2300</v>
      </c>
      <c r="F23" s="11">
        <f t="shared" si="0"/>
        <v>-2300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-328292</v>
      </c>
      <c r="C36" s="44">
        <f>SUM(C5:C35)</f>
        <v>-337169</v>
      </c>
      <c r="D36" s="43">
        <f>SUM(D5:D35)</f>
        <v>-406084</v>
      </c>
      <c r="E36" s="43">
        <f>SUM(E5:E35)</f>
        <v>-420842</v>
      </c>
      <c r="F36" s="11">
        <f>SUM(F5:F35)</f>
        <v>-23635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2.65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-62632.75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599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37334</v>
      </c>
      <c r="B43" s="32"/>
      <c r="C43" s="106"/>
      <c r="D43" s="106"/>
      <c r="E43" s="106"/>
      <c r="F43" s="24">
        <f>+F42+F36</f>
        <v>37936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37334</v>
      </c>
      <c r="B49" s="32"/>
      <c r="C49" s="32"/>
      <c r="D49" s="76">
        <f>+F36</f>
        <v>-23635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66658.960000000006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" workbookViewId="0">
      <selection activeCell="C24" sqref="C24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>
        <v>-276711</v>
      </c>
      <c r="C16" s="11">
        <v>-275854</v>
      </c>
      <c r="D16" s="25">
        <f t="shared" si="0"/>
        <v>857</v>
      </c>
    </row>
    <row r="17" spans="1:4" x14ac:dyDescent="0.2">
      <c r="A17" s="10">
        <v>14</v>
      </c>
      <c r="B17" s="11">
        <v>-280425</v>
      </c>
      <c r="C17" s="11">
        <v>-268901</v>
      </c>
      <c r="D17" s="25">
        <f t="shared" si="0"/>
        <v>11524</v>
      </c>
    </row>
    <row r="18" spans="1:4" x14ac:dyDescent="0.2">
      <c r="A18" s="10">
        <v>15</v>
      </c>
      <c r="B18" s="11">
        <v>-268112</v>
      </c>
      <c r="C18" s="11">
        <v>-256531</v>
      </c>
      <c r="D18" s="25">
        <f t="shared" si="0"/>
        <v>11581</v>
      </c>
    </row>
    <row r="19" spans="1:4" x14ac:dyDescent="0.2">
      <c r="A19" s="10">
        <v>16</v>
      </c>
      <c r="B19" s="11">
        <v>-224818</v>
      </c>
      <c r="C19" s="11">
        <v>-222771</v>
      </c>
      <c r="D19" s="25">
        <f t="shared" si="0"/>
        <v>2047</v>
      </c>
    </row>
    <row r="20" spans="1:4" x14ac:dyDescent="0.2">
      <c r="A20" s="10">
        <v>17</v>
      </c>
      <c r="B20" s="11">
        <v>-233389</v>
      </c>
      <c r="C20" s="11">
        <v>-232248</v>
      </c>
      <c r="D20" s="25">
        <f t="shared" si="0"/>
        <v>1141</v>
      </c>
    </row>
    <row r="21" spans="1:4" x14ac:dyDescent="0.2">
      <c r="A21" s="10">
        <v>18</v>
      </c>
      <c r="B21" s="129">
        <v>-211884</v>
      </c>
      <c r="C21" s="11">
        <v>-210019</v>
      </c>
      <c r="D21" s="25">
        <f t="shared" si="0"/>
        <v>1865</v>
      </c>
    </row>
    <row r="22" spans="1:4" x14ac:dyDescent="0.2">
      <c r="A22" s="10">
        <v>19</v>
      </c>
      <c r="B22" s="129">
        <v>-185984</v>
      </c>
      <c r="C22" s="11">
        <v>-185079</v>
      </c>
      <c r="D22" s="25">
        <f t="shared" si="0"/>
        <v>905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-4194205</v>
      </c>
      <c r="C35" s="11">
        <f>SUM(C4:C34)</f>
        <v>-4204526</v>
      </c>
      <c r="D35" s="11">
        <f>SUM(D4:D34)</f>
        <v>-10321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2">
        <v>5393</v>
      </c>
    </row>
    <row r="39" spans="1:30" x14ac:dyDescent="0.2">
      <c r="A39" s="12"/>
      <c r="D39" s="51"/>
    </row>
    <row r="40" spans="1:30" x14ac:dyDescent="0.2">
      <c r="A40" s="245">
        <v>37334</v>
      </c>
      <c r="D40" s="51">
        <f>+D38+D35</f>
        <v>-4928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37334</v>
      </c>
      <c r="B46" s="32"/>
      <c r="C46" s="32"/>
      <c r="D46" s="373">
        <f>+D35*'by type_area'!G4</f>
        <v>-27350.649999999998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-220243.65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9" workbookViewId="0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>
        <v>-615104</v>
      </c>
      <c r="C16" s="11">
        <v>-618594</v>
      </c>
      <c r="D16" s="11"/>
      <c r="E16" s="11"/>
      <c r="F16" s="25">
        <f t="shared" si="0"/>
        <v>-3490</v>
      </c>
      <c r="H16" s="10"/>
      <c r="I16" s="11"/>
      <c r="K16" s="25"/>
    </row>
    <row r="17" spans="1:11" x14ac:dyDescent="0.2">
      <c r="A17" s="10">
        <v>14</v>
      </c>
      <c r="B17" s="11">
        <v>-658471</v>
      </c>
      <c r="C17" s="11">
        <v>-683443</v>
      </c>
      <c r="D17" s="11"/>
      <c r="E17" s="11"/>
      <c r="F17" s="25">
        <f t="shared" si="0"/>
        <v>-24972</v>
      </c>
      <c r="H17" s="10"/>
      <c r="I17" s="11"/>
    </row>
    <row r="18" spans="1:11" x14ac:dyDescent="0.2">
      <c r="A18" s="10">
        <v>15</v>
      </c>
      <c r="B18" s="11">
        <v>-629597</v>
      </c>
      <c r="C18" s="11">
        <v>-639441</v>
      </c>
      <c r="D18" s="11"/>
      <c r="E18" s="11"/>
      <c r="F18" s="25">
        <f t="shared" si="0"/>
        <v>-9844</v>
      </c>
      <c r="H18" s="10"/>
      <c r="I18" s="11"/>
    </row>
    <row r="19" spans="1:11" x14ac:dyDescent="0.2">
      <c r="A19" s="10">
        <v>16</v>
      </c>
      <c r="B19" s="11">
        <v>-630498</v>
      </c>
      <c r="C19" s="11">
        <v>-627876</v>
      </c>
      <c r="D19" s="11"/>
      <c r="E19" s="11"/>
      <c r="F19" s="25">
        <f t="shared" si="0"/>
        <v>2622</v>
      </c>
      <c r="H19" s="10"/>
      <c r="I19" s="11"/>
    </row>
    <row r="20" spans="1:11" x14ac:dyDescent="0.2">
      <c r="A20" s="10">
        <v>17</v>
      </c>
      <c r="B20" s="11">
        <v>-626075</v>
      </c>
      <c r="C20" s="11">
        <v>-638228</v>
      </c>
      <c r="D20" s="11"/>
      <c r="E20" s="11"/>
      <c r="F20" s="25">
        <f t="shared" si="0"/>
        <v>-12153</v>
      </c>
      <c r="H20" s="10"/>
      <c r="I20" s="11"/>
    </row>
    <row r="21" spans="1:11" x14ac:dyDescent="0.2">
      <c r="A21" s="10">
        <v>18</v>
      </c>
      <c r="B21" s="11">
        <v>-627066</v>
      </c>
      <c r="C21" s="11">
        <v>-621950</v>
      </c>
      <c r="D21" s="11"/>
      <c r="E21" s="11"/>
      <c r="F21" s="25">
        <f t="shared" si="0"/>
        <v>5116</v>
      </c>
      <c r="H21" s="10"/>
      <c r="I21" s="11"/>
    </row>
    <row r="22" spans="1:11" x14ac:dyDescent="0.2">
      <c r="A22" s="10">
        <v>19</v>
      </c>
      <c r="B22" s="129">
        <v>-621466</v>
      </c>
      <c r="C22" s="11">
        <v>-615405</v>
      </c>
      <c r="D22" s="11"/>
      <c r="E22" s="11"/>
      <c r="F22" s="25">
        <f t="shared" si="0"/>
        <v>6061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-11041296</v>
      </c>
      <c r="C35" s="11">
        <f>SUM(C4:C34)</f>
        <v>-11214182</v>
      </c>
      <c r="D35" s="11">
        <f>SUM(D4:D34)</f>
        <v>0</v>
      </c>
      <c r="E35" s="11">
        <f>SUM(E4:E34)</f>
        <v>0</v>
      </c>
      <c r="F35" s="11">
        <f>SUM(F4:F34)</f>
        <v>-172886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5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37334</v>
      </c>
      <c r="D40" s="246"/>
      <c r="E40" s="246"/>
      <c r="F40" s="51">
        <f>+F38+F35</f>
        <v>-94399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37334</v>
      </c>
      <c r="B46" s="32"/>
      <c r="C46" s="32"/>
      <c r="D46" s="471">
        <f>+F35*'by type_area'!G4</f>
        <v>-458147.89999999997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-180660.89999999997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47" sqref="E47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-95329</v>
      </c>
      <c r="C16" s="11">
        <v>-49783</v>
      </c>
      <c r="D16" s="11"/>
      <c r="E16" s="11">
        <v>-45000</v>
      </c>
      <c r="F16" s="11"/>
      <c r="G16" s="11"/>
      <c r="H16" s="11">
        <f t="shared" si="0"/>
        <v>546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-69686</v>
      </c>
      <c r="C17" s="11">
        <v>-42233</v>
      </c>
      <c r="D17" s="11"/>
      <c r="E17" s="11">
        <v>-27023</v>
      </c>
      <c r="F17" s="11"/>
      <c r="G17" s="11"/>
      <c r="H17" s="11">
        <f>+G17+E17+C17-F17-D17-B17</f>
        <v>430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-34928</v>
      </c>
      <c r="C18" s="11">
        <v>-29581</v>
      </c>
      <c r="D18" s="11"/>
      <c r="E18" s="11">
        <v>-5000</v>
      </c>
      <c r="F18" s="11"/>
      <c r="G18" s="11"/>
      <c r="H18" s="11">
        <f>+G18+E18+C18-F18-D18-B18</f>
        <v>347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-29458</v>
      </c>
      <c r="C19" s="11">
        <v>-24385</v>
      </c>
      <c r="D19" s="11"/>
      <c r="E19" s="11">
        <v>-5000</v>
      </c>
      <c r="F19" s="11"/>
      <c r="G19" s="11"/>
      <c r="H19" s="11">
        <f t="shared" si="0"/>
        <v>73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>
        <v>-29186</v>
      </c>
      <c r="C20" s="11">
        <v>-24385</v>
      </c>
      <c r="D20" s="11"/>
      <c r="E20" s="11">
        <v>-5000</v>
      </c>
      <c r="F20" s="11"/>
      <c r="G20" s="11"/>
      <c r="H20" s="11">
        <f t="shared" si="0"/>
        <v>-199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-29659</v>
      </c>
      <c r="C21" s="11">
        <v>-24385</v>
      </c>
      <c r="D21" s="11"/>
      <c r="E21" s="11">
        <v>-5000</v>
      </c>
      <c r="F21" s="11"/>
      <c r="G21" s="11"/>
      <c r="H21" s="11">
        <f t="shared" si="0"/>
        <v>274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-44850</v>
      </c>
      <c r="C22" s="11">
        <v>-39321</v>
      </c>
      <c r="D22" s="11"/>
      <c r="E22" s="11">
        <v>-4836</v>
      </c>
      <c r="F22" s="11"/>
      <c r="G22" s="11"/>
      <c r="H22" s="11">
        <f t="shared" si="0"/>
        <v>693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-1165927</v>
      </c>
      <c r="C35" s="44">
        <f t="shared" si="3"/>
        <v>-541559</v>
      </c>
      <c r="D35" s="11">
        <f t="shared" si="3"/>
        <v>-46726</v>
      </c>
      <c r="E35" s="44">
        <f t="shared" si="3"/>
        <v>-662315</v>
      </c>
      <c r="F35" s="11">
        <f t="shared" si="3"/>
        <v>0</v>
      </c>
      <c r="G35" s="11">
        <f t="shared" si="3"/>
        <v>0</v>
      </c>
      <c r="H35" s="11">
        <f t="shared" si="3"/>
        <v>8779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2.65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23264.35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83533.440000000002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37334</v>
      </c>
      <c r="F39" s="470"/>
      <c r="G39" s="470"/>
      <c r="H39" s="319">
        <f>+H38+H37</f>
        <v>106797.79000000001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67681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37334</v>
      </c>
      <c r="E47" s="456">
        <f>+H35</f>
        <v>8779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76460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38" sqref="E38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-287950</v>
      </c>
      <c r="E17" s="11">
        <v>-308538</v>
      </c>
      <c r="F17" s="11"/>
      <c r="G17" s="11"/>
      <c r="H17" s="24">
        <f t="shared" si="0"/>
        <v>-20588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-307008</v>
      </c>
      <c r="E18" s="11">
        <v>-304512</v>
      </c>
      <c r="F18" s="11"/>
      <c r="G18" s="11"/>
      <c r="H18" s="24">
        <f t="shared" si="0"/>
        <v>2496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-279095</v>
      </c>
      <c r="E19" s="11">
        <v>-278127</v>
      </c>
      <c r="F19" s="11"/>
      <c r="G19" s="11"/>
      <c r="H19" s="24">
        <f t="shared" si="0"/>
        <v>968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-278332</v>
      </c>
      <c r="E20" s="11">
        <v>-278025</v>
      </c>
      <c r="F20" s="11"/>
      <c r="G20" s="11"/>
      <c r="H20" s="24">
        <f t="shared" si="0"/>
        <v>307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-284001</v>
      </c>
      <c r="E21" s="11">
        <v>-285200</v>
      </c>
      <c r="F21" s="11"/>
      <c r="G21" s="11"/>
      <c r="H21" s="24">
        <f t="shared" si="0"/>
        <v>-1199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-283674</v>
      </c>
      <c r="E22" s="11">
        <v>-280570</v>
      </c>
      <c r="F22" s="11"/>
      <c r="G22" s="11"/>
      <c r="H22" s="24">
        <f t="shared" si="0"/>
        <v>3104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-276992</v>
      </c>
      <c r="E23" s="11">
        <v>-277031</v>
      </c>
      <c r="F23" s="11"/>
      <c r="G23" s="11"/>
      <c r="H23" s="24">
        <f t="shared" si="0"/>
        <v>-39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-5375793</v>
      </c>
      <c r="E36" s="11">
        <f t="shared" si="15"/>
        <v>-5460023</v>
      </c>
      <c r="F36" s="11">
        <f t="shared" si="15"/>
        <v>0</v>
      </c>
      <c r="G36" s="11">
        <f t="shared" si="15"/>
        <v>0</v>
      </c>
      <c r="H36" s="11">
        <f t="shared" si="15"/>
        <v>-84230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-84230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5">
        <v>64269</v>
      </c>
      <c r="D38" s="320"/>
      <c r="E38" s="624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37334</v>
      </c>
      <c r="B39" s="2" t="s">
        <v>45</v>
      </c>
      <c r="C39" s="131">
        <f>+C38+C37</f>
        <v>64269</v>
      </c>
      <c r="D39" s="252"/>
      <c r="E39" s="131">
        <f>+E38+E37</f>
        <v>-111051</v>
      </c>
      <c r="F39" s="252"/>
      <c r="G39" s="131"/>
      <c r="H39" s="131">
        <f>+H38+H36</f>
        <v>-46782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37334</v>
      </c>
      <c r="B45" s="32"/>
      <c r="C45" s="47">
        <f>+C37*summary!G4</f>
        <v>0</v>
      </c>
      <c r="D45" s="205"/>
      <c r="E45" s="375">
        <f>+E37*summary!G3</f>
        <v>-224051.80000000002</v>
      </c>
      <c r="F45" s="47">
        <f>+E45+C45</f>
        <v>-224051.80000000002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47</vt:i4>
      </vt:variant>
      <vt:variant>
        <vt:lpstr>Named Ranges</vt:lpstr>
      </vt:variant>
      <vt:variant>
        <vt:i4>29</vt:i4>
      </vt:variant>
    </vt:vector>
  </HeadingPairs>
  <TitlesOfParts>
    <vt:vector size="76" baseType="lpstr">
      <vt:lpstr>monthly_by area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Sheet1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2002-03-19T16:41:53Z</cp:lastPrinted>
  <dcterms:created xsi:type="dcterms:W3CDTF">2000-03-28T16:52:23Z</dcterms:created>
  <dcterms:modified xsi:type="dcterms:W3CDTF">2014-09-03T14:35:19Z</dcterms:modified>
</cp:coreProperties>
</file>