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1"/>
    <workbookView xWindow="600" yWindow="285" windowWidth="9720" windowHeight="6600" firstSheet="27" activeTab="31"/>
    <workbookView xWindow="840" yWindow="480" windowWidth="10860" windowHeight="640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Abo'!$A$5:$F$44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C'!$A$2:$F$43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18" i="8" s="1"/>
  <c r="D8" i="8"/>
  <c r="D9" i="8"/>
  <c r="D10" i="8"/>
  <c r="D11" i="8"/>
  <c r="D12" i="8"/>
  <c r="D13" i="8"/>
  <c r="D14" i="8"/>
  <c r="D15" i="8"/>
  <c r="D16" i="8"/>
  <c r="D17" i="8"/>
  <c r="D6" i="12"/>
  <c r="D7" i="12"/>
  <c r="D8" i="12"/>
  <c r="D37" i="12" s="1"/>
  <c r="D40" i="12" s="1"/>
  <c r="C24" i="63" s="1"/>
  <c r="B24" i="63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7" i="69"/>
  <c r="D38" i="69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6" i="74"/>
  <c r="D7" i="74"/>
  <c r="D8" i="74"/>
  <c r="D37" i="74" s="1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8" i="72"/>
  <c r="D9" i="72"/>
  <c r="D10" i="72"/>
  <c r="D39" i="72" s="1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5" i="78"/>
  <c r="D12" i="78" s="1"/>
  <c r="D6" i="78"/>
  <c r="D7" i="78"/>
  <c r="D8" i="78"/>
  <c r="D9" i="78"/>
  <c r="D10" i="78"/>
  <c r="D11" i="78"/>
  <c r="D6" i="79"/>
  <c r="D7" i="79"/>
  <c r="D8" i="79"/>
  <c r="D37" i="79" s="1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F35" i="13" s="1"/>
  <c r="E35" i="13"/>
  <c r="C36" i="13"/>
  <c r="E36" i="13"/>
  <c r="F40" i="13"/>
  <c r="F8" i="71"/>
  <c r="F9" i="71"/>
  <c r="F10" i="71"/>
  <c r="F39" i="71" s="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" i="73"/>
  <c r="F5" i="73"/>
  <c r="F6" i="73"/>
  <c r="F7" i="73"/>
  <c r="F8" i="73"/>
  <c r="F9" i="73"/>
  <c r="F10" i="73"/>
  <c r="F35" i="73" s="1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C36" i="73" s="1"/>
  <c r="F36" i="73" s="1"/>
  <c r="D35" i="73"/>
  <c r="E35" i="73"/>
  <c r="E36" i="73"/>
  <c r="C37" i="73"/>
  <c r="E37" i="73" s="1"/>
  <c r="F39" i="73"/>
  <c r="B10" i="20"/>
  <c r="B11" i="20"/>
  <c r="B16" i="20" s="1"/>
  <c r="B12" i="20"/>
  <c r="B13" i="20"/>
  <c r="B14" i="20"/>
  <c r="B15" i="20"/>
  <c r="B29" i="20"/>
  <c r="B44" i="20"/>
  <c r="H5" i="11"/>
  <c r="H36" i="11" s="1"/>
  <c r="H6" i="11"/>
  <c r="H7" i="11"/>
  <c r="H8" i="11"/>
  <c r="AB8" i="11"/>
  <c r="AN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I34" i="11" s="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8" i="11" s="1"/>
  <c r="B15" i="63" s="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E37" i="11"/>
  <c r="H37" i="11"/>
  <c r="H38" i="11" s="1"/>
  <c r="C15" i="63" s="1"/>
  <c r="AA37" i="11"/>
  <c r="AM37" i="11" s="1"/>
  <c r="AC37" i="11"/>
  <c r="AF37" i="11"/>
  <c r="AI37" i="11"/>
  <c r="AL37" i="11"/>
  <c r="AN37" i="11"/>
  <c r="AO37" i="11"/>
  <c r="AP37" i="11"/>
  <c r="C38" i="11"/>
  <c r="AC38" i="11"/>
  <c r="AE38" i="11"/>
  <c r="AP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L47" i="11" s="1"/>
  <c r="AM47" i="11"/>
  <c r="AN47" i="11"/>
  <c r="AM48" i="11"/>
  <c r="AN48" i="11"/>
  <c r="AO48" i="11"/>
  <c r="AP48" i="11"/>
  <c r="J4" i="70"/>
  <c r="J5" i="70"/>
  <c r="J35" i="70" s="1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/>
  <c r="D69" i="70" s="1"/>
  <c r="D75" i="70"/>
  <c r="D6" i="75"/>
  <c r="D7" i="75"/>
  <c r="D8" i="75"/>
  <c r="D9" i="75"/>
  <c r="D10" i="75"/>
  <c r="D37" i="75" s="1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F6" i="22"/>
  <c r="F37" i="22" s="1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5" i="5"/>
  <c r="F36" i="5" s="1"/>
  <c r="F42" i="5" s="1"/>
  <c r="C28" i="63" s="1"/>
  <c r="B28" i="63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5" i="68"/>
  <c r="D6" i="68"/>
  <c r="D35" i="68" s="1"/>
  <c r="D40" i="68" s="1"/>
  <c r="C33" i="63" s="1"/>
  <c r="B33" i="63" s="1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10" i="67"/>
  <c r="F11" i="67"/>
  <c r="F12" i="67"/>
  <c r="F13" i="67"/>
  <c r="F14" i="67"/>
  <c r="F34" i="67" s="1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F38" i="67" s="1"/>
  <c r="C27" i="63" s="1"/>
  <c r="B27" i="63" s="1"/>
  <c r="D6" i="65"/>
  <c r="B7" i="65"/>
  <c r="D7" i="65" s="1"/>
  <c r="D18" i="65" s="1"/>
  <c r="B8" i="65"/>
  <c r="D8" i="65"/>
  <c r="B9" i="65"/>
  <c r="D9" i="65" s="1"/>
  <c r="D10" i="65"/>
  <c r="D11" i="65"/>
  <c r="D12" i="65"/>
  <c r="D13" i="65"/>
  <c r="D14" i="65"/>
  <c r="D6" i="77"/>
  <c r="D7" i="77"/>
  <c r="D8" i="77"/>
  <c r="D9" i="77"/>
  <c r="D10" i="77"/>
  <c r="D37" i="77" s="1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F5" i="7"/>
  <c r="F36" i="7" s="1"/>
  <c r="F41" i="7" s="1"/>
  <c r="C44" i="63" s="1"/>
  <c r="B44" i="63" s="1"/>
  <c r="Z5" i="7"/>
  <c r="AD5" i="7" s="1"/>
  <c r="F6" i="7"/>
  <c r="Z6" i="7"/>
  <c r="AD6" i="7" s="1"/>
  <c r="AF6" i="7" s="1"/>
  <c r="F7" i="7"/>
  <c r="Z7" i="7"/>
  <c r="AD7" i="7"/>
  <c r="AF7" i="7" s="1"/>
  <c r="F8" i="7"/>
  <c r="Z8" i="7"/>
  <c r="AD8" i="7"/>
  <c r="AF8" i="7"/>
  <c r="F9" i="7"/>
  <c r="Z9" i="7"/>
  <c r="AD9" i="7"/>
  <c r="AF9" i="7"/>
  <c r="F10" i="7"/>
  <c r="Z10" i="7"/>
  <c r="AD10" i="7" s="1"/>
  <c r="AF10" i="7" s="1"/>
  <c r="F11" i="7"/>
  <c r="Z11" i="7"/>
  <c r="AD11" i="7"/>
  <c r="AF11" i="7" s="1"/>
  <c r="F12" i="7"/>
  <c r="Z12" i="7"/>
  <c r="AD12" i="7"/>
  <c r="AF12" i="7"/>
  <c r="F13" i="7"/>
  <c r="Z13" i="7"/>
  <c r="AD13" i="7" s="1"/>
  <c r="AF13" i="7" s="1"/>
  <c r="F14" i="7"/>
  <c r="Z14" i="7"/>
  <c r="AD14" i="7" s="1"/>
  <c r="AF14" i="7" s="1"/>
  <c r="F15" i="7"/>
  <c r="Z15" i="7"/>
  <c r="AD15" i="7"/>
  <c r="AF15" i="7" s="1"/>
  <c r="F16" i="7"/>
  <c r="Z16" i="7"/>
  <c r="AD16" i="7"/>
  <c r="AF16" i="7"/>
  <c r="F17" i="7"/>
  <c r="Z17" i="7"/>
  <c r="AD17" i="7"/>
  <c r="AF17" i="7"/>
  <c r="F18" i="7"/>
  <c r="AI18" i="7"/>
  <c r="F19" i="7"/>
  <c r="Z19" i="7"/>
  <c r="AD19" i="7"/>
  <c r="AG19" i="7" s="1"/>
  <c r="AG20" i="7" s="1"/>
  <c r="AF19" i="7"/>
  <c r="AH19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C32" i="63" s="1"/>
  <c r="B32" i="63" s="1"/>
  <c r="D4" i="28"/>
  <c r="D35" i="28" s="1"/>
  <c r="D40" i="28" s="1"/>
  <c r="C46" i="63" s="1"/>
  <c r="B46" i="63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35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6" i="64"/>
  <c r="D7" i="64"/>
  <c r="D17" i="64" s="1"/>
  <c r="D8" i="64"/>
  <c r="D9" i="64"/>
  <c r="D10" i="64"/>
  <c r="D11" i="64"/>
  <c r="D12" i="64"/>
  <c r="D1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F39" i="15" s="1"/>
  <c r="AF45" i="15" s="1"/>
  <c r="AJ10" i="15"/>
  <c r="AN10" i="15"/>
  <c r="AR10" i="15"/>
  <c r="AV10" i="15"/>
  <c r="F11" i="15"/>
  <c r="AF11" i="15"/>
  <c r="AJ11" i="15"/>
  <c r="AN11" i="15"/>
  <c r="AN39" i="15" s="1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F39" i="15" s="1"/>
  <c r="D39" i="15"/>
  <c r="E39" i="15"/>
  <c r="AD39" i="15"/>
  <c r="AE39" i="15"/>
  <c r="AH39" i="15"/>
  <c r="AI39" i="15"/>
  <c r="AL39" i="15"/>
  <c r="AM39" i="15"/>
  <c r="AP39" i="15"/>
  <c r="AT39" i="15"/>
  <c r="AH52" i="15"/>
  <c r="AH54" i="15" s="1"/>
  <c r="F86" i="15"/>
  <c r="K86" i="15"/>
  <c r="F87" i="15"/>
  <c r="K87" i="15"/>
  <c r="F88" i="15"/>
  <c r="K88" i="15"/>
  <c r="F89" i="15"/>
  <c r="K89" i="15"/>
  <c r="K114" i="15" s="1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F133" i="15" s="1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B168" i="15"/>
  <c r="B174" i="15" s="1"/>
  <c r="B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37" i="76" s="1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F4" i="6"/>
  <c r="F35" i="6" s="1"/>
  <c r="F40" i="6" s="1"/>
  <c r="C42" i="63" s="1"/>
  <c r="B42" i="63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P10" i="63"/>
  <c r="F40" i="15" s="1"/>
  <c r="P11" i="63"/>
  <c r="F40" i="18" s="1"/>
  <c r="F41" i="18" s="1"/>
  <c r="F43" i="18" s="1"/>
  <c r="B17" i="63" s="1"/>
  <c r="C17" i="63" s="1"/>
  <c r="D12" i="63"/>
  <c r="P12" i="63"/>
  <c r="D38" i="75" s="1"/>
  <c r="D39" i="75" s="1"/>
  <c r="D41" i="75" s="1"/>
  <c r="B43" i="63" s="1"/>
  <c r="C43" i="63" s="1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O37" i="63"/>
  <c r="D38" i="63"/>
  <c r="D39" i="63"/>
  <c r="D40" i="63"/>
  <c r="D41" i="63"/>
  <c r="D42" i="63"/>
  <c r="D43" i="63"/>
  <c r="D44" i="63"/>
  <c r="D45" i="63"/>
  <c r="D46" i="63"/>
  <c r="D8" i="19"/>
  <c r="D9" i="19"/>
  <c r="D10" i="19"/>
  <c r="D39" i="19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D41" i="19" s="1"/>
  <c r="D43" i="19" s="1"/>
  <c r="B29" i="63" s="1"/>
  <c r="C29" i="63" s="1"/>
  <c r="J4" i="2"/>
  <c r="J5" i="2"/>
  <c r="J35" i="2" s="1"/>
  <c r="J40" i="2" s="1"/>
  <c r="C13" i="63" s="1"/>
  <c r="B13" i="63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/>
  <c r="D75" i="2"/>
  <c r="F41" i="15" l="1"/>
  <c r="F43" i="15" s="1"/>
  <c r="B18" i="63" s="1"/>
  <c r="C18" i="63" s="1"/>
  <c r="F176" i="15"/>
  <c r="F101" i="15"/>
  <c r="C101" i="15" s="1"/>
  <c r="B102" i="15"/>
  <c r="AN45" i="15"/>
  <c r="AV39" i="15"/>
  <c r="AH20" i="7"/>
  <c r="AI19" i="7"/>
  <c r="AR39" i="15"/>
  <c r="AR45" i="15" s="1"/>
  <c r="AH57" i="15"/>
  <c r="AH56" i="15"/>
  <c r="AG21" i="7"/>
  <c r="AL48" i="11"/>
  <c r="F37" i="73"/>
  <c r="F38" i="73" s="1"/>
  <c r="F40" i="73" s="1"/>
  <c r="F50" i="73" s="1"/>
  <c r="E38" i="73"/>
  <c r="E40" i="73" s="1"/>
  <c r="AJ39" i="15"/>
  <c r="AJ45" i="15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F5" i="7"/>
  <c r="AH5" i="7" s="1"/>
  <c r="J40" i="17"/>
  <c r="J41" i="17" s="1"/>
  <c r="J43" i="17" s="1"/>
  <c r="B22" i="63" s="1"/>
  <c r="C22" i="63" s="1"/>
  <c r="D19" i="8"/>
  <c r="D20" i="8" s="1"/>
  <c r="D24" i="8" s="1"/>
  <c r="B30" i="63" s="1"/>
  <c r="C30" i="63" s="1"/>
  <c r="AQ39" i="15"/>
  <c r="F40" i="71"/>
  <c r="F41" i="71" s="1"/>
  <c r="F43" i="71" s="1"/>
  <c r="B45" i="63" s="1"/>
  <c r="C45" i="63" s="1"/>
  <c r="D39" i="69"/>
  <c r="D40" i="69" s="1"/>
  <c r="D42" i="69" s="1"/>
  <c r="B31" i="63" s="1"/>
  <c r="C31" i="63" s="1"/>
  <c r="D19" i="65"/>
  <c r="D20" i="65" s="1"/>
  <c r="D24" i="65" s="1"/>
  <c r="B12" i="63" s="1"/>
  <c r="D40" i="72"/>
  <c r="D41" i="72" s="1"/>
  <c r="D43" i="72" s="1"/>
  <c r="B23" i="63" s="1"/>
  <c r="C23" i="63" s="1"/>
  <c r="D38" i="76"/>
  <c r="D39" i="76" s="1"/>
  <c r="D41" i="76" s="1"/>
  <c r="B14" i="63" s="1"/>
  <c r="C14" i="63" s="1"/>
  <c r="D18" i="64"/>
  <c r="D19" i="64" s="1"/>
  <c r="D23" i="64" s="1"/>
  <c r="B16" i="63" s="1"/>
  <c r="C16" i="63" s="1"/>
  <c r="D38" i="77"/>
  <c r="D39" i="77" s="1"/>
  <c r="D41" i="77" s="1"/>
  <c r="B40" i="63" s="1"/>
  <c r="C40" i="63" s="1"/>
  <c r="AP47" i="11"/>
  <c r="AF38" i="11"/>
  <c r="AF34" i="11"/>
  <c r="AC8" i="11"/>
  <c r="J36" i="70"/>
  <c r="J37" i="70" s="1"/>
  <c r="J41" i="70" s="1"/>
  <c r="B19" i="63" s="1"/>
  <c r="C19" i="63" s="1"/>
  <c r="C38" i="73"/>
  <c r="C40" i="73" s="1"/>
  <c r="D13" i="78"/>
  <c r="D14" i="78" s="1"/>
  <c r="D18" i="78" s="1"/>
  <c r="B38" i="63" s="1"/>
  <c r="D38" i="74"/>
  <c r="D39" i="74" s="1"/>
  <c r="D41" i="74" s="1"/>
  <c r="B39" i="63" s="1"/>
  <c r="C39" i="63" s="1"/>
  <c r="B30" i="20"/>
  <c r="F38" i="22"/>
  <c r="F39" i="22" s="1"/>
  <c r="F41" i="22" s="1"/>
  <c r="B21" i="63" s="1"/>
  <c r="C21" i="63" s="1"/>
  <c r="B133" i="15"/>
  <c r="B136" i="15" s="1"/>
  <c r="H36" i="9"/>
  <c r="H37" i="9" s="1"/>
  <c r="H39" i="9" s="1"/>
  <c r="B25" i="63" s="1"/>
  <c r="C25" i="63" s="1"/>
  <c r="D38" i="79"/>
  <c r="D39" i="79" s="1"/>
  <c r="D41" i="79" s="1"/>
  <c r="B26" i="63" s="1"/>
  <c r="C26" i="63" s="1"/>
  <c r="AU39" i="15"/>
  <c r="C37" i="13"/>
  <c r="C30" i="20" l="1"/>
  <c r="C31" i="20" s="1"/>
  <c r="B45" i="20"/>
  <c r="C45" i="20" s="1"/>
  <c r="C46" i="20" s="1"/>
  <c r="B17" i="20"/>
  <c r="C17" i="20" s="1"/>
  <c r="C18" i="20" s="1"/>
  <c r="E37" i="13"/>
  <c r="E38" i="13" s="1"/>
  <c r="C38" i="13"/>
  <c r="C41" i="13" s="1"/>
  <c r="C38" i="63"/>
  <c r="F102" i="15"/>
  <c r="F103" i="15" s="1"/>
  <c r="B103" i="15"/>
  <c r="B105" i="15" s="1"/>
  <c r="F105" i="15" s="1"/>
  <c r="AI20" i="7"/>
  <c r="AH21" i="7"/>
  <c r="AI21" i="7" s="1"/>
  <c r="AH6" i="7"/>
  <c r="AI5" i="7"/>
  <c r="C12" i="63"/>
  <c r="AR48" i="15"/>
  <c r="AR51" i="15"/>
  <c r="C133" i="15"/>
  <c r="C103" i="15" l="1"/>
  <c r="AH7" i="7"/>
  <c r="AI6" i="7"/>
  <c r="E41" i="13"/>
  <c r="F41" i="13" s="1"/>
  <c r="B20" i="63" s="1"/>
  <c r="F38" i="13"/>
  <c r="C62" i="20"/>
  <c r="F52" i="73" s="1"/>
  <c r="F54" i="73" s="1"/>
  <c r="B41" i="63" s="1"/>
  <c r="C20" i="63" l="1"/>
  <c r="C34" i="63" s="1"/>
  <c r="B34" i="63"/>
  <c r="AH8" i="7"/>
  <c r="AI7" i="7"/>
  <c r="C41" i="63"/>
  <c r="C47" i="63" s="1"/>
  <c r="B47" i="63"/>
  <c r="B49" i="63" s="1"/>
  <c r="C49" i="63" l="1"/>
  <c r="AH9" i="7"/>
  <c r="AI8" i="7"/>
  <c r="AI9" i="7" l="1"/>
  <c r="AH10" i="7"/>
  <c r="AI10" i="7" l="1"/>
  <c r="AH11" i="7"/>
  <c r="AI11" i="7" l="1"/>
  <c r="AH12" i="7"/>
  <c r="AH13" i="7" l="1"/>
  <c r="AI12" i="7"/>
  <c r="AH14" i="7" l="1"/>
  <c r="AI13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<sst xmlns="http://schemas.openxmlformats.org/spreadsheetml/2006/main" count="440" uniqueCount="158">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</sst>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8" fillId="0" borderId="0" xfId="0" applyFont="1"/>
    <xf numFmtId="0" fontId="39" fillId="0" borderId="0" xfId="0" applyFont="1"/>
    <xf numFmtId="5" fontId="39" fillId="0" borderId="0" xfId="0" applyNumberFormat="1" applyFont="1" applyAlignment="1">
      <alignment horizontal="right"/>
    </xf>
    <xf numFmtId="37" fontId="39" fillId="0" borderId="0" xfId="1" applyNumberFormat="1" applyFont="1" applyAlignment="1">
      <alignment horizontal="right"/>
    </xf>
    <xf numFmtId="0" fontId="39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40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3.51</v>
          </cell>
          <cell r="K39">
            <v>2.4900000000000002</v>
          </cell>
          <cell r="M39">
            <v>3.17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tabSelected="1"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8" workbookViewId="3">
      <selection activeCell="D19" sqref="D19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5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2.4900000000000002</v>
      </c>
    </row>
    <row r="11" spans="1:20" ht="18" customHeight="1" x14ac:dyDescent="0.2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3.17</v>
      </c>
    </row>
    <row r="12" spans="1:20" ht="18" customHeight="1" x14ac:dyDescent="0.2">
      <c r="A12" s="357" t="s">
        <v>95</v>
      </c>
      <c r="B12" s="377">
        <f>+NNG!$D$24</f>
        <v>1344921.72</v>
      </c>
      <c r="C12" s="389">
        <f>+B12/$P$11</f>
        <v>424265.52681388013</v>
      </c>
      <c r="D12" s="317">
        <f>+NNG!A24</f>
        <v>37053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3.51</v>
      </c>
    </row>
    <row r="13" spans="1:20" ht="15.95" customHeight="1" x14ac:dyDescent="0.2">
      <c r="A13" s="357" t="s">
        <v>30</v>
      </c>
      <c r="B13" s="377">
        <f>+C13*$P$10</f>
        <v>826142.16</v>
      </c>
      <c r="C13" s="389">
        <f>+williams!J40</f>
        <v>331784</v>
      </c>
      <c r="D13" s="317">
        <f>+williams!A40</f>
        <v>37053</v>
      </c>
      <c r="E13" s="314" t="s">
        <v>89</v>
      </c>
      <c r="F13" s="314" t="s">
        <v>125</v>
      </c>
    </row>
    <row r="14" spans="1:20" ht="15.95" customHeight="1" x14ac:dyDescent="0.2">
      <c r="A14" s="356" t="s">
        <v>145</v>
      </c>
      <c r="B14" s="377">
        <f>+SidR!D41</f>
        <v>768764.03</v>
      </c>
      <c r="C14" s="389">
        <f>+B14/$P$11</f>
        <v>242512.31230283913</v>
      </c>
      <c r="D14" s="65">
        <f>+SidR!A41</f>
        <v>37053</v>
      </c>
      <c r="E14" t="s">
        <v>90</v>
      </c>
      <c r="F14" t="s">
        <v>112</v>
      </c>
    </row>
    <row r="15" spans="1:20" ht="15.95" customHeight="1" x14ac:dyDescent="0.2">
      <c r="A15" s="356" t="s">
        <v>35</v>
      </c>
      <c r="B15" s="377">
        <f>+'El Paso'!E38*summary!P10+'El Paso'!C38*summary!P11</f>
        <v>749278.79</v>
      </c>
      <c r="C15" s="389">
        <f>+'El Paso'!H38</f>
        <v>287931</v>
      </c>
      <c r="D15" s="65">
        <f>+'El Paso'!A38</f>
        <v>37053</v>
      </c>
      <c r="E15" t="s">
        <v>89</v>
      </c>
      <c r="F15" t="s">
        <v>110</v>
      </c>
      <c r="G15" t="s">
        <v>129</v>
      </c>
    </row>
    <row r="16" spans="1:20" ht="15.95" customHeight="1" x14ac:dyDescent="0.2">
      <c r="A16" s="356" t="s">
        <v>87</v>
      </c>
      <c r="B16" s="377">
        <f>+PNM!$D$23</f>
        <v>731359.04999999993</v>
      </c>
      <c r="C16" s="389">
        <f>+B16/$P$11</f>
        <v>230712.63406940061</v>
      </c>
      <c r="D16" s="65">
        <f>+PNM!A23</f>
        <v>37053</v>
      </c>
      <c r="E16" t="s">
        <v>90</v>
      </c>
      <c r="F16" t="s">
        <v>108</v>
      </c>
      <c r="T16" s="269"/>
    </row>
    <row r="17" spans="1:20" ht="15.95" customHeight="1" x14ac:dyDescent="0.2">
      <c r="A17" s="356" t="s">
        <v>3</v>
      </c>
      <c r="B17" s="377">
        <f>+'Amoco Abo'!$F$43</f>
        <v>625869.09</v>
      </c>
      <c r="C17" s="389">
        <f>+B17/$P$11</f>
        <v>197435.04416403786</v>
      </c>
      <c r="D17" s="65">
        <f>+'Amoco Abo'!A43</f>
        <v>37053</v>
      </c>
      <c r="E17" t="s">
        <v>90</v>
      </c>
      <c r="F17" t="s">
        <v>109</v>
      </c>
      <c r="T17" s="269"/>
    </row>
    <row r="18" spans="1:20" ht="15.95" customHeight="1" x14ac:dyDescent="0.2">
      <c r="A18" s="356" t="s">
        <v>25</v>
      </c>
      <c r="B18" s="371">
        <f>+'Red C'!$F$43</f>
        <v>602254.64</v>
      </c>
      <c r="C18" s="372">
        <f>+B18/$P$10</f>
        <v>241869.33333333331</v>
      </c>
      <c r="D18" s="317">
        <f>+'Red C'!B43</f>
        <v>37053</v>
      </c>
      <c r="E18" t="s">
        <v>90</v>
      </c>
      <c r="F18" t="s">
        <v>125</v>
      </c>
    </row>
    <row r="19" spans="1:20" ht="15.95" customHeight="1" x14ac:dyDescent="0.2">
      <c r="A19" s="356" t="s">
        <v>113</v>
      </c>
      <c r="B19" s="377">
        <f>+EOG!J41</f>
        <v>376908.6</v>
      </c>
      <c r="C19" s="389">
        <f>+B19/$P$11</f>
        <v>118898.61198738169</v>
      </c>
      <c r="D19" s="317">
        <f>+EOG!A41</f>
        <v>37053</v>
      </c>
      <c r="E19" t="s">
        <v>90</v>
      </c>
      <c r="F19" t="s">
        <v>112</v>
      </c>
    </row>
    <row r="20" spans="1:20" ht="15.95" customHeight="1" x14ac:dyDescent="0.2">
      <c r="A20" s="356" t="s">
        <v>84</v>
      </c>
      <c r="B20" s="377">
        <f>+Conoco!$F$41</f>
        <v>369543.57000000007</v>
      </c>
      <c r="C20" s="389">
        <f>+B20/$P$10</f>
        <v>148411.07228915664</v>
      </c>
      <c r="D20" s="317">
        <f>+Conoco!A41</f>
        <v>37052</v>
      </c>
      <c r="E20" t="s">
        <v>90</v>
      </c>
      <c r="F20" t="s">
        <v>109</v>
      </c>
    </row>
    <row r="21" spans="1:20" ht="15.95" customHeight="1" x14ac:dyDescent="0.2">
      <c r="A21" s="356" t="s">
        <v>117</v>
      </c>
      <c r="B21" s="377">
        <f>+KN_Westar!F41</f>
        <v>362724.49</v>
      </c>
      <c r="C21" s="389">
        <f>+B21/$P$11</f>
        <v>114424.12933753943</v>
      </c>
      <c r="D21" s="65">
        <f>+KN_Westar!A41</f>
        <v>37053</v>
      </c>
      <c r="E21" t="s">
        <v>90</v>
      </c>
      <c r="F21" t="s">
        <v>110</v>
      </c>
    </row>
    <row r="22" spans="1:20" ht="15.95" customHeight="1" x14ac:dyDescent="0.2">
      <c r="A22" s="356" t="s">
        <v>2</v>
      </c>
      <c r="B22" s="377">
        <f>+mewborne!$J$43</f>
        <v>357909.72</v>
      </c>
      <c r="C22" s="389">
        <f>+B22/$P$11</f>
        <v>112905.27444794952</v>
      </c>
      <c r="D22" s="65">
        <f>+mewborne!A43</f>
        <v>37052</v>
      </c>
      <c r="E22" t="s">
        <v>90</v>
      </c>
      <c r="F22" t="s">
        <v>109</v>
      </c>
    </row>
    <row r="23" spans="1:20" ht="15.95" customHeight="1" x14ac:dyDescent="0.2">
      <c r="A23" s="356" t="s">
        <v>120</v>
      </c>
      <c r="B23" s="377">
        <f>+CIG!D43</f>
        <v>326755</v>
      </c>
      <c r="C23" s="389">
        <f>+B23/$P$11</f>
        <v>103077.28706624606</v>
      </c>
      <c r="D23" s="65">
        <f>+CIG!A43</f>
        <v>37053</v>
      </c>
      <c r="E23" t="s">
        <v>90</v>
      </c>
      <c r="F23" t="s">
        <v>123</v>
      </c>
      <c r="G23" t="s">
        <v>139</v>
      </c>
    </row>
    <row r="24" spans="1:20" ht="15.95" customHeight="1" x14ac:dyDescent="0.2">
      <c r="A24" s="356" t="s">
        <v>7</v>
      </c>
      <c r="B24" s="377">
        <f>+C24*$P$10</f>
        <v>264679.53000000003</v>
      </c>
      <c r="C24" s="389">
        <f>+Amoco!D40</f>
        <v>106297</v>
      </c>
      <c r="D24" s="65">
        <f>+Amoco!A40</f>
        <v>37053</v>
      </c>
      <c r="E24" t="s">
        <v>89</v>
      </c>
      <c r="F24" t="s">
        <v>125</v>
      </c>
    </row>
    <row r="25" spans="1:20" ht="15.95" customHeight="1" x14ac:dyDescent="0.2">
      <c r="A25" s="356" t="s">
        <v>141</v>
      </c>
      <c r="B25" s="377">
        <f>+PGETX!$H$39</f>
        <v>238768.36000000002</v>
      </c>
      <c r="C25" s="389">
        <f>+B25/$P$11</f>
        <v>75321.24921135648</v>
      </c>
      <c r="D25" s="65">
        <f>+PGETX!E39</f>
        <v>37053</v>
      </c>
      <c r="E25" t="s">
        <v>90</v>
      </c>
      <c r="F25" t="s">
        <v>112</v>
      </c>
    </row>
    <row r="26" spans="1:20" ht="15.95" customHeight="1" x14ac:dyDescent="0.2">
      <c r="A26" s="356" t="s">
        <v>154</v>
      </c>
      <c r="B26" s="377">
        <f>+'Citizens-Griffith'!D41</f>
        <v>227817.27</v>
      </c>
      <c r="C26" s="389">
        <f>+B26/$P$11</f>
        <v>71866.646687697154</v>
      </c>
      <c r="D26" s="317">
        <f>+'Citizens-Griffith'!A41</f>
        <v>37053</v>
      </c>
      <c r="E26" t="s">
        <v>90</v>
      </c>
      <c r="F26" t="s">
        <v>109</v>
      </c>
    </row>
    <row r="27" spans="1:20" ht="15.95" customHeight="1" x14ac:dyDescent="0.2">
      <c r="A27" s="356" t="s">
        <v>97</v>
      </c>
      <c r="B27" s="377">
        <f>+C27*$P$11</f>
        <v>206420.88999999998</v>
      </c>
      <c r="C27" s="389">
        <f>+NGPL!F38</f>
        <v>65117</v>
      </c>
      <c r="D27" s="65">
        <f>+NGPL!A38</f>
        <v>37053</v>
      </c>
      <c r="E27" t="s">
        <v>89</v>
      </c>
      <c r="F27" t="s">
        <v>125</v>
      </c>
    </row>
    <row r="28" spans="1:20" ht="15.95" customHeight="1" x14ac:dyDescent="0.2">
      <c r="A28" s="356" t="s">
        <v>33</v>
      </c>
      <c r="B28" s="377">
        <f>+C28*$P$11</f>
        <v>194888.43</v>
      </c>
      <c r="C28" s="389">
        <f>+Lonestar!F42</f>
        <v>61479</v>
      </c>
      <c r="D28" s="317">
        <f>+Lonestar!B42</f>
        <v>37052</v>
      </c>
      <c r="E28" t="s">
        <v>89</v>
      </c>
      <c r="F28" t="s">
        <v>112</v>
      </c>
    </row>
    <row r="29" spans="1:20" ht="15.95" customHeight="1" x14ac:dyDescent="0.2">
      <c r="A29" s="356" t="s">
        <v>75</v>
      </c>
      <c r="B29" s="371">
        <f>+transcol!$D$43</f>
        <v>89350.32</v>
      </c>
      <c r="C29" s="372">
        <f>+B29/$P$11</f>
        <v>28186.220820189279</v>
      </c>
      <c r="D29" s="65">
        <f>+transcol!A43</f>
        <v>37052</v>
      </c>
      <c r="E29" t="s">
        <v>90</v>
      </c>
      <c r="F29" t="s">
        <v>125</v>
      </c>
    </row>
    <row r="30" spans="1:20" ht="15.95" customHeight="1" x14ac:dyDescent="0.2">
      <c r="A30" s="357" t="s">
        <v>83</v>
      </c>
      <c r="B30" s="377">
        <f>+Agave!$D$24</f>
        <v>32762.029999999984</v>
      </c>
      <c r="C30" s="403">
        <f>+B30/$P$11</f>
        <v>10335.025236593056</v>
      </c>
      <c r="D30" s="317">
        <f>+Agave!A24</f>
        <v>37052</v>
      </c>
      <c r="E30" s="314" t="s">
        <v>90</v>
      </c>
      <c r="F30" s="314" t="s">
        <v>112</v>
      </c>
    </row>
    <row r="31" spans="1:20" ht="15.95" customHeight="1" x14ac:dyDescent="0.2">
      <c r="A31" s="357" t="s">
        <v>104</v>
      </c>
      <c r="B31" s="377">
        <f>+burlington!D42</f>
        <v>29591.160000000003</v>
      </c>
      <c r="C31" s="389">
        <f>+B31/$P$10</f>
        <v>11884</v>
      </c>
      <c r="D31" s="317">
        <f>+burlington!A42</f>
        <v>37053</v>
      </c>
      <c r="E31" s="314" t="s">
        <v>90</v>
      </c>
      <c r="F31" t="s">
        <v>109</v>
      </c>
      <c r="G31" t="s">
        <v>157</v>
      </c>
    </row>
    <row r="32" spans="1:20" ht="15.95" customHeight="1" x14ac:dyDescent="0.2">
      <c r="A32" s="356" t="s">
        <v>8</v>
      </c>
      <c r="B32" s="377">
        <f>+C32*$P$11</f>
        <v>26526.559999999998</v>
      </c>
      <c r="C32" s="403">
        <f>+Oasis!D40</f>
        <v>8368</v>
      </c>
      <c r="D32" s="65">
        <f>+Oasis!B40</f>
        <v>37052</v>
      </c>
      <c r="E32" t="s">
        <v>89</v>
      </c>
      <c r="F32" t="s">
        <v>112</v>
      </c>
    </row>
    <row r="33" spans="1:15" ht="15.95" customHeight="1" x14ac:dyDescent="0.2">
      <c r="A33" s="356" t="s">
        <v>103</v>
      </c>
      <c r="B33" s="390">
        <f>+C33*$P$11</f>
        <v>15637.609999999999</v>
      </c>
      <c r="C33" s="405">
        <f>+Mojave!D40</f>
        <v>4933</v>
      </c>
      <c r="D33" s="65">
        <f>+Mojave!A40</f>
        <v>37053</v>
      </c>
      <c r="E33" t="s">
        <v>89</v>
      </c>
      <c r="F33" t="s">
        <v>110</v>
      </c>
    </row>
    <row r="34" spans="1:15" ht="18" customHeight="1" x14ac:dyDescent="0.2">
      <c r="A34" s="297" t="s">
        <v>105</v>
      </c>
      <c r="B34" s="391">
        <f>SUM(B12:B33)</f>
        <v>8768873.0199999996</v>
      </c>
      <c r="C34" s="392">
        <f>SUM(C12:C33)</f>
        <v>2998013.3677676003</v>
      </c>
    </row>
    <row r="35" spans="1:15" ht="18" customHeight="1" x14ac:dyDescent="0.2">
      <c r="F35" s="366"/>
      <c r="O35">
        <v>50</v>
      </c>
    </row>
    <row r="36" spans="1:15" ht="18" customHeight="1" x14ac:dyDescent="0.2">
      <c r="O36">
        <v>79</v>
      </c>
    </row>
    <row r="37" spans="1:15" ht="18" customHeight="1" x14ac:dyDescent="0.2">
      <c r="A37" s="301" t="s">
        <v>98</v>
      </c>
      <c r="B37" s="302" t="s">
        <v>18</v>
      </c>
      <c r="C37" s="303" t="s">
        <v>0</v>
      </c>
      <c r="D37" s="304" t="s">
        <v>85</v>
      </c>
      <c r="E37" s="301" t="s">
        <v>99</v>
      </c>
      <c r="F37" s="334" t="s">
        <v>111</v>
      </c>
      <c r="G37" s="301" t="s">
        <v>107</v>
      </c>
      <c r="O37">
        <f>+O36*O35</f>
        <v>3950</v>
      </c>
    </row>
    <row r="38" spans="1:15" ht="18" customHeight="1" x14ac:dyDescent="0.2">
      <c r="A38" s="357" t="s">
        <v>149</v>
      </c>
      <c r="B38" s="377">
        <f>+Citizens!D18</f>
        <v>-857358.46</v>
      </c>
      <c r="C38" s="403">
        <f>+B38/$P$11</f>
        <v>-270460.08201892744</v>
      </c>
      <c r="D38" s="317">
        <f>+Citizens!A18</f>
        <v>37051</v>
      </c>
      <c r="E38" s="314" t="s">
        <v>90</v>
      </c>
      <c r="F38" s="314" t="s">
        <v>108</v>
      </c>
      <c r="G38" s="301"/>
    </row>
    <row r="39" spans="1:15" ht="18" customHeight="1" x14ac:dyDescent="0.2">
      <c r="A39" s="357" t="s">
        <v>140</v>
      </c>
      <c r="B39" s="377">
        <f>+Calpine!D41</f>
        <v>-353128.00999999995</v>
      </c>
      <c r="C39" s="403">
        <f>+B39/$P$11</f>
        <v>-111396.84858044163</v>
      </c>
      <c r="D39" s="317">
        <f>+Calpine!A41</f>
        <v>37053</v>
      </c>
      <c r="E39" s="314" t="s">
        <v>90</v>
      </c>
      <c r="F39" s="314" t="s">
        <v>109</v>
      </c>
      <c r="G39" s="301"/>
    </row>
    <row r="40" spans="1:15" ht="18" customHeight="1" x14ac:dyDescent="0.2">
      <c r="A40" s="356" t="s">
        <v>147</v>
      </c>
      <c r="B40" s="377">
        <f>+'NS Steel'!D41</f>
        <v>-331483.25</v>
      </c>
      <c r="C40" s="403">
        <f>+B40/$P$10</f>
        <v>-133125.8032128514</v>
      </c>
      <c r="D40" s="65">
        <f>+'NS Steel'!A41</f>
        <v>37053</v>
      </c>
      <c r="E40" t="s">
        <v>90</v>
      </c>
      <c r="F40" t="s">
        <v>110</v>
      </c>
      <c r="G40" s="301"/>
    </row>
    <row r="41" spans="1:15" ht="18" customHeight="1" x14ac:dyDescent="0.2">
      <c r="A41" s="356" t="s">
        <v>138</v>
      </c>
      <c r="B41" s="377">
        <f>+DEFS!F54</f>
        <v>-172261.80000000005</v>
      </c>
      <c r="C41" s="403">
        <f>+B41/$P$11</f>
        <v>-54341.261829653013</v>
      </c>
      <c r="D41" s="65">
        <f>+DEFS!A40</f>
        <v>37051</v>
      </c>
      <c r="E41" t="s">
        <v>90</v>
      </c>
      <c r="F41" t="s">
        <v>110</v>
      </c>
      <c r="G41" t="s">
        <v>128</v>
      </c>
    </row>
    <row r="42" spans="1:15" ht="18" customHeight="1" x14ac:dyDescent="0.2">
      <c r="A42" s="356" t="s">
        <v>34</v>
      </c>
      <c r="B42" s="377">
        <f>+C42*$P$11</f>
        <v>-93556.209999999992</v>
      </c>
      <c r="C42" s="403">
        <f>+SoCal!F40</f>
        <v>-29513</v>
      </c>
      <c r="D42" s="388">
        <f>+SoCal!A40</f>
        <v>37053</v>
      </c>
      <c r="E42" t="s">
        <v>89</v>
      </c>
      <c r="F42" t="s">
        <v>108</v>
      </c>
    </row>
    <row r="43" spans="1:15" ht="18" customHeight="1" x14ac:dyDescent="0.2">
      <c r="A43" s="356" t="s">
        <v>143</v>
      </c>
      <c r="B43" s="377">
        <f>+EPFS!D41</f>
        <v>-63379.729999999996</v>
      </c>
      <c r="C43" s="403">
        <f>+B43/$P$12</f>
        <v>-18056.903133903135</v>
      </c>
      <c r="D43" s="317">
        <f>+EPFS!A41</f>
        <v>37052</v>
      </c>
      <c r="E43" t="s">
        <v>90</v>
      </c>
      <c r="F43" t="s">
        <v>110</v>
      </c>
    </row>
    <row r="44" spans="1:15" ht="18" customHeight="1" x14ac:dyDescent="0.2">
      <c r="A44" s="356" t="s">
        <v>1</v>
      </c>
      <c r="B44" s="377">
        <f>+C44*$P$10</f>
        <v>-23331.300000000003</v>
      </c>
      <c r="C44" s="403">
        <f>+NW!$F$41</f>
        <v>-9370</v>
      </c>
      <c r="D44" s="317">
        <f>+NW!B41</f>
        <v>37052</v>
      </c>
      <c r="E44" t="s">
        <v>89</v>
      </c>
      <c r="F44" t="s">
        <v>109</v>
      </c>
    </row>
    <row r="45" spans="1:15" ht="18" customHeight="1" x14ac:dyDescent="0.2">
      <c r="A45" s="356" t="s">
        <v>119</v>
      </c>
      <c r="B45" s="377">
        <f>+Continental!F43</f>
        <v>-18783.759999999998</v>
      </c>
      <c r="C45" s="403">
        <f>+B45/$P$11</f>
        <v>-5925.4763406940056</v>
      </c>
      <c r="D45" s="65">
        <f>+Continental!A43</f>
        <v>37053</v>
      </c>
      <c r="E45" t="s">
        <v>90</v>
      </c>
      <c r="F45" t="s">
        <v>125</v>
      </c>
    </row>
    <row r="46" spans="1:15" ht="18" customHeight="1" x14ac:dyDescent="0.2">
      <c r="A46" s="356" t="s">
        <v>124</v>
      </c>
      <c r="B46" s="390">
        <f>+C46*$P$11</f>
        <v>-4770.8499999999995</v>
      </c>
      <c r="C46" s="404">
        <f>+'PG&amp;E'!D40</f>
        <v>-1505</v>
      </c>
      <c r="D46" s="65">
        <f>+'PG&amp;E'!A40</f>
        <v>37053</v>
      </c>
      <c r="E46" t="s">
        <v>89</v>
      </c>
      <c r="F46" t="s">
        <v>112</v>
      </c>
    </row>
    <row r="47" spans="1:15" ht="18" customHeight="1" x14ac:dyDescent="0.2">
      <c r="A47" s="297" t="s">
        <v>106</v>
      </c>
      <c r="B47" s="377">
        <f>SUM(B38:B46)</f>
        <v>-1918053.37</v>
      </c>
      <c r="C47" s="403">
        <f>SUM(C38:C46)</f>
        <v>-633694.37511647062</v>
      </c>
      <c r="D47" s="314"/>
    </row>
    <row r="48" spans="1:15" ht="18" customHeight="1" x14ac:dyDescent="0.2">
      <c r="B48" s="401"/>
      <c r="C48" s="402"/>
    </row>
    <row r="49" spans="1:5" ht="18" customHeight="1" thickBot="1" x14ac:dyDescent="0.25">
      <c r="A49" s="34" t="s">
        <v>100</v>
      </c>
      <c r="B49" s="393">
        <f>+B47+B34</f>
        <v>6850819.6499999994</v>
      </c>
      <c r="C49" s="394">
        <f>+C47+C34</f>
        <v>2364318.9926511296</v>
      </c>
    </row>
    <row r="50" spans="1:5" ht="18" customHeight="1" thickTop="1" x14ac:dyDescent="0.2"/>
    <row r="51" spans="1:5" x14ac:dyDescent="0.2">
      <c r="A51" s="34" t="s">
        <v>101</v>
      </c>
      <c r="C51" s="342"/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workbookViewId="3">
      <selection activeCell="C15" sqref="C1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243">
        <v>134131</v>
      </c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955725</v>
      </c>
      <c r="C36" s="24">
        <f>SUM(C5:C35)</f>
        <v>962786</v>
      </c>
      <c r="D36" s="24">
        <f t="shared" si="0"/>
        <v>7061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6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37052</v>
      </c>
      <c r="C40" s="24"/>
      <c r="D40" s="195">
        <f>+D36+D38</f>
        <v>8368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C16" sqref="C16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3">
        <v>313116</v>
      </c>
      <c r="C5" s="90">
        <v>325830</v>
      </c>
      <c r="D5" s="90">
        <f>+C5-B5</f>
        <v>12714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310005</v>
      </c>
      <c r="C7" s="90">
        <v>321026</v>
      </c>
      <c r="D7" s="90">
        <f t="shared" si="0"/>
        <v>11021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92">
        <v>387828</v>
      </c>
      <c r="C8" s="90">
        <v>403451</v>
      </c>
      <c r="D8" s="90">
        <f t="shared" si="0"/>
        <v>15623</v>
      </c>
      <c r="E8" s="287"/>
      <c r="F8" s="285"/>
    </row>
    <row r="9" spans="1:13" x14ac:dyDescent="0.2">
      <c r="A9" s="87">
        <v>500293</v>
      </c>
      <c r="B9" s="92">
        <v>159897</v>
      </c>
      <c r="C9" s="90">
        <v>204311</v>
      </c>
      <c r="D9" s="90">
        <f t="shared" si="0"/>
        <v>44414</v>
      </c>
      <c r="E9" s="287"/>
      <c r="F9" s="285"/>
    </row>
    <row r="10" spans="1:13" x14ac:dyDescent="0.2">
      <c r="A10" s="87">
        <v>500302</v>
      </c>
      <c r="B10" s="90">
        <v>3730</v>
      </c>
      <c r="C10" s="331"/>
      <c r="D10" s="90">
        <f t="shared" si="0"/>
        <v>-3730</v>
      </c>
      <c r="E10" s="287"/>
      <c r="F10" s="285"/>
    </row>
    <row r="11" spans="1:13" x14ac:dyDescent="0.2">
      <c r="A11" s="87">
        <v>500303</v>
      </c>
      <c r="B11" s="331">
        <v>69937</v>
      </c>
      <c r="C11" s="90">
        <v>110745</v>
      </c>
      <c r="D11" s="90">
        <f t="shared" si="0"/>
        <v>40808</v>
      </c>
      <c r="E11" s="287"/>
      <c r="F11" s="285"/>
    </row>
    <row r="12" spans="1:13" x14ac:dyDescent="0.2">
      <c r="A12" s="91">
        <v>500305</v>
      </c>
      <c r="B12" s="331">
        <v>347815</v>
      </c>
      <c r="C12" s="90">
        <v>449866</v>
      </c>
      <c r="D12" s="90">
        <f t="shared" si="0"/>
        <v>102051</v>
      </c>
      <c r="E12" s="288"/>
      <c r="F12" s="285"/>
    </row>
    <row r="13" spans="1:13" x14ac:dyDescent="0.2">
      <c r="A13" s="87">
        <v>500307</v>
      </c>
      <c r="B13" s="331">
        <v>21714</v>
      </c>
      <c r="C13" s="90">
        <v>21103</v>
      </c>
      <c r="D13" s="90">
        <f t="shared" si="0"/>
        <v>-611</v>
      </c>
      <c r="E13" s="287"/>
      <c r="F13" s="285"/>
    </row>
    <row r="14" spans="1:13" x14ac:dyDescent="0.2">
      <c r="A14" s="87">
        <v>500313</v>
      </c>
      <c r="B14" s="90"/>
      <c r="C14" s="331">
        <v>1003</v>
      </c>
      <c r="D14" s="90">
        <f t="shared" si="0"/>
        <v>1003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250161</v>
      </c>
      <c r="C16" s="90"/>
      <c r="D16" s="90">
        <f t="shared" si="0"/>
        <v>-250161</v>
      </c>
      <c r="E16" s="287"/>
      <c r="F16" s="285"/>
    </row>
    <row r="17" spans="1:6" x14ac:dyDescent="0.2">
      <c r="A17" s="87">
        <v>500657</v>
      </c>
      <c r="B17" s="360">
        <v>70481</v>
      </c>
      <c r="C17" s="88">
        <v>60000</v>
      </c>
      <c r="D17" s="94">
        <f t="shared" si="0"/>
        <v>-10481</v>
      </c>
      <c r="E17" s="287"/>
      <c r="F17" s="285"/>
    </row>
    <row r="18" spans="1:6" x14ac:dyDescent="0.2">
      <c r="A18" s="87"/>
      <c r="B18" s="88"/>
      <c r="C18" s="88"/>
      <c r="D18" s="88">
        <f>SUM(D5:D17)</f>
        <v>-37349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3.17</v>
      </c>
      <c r="E19" s="289"/>
      <c r="F19" s="285"/>
    </row>
    <row r="20" spans="1:6" x14ac:dyDescent="0.2">
      <c r="A20" s="87"/>
      <c r="B20" s="88"/>
      <c r="C20" s="88"/>
      <c r="D20" s="96">
        <f>+D19*D18</f>
        <v>-118396.33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8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37052</v>
      </c>
      <c r="B24" s="88"/>
      <c r="C24" s="88"/>
      <c r="D24" s="359">
        <f>+D22+D20</f>
        <v>32762.029999999984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C42" sqref="C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39338</v>
      </c>
      <c r="C13" s="11">
        <v>38777</v>
      </c>
      <c r="D13" s="11">
        <v>31137</v>
      </c>
      <c r="E13" s="11">
        <v>31047</v>
      </c>
      <c r="F13" s="25">
        <f t="shared" si="0"/>
        <v>-651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406567</v>
      </c>
      <c r="C35" s="11">
        <f>SUM(C4:C34)</f>
        <v>411551</v>
      </c>
      <c r="D35" s="11">
        <f>SUM(D4:D34)</f>
        <v>369719</v>
      </c>
      <c r="E35" s="11">
        <f>SUM(E4:E34)</f>
        <v>364093</v>
      </c>
      <c r="F35" s="11">
        <f>+E35-D35+C35-B35</f>
        <v>-642</v>
      </c>
    </row>
    <row r="36" spans="1:7" x14ac:dyDescent="0.2">
      <c r="A36" s="45"/>
      <c r="C36" s="14">
        <f>+C35-B35</f>
        <v>4984</v>
      </c>
      <c r="D36" s="14"/>
      <c r="E36" s="14">
        <f>+E35-D35</f>
        <v>-5626</v>
      </c>
      <c r="F36" s="47"/>
    </row>
    <row r="37" spans="1:7" x14ac:dyDescent="0.2">
      <c r="C37" s="15">
        <f>+summary!P11</f>
        <v>3.17</v>
      </c>
      <c r="D37" s="15"/>
      <c r="E37" s="15">
        <f>+C37</f>
        <v>3.17</v>
      </c>
      <c r="F37" s="24"/>
    </row>
    <row r="38" spans="1:7" x14ac:dyDescent="0.2">
      <c r="C38" s="48">
        <f>+C37*C36</f>
        <v>15799.279999999999</v>
      </c>
      <c r="D38" s="47"/>
      <c r="E38" s="48">
        <f>+E37*E36</f>
        <v>-17834.419999999998</v>
      </c>
      <c r="F38" s="46">
        <f>+E38+C38</f>
        <v>-2035.1399999999994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7">
        <v>2444005.89</v>
      </c>
      <c r="D40" s="111"/>
      <c r="E40" s="417">
        <v>-2072427.18</v>
      </c>
      <c r="F40" s="385">
        <f>+E40+C40</f>
        <v>371578.7100000002</v>
      </c>
      <c r="G40" s="25"/>
    </row>
    <row r="41" spans="1:7" x14ac:dyDescent="0.2">
      <c r="A41" s="57">
        <v>37052</v>
      </c>
      <c r="C41" s="106">
        <f>+C40+C38</f>
        <v>2459805.17</v>
      </c>
      <c r="D41" s="106"/>
      <c r="E41" s="106">
        <f>+E40+E38</f>
        <v>-2090261.5999999999</v>
      </c>
      <c r="F41" s="106">
        <f>+E41+C41</f>
        <v>369543.57000000007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workbookViewId="3">
      <selection activeCell="D14" sqref="D1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222751</v>
      </c>
      <c r="D8" s="11"/>
      <c r="E8" s="11">
        <v>639</v>
      </c>
      <c r="F8" s="11">
        <f t="shared" ref="F8:F35" si="5">+D8+C8-E8-B8</f>
        <v>2839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254754</v>
      </c>
      <c r="D13" s="11"/>
      <c r="E13" s="11"/>
      <c r="F13" s="11">
        <f t="shared" si="5"/>
        <v>10442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2082720</v>
      </c>
      <c r="C36" s="11">
        <f>SUM(C5:C35)</f>
        <v>2158657</v>
      </c>
      <c r="D36" s="11">
        <f>SUM(D5:D35)</f>
        <v>0</v>
      </c>
      <c r="E36" s="11">
        <f>SUM(E5:E35)</f>
        <v>84921</v>
      </c>
      <c r="F36" s="11">
        <f>SUM(F5:F35)</f>
        <v>-8984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11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37052</v>
      </c>
      <c r="F41" s="386">
        <f>+F39+F36</f>
        <v>-9370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workbookViewId="3">
      <selection activeCell="D43" sqref="D4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749574</v>
      </c>
      <c r="C39" s="11">
        <f>SUM(C8:C38)</f>
        <v>748270</v>
      </c>
      <c r="D39" s="11">
        <f>SUM(D8:D38)</f>
        <v>-1304</v>
      </c>
      <c r="E39" s="10"/>
      <c r="F39" s="11"/>
      <c r="G39" s="11"/>
      <c r="H39" s="11"/>
    </row>
    <row r="40" spans="1:8" x14ac:dyDescent="0.2">
      <c r="A40" s="26"/>
      <c r="D40" s="75">
        <f>+summary!P11</f>
        <v>3.17</v>
      </c>
      <c r="E40" s="26"/>
      <c r="H40" s="75"/>
    </row>
    <row r="41" spans="1:8" x14ac:dyDescent="0.2">
      <c r="D41" s="197">
        <f>+D40*D39</f>
        <v>-4133.68</v>
      </c>
      <c r="F41" s="253"/>
      <c r="H41" s="197"/>
    </row>
    <row r="42" spans="1:8" x14ac:dyDescent="0.2">
      <c r="A42" s="57">
        <v>37042</v>
      </c>
      <c r="D42" s="423">
        <v>93484</v>
      </c>
      <c r="E42" s="57"/>
      <c r="H42" s="197"/>
    </row>
    <row r="43" spans="1:8" x14ac:dyDescent="0.2">
      <c r="A43" s="57">
        <v>37052</v>
      </c>
      <c r="D43" s="198">
        <f>+D42+D41</f>
        <v>89350.32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C6" sqref="C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21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37051</v>
      </c>
      <c r="G7" s="32"/>
      <c r="H7" s="15"/>
      <c r="I7" s="32"/>
      <c r="J7" s="32"/>
    </row>
    <row r="8" spans="1:10" x14ac:dyDescent="0.2">
      <c r="A8" s="254">
        <v>60874</v>
      </c>
      <c r="B8" s="362">
        <v>1243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6354-9793</f>
        <v>-3439</v>
      </c>
      <c r="G10" s="32"/>
      <c r="H10" s="15"/>
      <c r="I10" s="32"/>
      <c r="J10" s="32"/>
    </row>
    <row r="11" spans="1:10" x14ac:dyDescent="0.2">
      <c r="A11" s="254">
        <v>500251</v>
      </c>
      <c r="B11" s="354">
        <f>2029-2551</f>
        <v>-522</v>
      </c>
      <c r="G11" s="32"/>
      <c r="H11" s="15"/>
      <c r="I11" s="32"/>
      <c r="J11" s="32"/>
    </row>
    <row r="12" spans="1:10" x14ac:dyDescent="0.2">
      <c r="A12" s="254">
        <v>500254</v>
      </c>
      <c r="B12" s="354">
        <f>238-1019</f>
        <v>-781</v>
      </c>
      <c r="G12" s="32"/>
      <c r="H12" s="15"/>
      <c r="I12" s="32"/>
      <c r="J12" s="32"/>
    </row>
    <row r="13" spans="1:10" x14ac:dyDescent="0.2">
      <c r="A13" s="32">
        <v>500255</v>
      </c>
      <c r="B13" s="354">
        <f>576+590+590+590-750-736-740-760</f>
        <v>-640</v>
      </c>
      <c r="G13" s="32"/>
      <c r="H13" s="15"/>
      <c r="I13" s="32"/>
      <c r="J13" s="32"/>
    </row>
    <row r="14" spans="1:10" x14ac:dyDescent="0.2">
      <c r="A14" s="32">
        <v>500262</v>
      </c>
      <c r="B14" s="354">
        <f>557-115</f>
        <v>442</v>
      </c>
      <c r="G14" s="32"/>
      <c r="H14" s="15"/>
      <c r="I14" s="32"/>
      <c r="J14" s="32"/>
    </row>
    <row r="15" spans="1:10" x14ac:dyDescent="0.2">
      <c r="A15" s="292">
        <v>500267</v>
      </c>
      <c r="B15" s="355">
        <f>227814-60000-175072</f>
        <v>-7258</v>
      </c>
      <c r="G15" s="32"/>
      <c r="H15" s="15"/>
      <c r="I15" s="32"/>
      <c r="J15" s="32"/>
    </row>
    <row r="16" spans="1:10" x14ac:dyDescent="0.2">
      <c r="B16" s="14">
        <f>SUM(B8:B15)</f>
        <v>-10955</v>
      </c>
      <c r="G16" s="32"/>
      <c r="H16" s="15"/>
      <c r="I16" s="32"/>
      <c r="J16" s="32"/>
    </row>
    <row r="17" spans="1:10" x14ac:dyDescent="0.2">
      <c r="B17" s="15">
        <f>+B30</f>
        <v>3.17</v>
      </c>
      <c r="C17" s="201">
        <f>+B17*B16</f>
        <v>-34727.35</v>
      </c>
      <c r="G17" s="32"/>
      <c r="H17" s="15"/>
      <c r="I17" s="32"/>
      <c r="J17" s="32"/>
    </row>
    <row r="18" spans="1:10" x14ac:dyDescent="0.2">
      <c r="C18" s="365">
        <f>+C17+C5</f>
        <v>713622.25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21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37046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3.17</v>
      </c>
      <c r="C30" s="201">
        <f>+B30*B29</f>
        <v>0</v>
      </c>
    </row>
    <row r="31" spans="1:10" x14ac:dyDescent="0.2">
      <c r="C31" s="365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21">
        <v>663620.68999999994</v>
      </c>
      <c r="E38" s="15"/>
      <c r="F38" s="269"/>
    </row>
    <row r="40" spans="1:6" x14ac:dyDescent="0.2">
      <c r="A40" s="250">
        <v>37046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772</v>
      </c>
    </row>
    <row r="43" spans="1:6" x14ac:dyDescent="0.2">
      <c r="A43" s="32">
        <v>500392</v>
      </c>
      <c r="B43" s="258">
        <v>307</v>
      </c>
    </row>
    <row r="44" spans="1:6" x14ac:dyDescent="0.2">
      <c r="B44" s="14">
        <f>SUM(B41:B43)</f>
        <v>1079</v>
      </c>
    </row>
    <row r="45" spans="1:6" x14ac:dyDescent="0.2">
      <c r="B45" s="201">
        <f>+B30</f>
        <v>3.17</v>
      </c>
      <c r="C45" s="201">
        <f>+B45*B44</f>
        <v>3420.43</v>
      </c>
    </row>
    <row r="46" spans="1:6" x14ac:dyDescent="0.2">
      <c r="C46" s="365">
        <f>+C45+C38</f>
        <v>667041.12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20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9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9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0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1874092.55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0" workbookViewId="3">
      <selection activeCell="F47" sqref="F47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218575</v>
      </c>
      <c r="E35" s="11">
        <f>SUM(E4:E34)</f>
        <v>210863</v>
      </c>
      <c r="F35" s="11">
        <f>SUM(F4:F34)</f>
        <v>-7712</v>
      </c>
      <c r="G35" s="11"/>
      <c r="H35" s="11"/>
    </row>
    <row r="36" spans="1:8" x14ac:dyDescent="0.2">
      <c r="C36" s="25">
        <f>+C35-B35</f>
        <v>0</v>
      </c>
      <c r="E36" s="25">
        <f>+E35-D35</f>
        <v>-7712</v>
      </c>
      <c r="F36" s="25">
        <f>+E36+C36</f>
        <v>-7712</v>
      </c>
    </row>
    <row r="37" spans="1:8" x14ac:dyDescent="0.2">
      <c r="C37" s="350">
        <f>+summary!P12</f>
        <v>3.51</v>
      </c>
      <c r="E37" s="350">
        <f>+C37</f>
        <v>3.51</v>
      </c>
      <c r="F37" s="350">
        <f>+E37</f>
        <v>3.51</v>
      </c>
    </row>
    <row r="38" spans="1:8" x14ac:dyDescent="0.2">
      <c r="C38" s="138">
        <f>+C37*C36</f>
        <v>0</v>
      </c>
      <c r="E38" s="138">
        <f>+E37*E36</f>
        <v>-27069.119999999999</v>
      </c>
      <c r="F38" s="138">
        <f>+F37*F36</f>
        <v>-27069.119999999999</v>
      </c>
    </row>
    <row r="39" spans="1:8" x14ac:dyDescent="0.2">
      <c r="A39" s="57">
        <v>37042</v>
      </c>
      <c r="B39" s="2" t="s">
        <v>47</v>
      </c>
      <c r="C39" s="415">
        <v>-1023092.89</v>
      </c>
      <c r="D39" s="364"/>
      <c r="E39" s="415">
        <v>-366672.63</v>
      </c>
      <c r="F39" s="363">
        <f>+E39+C39</f>
        <v>-1389765.52</v>
      </c>
      <c r="G39" s="51"/>
      <c r="H39" s="24"/>
    </row>
    <row r="40" spans="1:8" x14ac:dyDescent="0.2">
      <c r="A40" s="57">
        <v>37051</v>
      </c>
      <c r="B40" s="2" t="s">
        <v>47</v>
      </c>
      <c r="C40" s="351">
        <f>+C39+C38</f>
        <v>-1023092.89</v>
      </c>
      <c r="D40" s="260"/>
      <c r="E40" s="351">
        <f>+E39+E38</f>
        <v>-393741.75</v>
      </c>
      <c r="F40" s="351">
        <f>+F39+F38</f>
        <v>-1416834.6400000001</v>
      </c>
      <c r="G40" s="131"/>
      <c r="H40" s="131"/>
    </row>
    <row r="41" spans="1:8" x14ac:dyDescent="0.2">
      <c r="C41" s="380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21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21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1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21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21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9">
        <v>-635539.74</v>
      </c>
      <c r="G49" s="255" t="s">
        <v>132</v>
      </c>
    </row>
    <row r="50" spans="2:7" x14ac:dyDescent="0.2">
      <c r="C50" s="251"/>
      <c r="D50" s="251"/>
      <c r="E50" s="251"/>
      <c r="F50" s="382">
        <f>SUM(F40:F49)</f>
        <v>-2046354.35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1874092.55</v>
      </c>
    </row>
    <row r="54" spans="2:7" x14ac:dyDescent="0.2">
      <c r="F54" s="104">
        <f>+F52+F50</f>
        <v>-172261.80000000005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6" workbookViewId="3">
      <selection activeCell="I43" sqref="I4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2086</v>
      </c>
      <c r="I8" s="11">
        <v>1619</v>
      </c>
      <c r="J8" s="25">
        <f>+C8-B8+E8-D8+G8-F8+I8-H8</f>
        <v>-556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63097</v>
      </c>
      <c r="C39" s="11">
        <f t="shared" si="1"/>
        <v>61630</v>
      </c>
      <c r="D39" s="11">
        <f t="shared" si="1"/>
        <v>0</v>
      </c>
      <c r="E39" s="11">
        <f t="shared" si="1"/>
        <v>0</v>
      </c>
      <c r="F39" s="11">
        <f t="shared" si="1"/>
        <v>8672</v>
      </c>
      <c r="G39" s="11">
        <f t="shared" si="1"/>
        <v>11780</v>
      </c>
      <c r="H39" s="11">
        <f t="shared" si="1"/>
        <v>19152</v>
      </c>
      <c r="I39" s="11">
        <f t="shared" si="1"/>
        <v>16190</v>
      </c>
      <c r="J39" s="25">
        <f t="shared" si="1"/>
        <v>-1321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3.17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-4187.57</v>
      </c>
      <c r="L41"/>
      <c r="R41" s="138"/>
      <c r="X41" s="138"/>
    </row>
    <row r="42" spans="1:24" x14ac:dyDescent="0.2">
      <c r="A42" s="57">
        <v>37042</v>
      </c>
      <c r="C42" s="15"/>
      <c r="J42" s="408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37052</v>
      </c>
      <c r="C43" s="48"/>
      <c r="J43" s="138">
        <f>+J42+J41</f>
        <v>357909.72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C44" sqref="C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145200</v>
      </c>
      <c r="C39" s="11">
        <f>SUM(C8:C38)</f>
        <v>120499</v>
      </c>
      <c r="D39" s="11">
        <f>SUM(D8:D38)</f>
        <v>-3887</v>
      </c>
      <c r="E39" s="11">
        <f>SUM(E8:E38)</f>
        <v>0</v>
      </c>
      <c r="F39" s="11">
        <f>SUM(F8:F38)</f>
        <v>-20814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3.17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-65980.38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6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37053</v>
      </c>
      <c r="C43" s="48"/>
      <c r="D43" s="48"/>
      <c r="E43" s="48"/>
      <c r="F43" s="110">
        <f>+F42+F41</f>
        <v>625869.09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23" sqref="C2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5">
        <v>-12949</v>
      </c>
      <c r="C6" s="80"/>
      <c r="D6" s="80">
        <f t="shared" ref="D6:D14" si="0">+C6-B6</f>
        <v>12949</v>
      </c>
    </row>
    <row r="7" spans="1:8" x14ac:dyDescent="0.2">
      <c r="A7" s="32">
        <v>3531</v>
      </c>
      <c r="B7" s="375">
        <f>-247170-23357</f>
        <v>-270527</v>
      </c>
      <c r="C7" s="80">
        <v>-169301</v>
      </c>
      <c r="D7" s="80">
        <f t="shared" si="0"/>
        <v>101226</v>
      </c>
    </row>
    <row r="8" spans="1:8" x14ac:dyDescent="0.2">
      <c r="A8" s="32">
        <v>60667</v>
      </c>
      <c r="B8" s="375">
        <f>-282423+27473</f>
        <v>-254950</v>
      </c>
      <c r="C8" s="80"/>
      <c r="D8" s="80">
        <f t="shared" si="0"/>
        <v>254950</v>
      </c>
      <c r="H8" s="255"/>
    </row>
    <row r="9" spans="1:8" x14ac:dyDescent="0.2">
      <c r="A9" s="32">
        <v>60749</v>
      </c>
      <c r="B9" s="369">
        <f>137298+46556</f>
        <v>183854</v>
      </c>
      <c r="C9" s="80">
        <v>-186868</v>
      </c>
      <c r="D9" s="80">
        <f t="shared" si="0"/>
        <v>-370722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5">
        <v>-54539</v>
      </c>
      <c r="C11" s="80"/>
      <c r="D11" s="80">
        <f t="shared" si="0"/>
        <v>54539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52942</v>
      </c>
    </row>
    <row r="19" spans="1:5" x14ac:dyDescent="0.2">
      <c r="A19" s="32" t="s">
        <v>86</v>
      </c>
      <c r="B19" s="69"/>
      <c r="C19" s="69"/>
      <c r="D19" s="73">
        <f>+summary!P11</f>
        <v>3.17</v>
      </c>
    </row>
    <row r="20" spans="1:5" x14ac:dyDescent="0.2">
      <c r="B20" s="69"/>
      <c r="C20" s="69"/>
      <c r="D20" s="75">
        <f>+D19*D18</f>
        <v>167826.13999999998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4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37053</v>
      </c>
      <c r="B24" s="69"/>
      <c r="C24" s="69"/>
      <c r="D24" s="384">
        <f>+D22+D20</f>
        <v>1344921.72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G49" sqref="G49"/>
    </sheetView>
  </sheetViews>
  <sheetFormatPr defaultRowHeight="12.75" x14ac:dyDescent="0.2"/>
  <cols>
    <col min="2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340000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-20237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63621</v>
      </c>
      <c r="H13" s="11">
        <v>60760</v>
      </c>
      <c r="I13" s="11">
        <v>57915</v>
      </c>
      <c r="J13" s="11">
        <f t="shared" si="0"/>
        <v>-147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247614</v>
      </c>
      <c r="C14" s="11">
        <v>260374</v>
      </c>
      <c r="D14" s="11">
        <v>44329</v>
      </c>
      <c r="E14" s="11">
        <v>39034</v>
      </c>
      <c r="F14" s="11">
        <v>72486</v>
      </c>
      <c r="G14" s="11">
        <v>79683</v>
      </c>
      <c r="H14" s="11">
        <v>53273</v>
      </c>
      <c r="I14" s="11">
        <v>47378</v>
      </c>
      <c r="J14" s="11">
        <f t="shared" si="0"/>
        <v>8767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276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3637977</v>
      </c>
      <c r="C35" s="11">
        <f t="shared" ref="C35:I35" si="1">SUM(C4:C34)</f>
        <v>3785830</v>
      </c>
      <c r="D35" s="11">
        <f t="shared" si="1"/>
        <v>616767</v>
      </c>
      <c r="E35" s="11">
        <f t="shared" si="1"/>
        <v>585315</v>
      </c>
      <c r="F35" s="11">
        <f t="shared" si="1"/>
        <v>830505</v>
      </c>
      <c r="G35" s="11">
        <f t="shared" si="1"/>
        <v>776143</v>
      </c>
      <c r="H35" s="11">
        <f t="shared" si="1"/>
        <v>823348</v>
      </c>
      <c r="I35" s="11">
        <f t="shared" si="1"/>
        <v>814314</v>
      </c>
      <c r="J35" s="11">
        <f>SUM(J4:J34)</f>
        <v>53005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6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37053</v>
      </c>
      <c r="J40" s="51">
        <f>+J38+J35</f>
        <v>331784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B12" sqref="B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331">
        <v>-21114</v>
      </c>
      <c r="C5" s="90">
        <v>-20165</v>
      </c>
      <c r="D5" s="90">
        <f t="shared" ref="D5:D13" si="0">+C5-B5</f>
        <v>949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1">
        <v>-1139133</v>
      </c>
      <c r="C7" s="90">
        <v>-1048668</v>
      </c>
      <c r="D7" s="90">
        <f t="shared" si="0"/>
        <v>90465</v>
      </c>
      <c r="E7" s="287"/>
      <c r="F7" s="70"/>
    </row>
    <row r="8" spans="1:13" x14ac:dyDescent="0.2">
      <c r="A8" s="87">
        <v>58710</v>
      </c>
      <c r="B8" s="331">
        <v>-16556</v>
      </c>
      <c r="C8" s="90">
        <v>-726</v>
      </c>
      <c r="D8" s="90">
        <f t="shared" si="0"/>
        <v>15830</v>
      </c>
      <c r="E8" s="287"/>
      <c r="F8" s="70"/>
    </row>
    <row r="9" spans="1:13" x14ac:dyDescent="0.2">
      <c r="A9" s="87">
        <v>60921</v>
      </c>
      <c r="B9" s="331">
        <v>733695</v>
      </c>
      <c r="C9" s="90">
        <v>650060</v>
      </c>
      <c r="D9" s="90">
        <f t="shared" si="0"/>
        <v>-83635</v>
      </c>
      <c r="E9" s="287"/>
      <c r="F9" s="70"/>
    </row>
    <row r="10" spans="1:13" x14ac:dyDescent="0.2">
      <c r="A10" s="87">
        <v>78026</v>
      </c>
      <c r="B10" s="331">
        <v>4449</v>
      </c>
      <c r="C10" s="90">
        <v>26266</v>
      </c>
      <c r="D10" s="90">
        <f t="shared" si="0"/>
        <v>21817</v>
      </c>
      <c r="E10" s="287"/>
      <c r="F10" s="285"/>
    </row>
    <row r="11" spans="1:13" x14ac:dyDescent="0.2">
      <c r="A11" s="87">
        <v>500084</v>
      </c>
      <c r="B11" s="331">
        <v>-5860</v>
      </c>
      <c r="C11" s="90">
        <v>-11000</v>
      </c>
      <c r="D11" s="90">
        <f t="shared" si="0"/>
        <v>-5140</v>
      </c>
      <c r="E11" s="288"/>
      <c r="F11" s="285"/>
    </row>
    <row r="12" spans="1:13" x14ac:dyDescent="0.2">
      <c r="A12" s="358">
        <v>500085</v>
      </c>
      <c r="B12" s="90">
        <v>-1916</v>
      </c>
      <c r="C12" s="90"/>
      <c r="D12" s="90">
        <f t="shared" si="0"/>
        <v>1916</v>
      </c>
      <c r="E12" s="287"/>
      <c r="F12" s="285"/>
    </row>
    <row r="13" spans="1:13" x14ac:dyDescent="0.2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42202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3.17</v>
      </c>
      <c r="E18" s="289"/>
      <c r="F18" s="285"/>
    </row>
    <row r="19" spans="1:7" x14ac:dyDescent="0.2">
      <c r="A19" s="87"/>
      <c r="B19" s="88"/>
      <c r="C19" s="88"/>
      <c r="D19" s="96">
        <f>+D18*D17</f>
        <v>133780.34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8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37053</v>
      </c>
      <c r="B23" s="88"/>
      <c r="C23" s="88"/>
      <c r="D23" s="359">
        <f>+D21+D19</f>
        <v>731359.04999999993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E39" sqref="E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61906</v>
      </c>
      <c r="D4" s="90">
        <v>-749</v>
      </c>
      <c r="E4" s="90"/>
      <c r="F4" s="90">
        <f>+E4-D4+C4-B4</f>
        <v>6283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-6833</v>
      </c>
      <c r="E11" s="90">
        <v>-29491</v>
      </c>
      <c r="F11" s="90">
        <f t="shared" si="0"/>
        <v>-20712</v>
      </c>
    </row>
    <row r="12" spans="1:6" x14ac:dyDescent="0.2">
      <c r="A12">
        <v>10</v>
      </c>
      <c r="B12" s="90">
        <v>55568</v>
      </c>
      <c r="C12" s="90">
        <v>53798</v>
      </c>
      <c r="D12" s="90">
        <v>-22643</v>
      </c>
      <c r="E12" s="90">
        <v>-29491</v>
      </c>
      <c r="F12" s="90">
        <f t="shared" si="0"/>
        <v>-8618</v>
      </c>
    </row>
    <row r="13" spans="1:6" x14ac:dyDescent="0.2">
      <c r="A13">
        <v>11</v>
      </c>
      <c r="B13" s="90">
        <v>56114</v>
      </c>
      <c r="C13" s="90">
        <v>54900</v>
      </c>
      <c r="D13" s="90">
        <v>-25075</v>
      </c>
      <c r="E13" s="90">
        <v>-29491</v>
      </c>
      <c r="F13" s="90">
        <f t="shared" si="0"/>
        <v>-5630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78"/>
      <c r="C20" s="378"/>
      <c r="D20" s="14"/>
      <c r="E20" s="14"/>
      <c r="F20" s="90">
        <f t="shared" si="0"/>
        <v>0</v>
      </c>
    </row>
    <row r="21" spans="1:6" x14ac:dyDescent="0.2">
      <c r="A21">
        <v>19</v>
      </c>
      <c r="B21" s="378"/>
      <c r="C21" s="378"/>
      <c r="D21" s="14"/>
      <c r="E21" s="14"/>
      <c r="F21" s="90">
        <f t="shared" si="0"/>
        <v>0</v>
      </c>
    </row>
    <row r="22" spans="1:6" x14ac:dyDescent="0.2">
      <c r="A22">
        <v>20</v>
      </c>
      <c r="B22" s="378"/>
      <c r="C22" s="378"/>
      <c r="D22" s="14"/>
      <c r="E22" s="14"/>
      <c r="F22" s="90">
        <f t="shared" si="0"/>
        <v>0</v>
      </c>
    </row>
    <row r="23" spans="1:6" x14ac:dyDescent="0.2">
      <c r="A23">
        <v>21</v>
      </c>
      <c r="B23" s="378"/>
      <c r="C23" s="378"/>
      <c r="D23" s="14"/>
      <c r="E23" s="14"/>
      <c r="F23" s="90">
        <f t="shared" si="0"/>
        <v>0</v>
      </c>
    </row>
    <row r="24" spans="1:6" x14ac:dyDescent="0.2">
      <c r="A24">
        <v>22</v>
      </c>
      <c r="B24" s="378"/>
      <c r="C24" s="378"/>
      <c r="D24" s="14"/>
      <c r="E24" s="14"/>
      <c r="F24" s="90">
        <f t="shared" si="0"/>
        <v>0</v>
      </c>
    </row>
    <row r="25" spans="1:6" x14ac:dyDescent="0.2">
      <c r="A25">
        <v>23</v>
      </c>
      <c r="B25" s="378"/>
      <c r="C25" s="378"/>
      <c r="D25" s="14"/>
      <c r="E25" s="14"/>
      <c r="F25" s="90">
        <f t="shared" si="0"/>
        <v>0</v>
      </c>
    </row>
    <row r="26" spans="1:6" x14ac:dyDescent="0.2">
      <c r="A26">
        <v>24</v>
      </c>
      <c r="B26" s="378"/>
      <c r="C26" s="378"/>
      <c r="D26" s="14"/>
      <c r="E26" s="14"/>
      <c r="F26" s="90">
        <f t="shared" si="0"/>
        <v>0</v>
      </c>
    </row>
    <row r="27" spans="1:6" x14ac:dyDescent="0.2">
      <c r="A27">
        <v>25</v>
      </c>
      <c r="B27" s="378"/>
      <c r="C27" s="378"/>
      <c r="D27" s="14"/>
      <c r="E27" s="14"/>
      <c r="F27" s="90">
        <f t="shared" si="0"/>
        <v>0</v>
      </c>
    </row>
    <row r="28" spans="1:6" x14ac:dyDescent="0.2">
      <c r="A28">
        <v>26</v>
      </c>
      <c r="B28" s="378"/>
      <c r="C28" s="378"/>
      <c r="D28" s="14"/>
      <c r="E28" s="14"/>
      <c r="F28" s="90">
        <f t="shared" si="0"/>
        <v>0</v>
      </c>
    </row>
    <row r="29" spans="1:6" x14ac:dyDescent="0.2">
      <c r="A29">
        <v>27</v>
      </c>
      <c r="B29" s="378"/>
      <c r="C29" s="378"/>
      <c r="D29" s="14"/>
      <c r="E29" s="14"/>
      <c r="F29" s="90">
        <f t="shared" si="0"/>
        <v>0</v>
      </c>
    </row>
    <row r="30" spans="1:6" x14ac:dyDescent="0.2">
      <c r="A30">
        <v>28</v>
      </c>
      <c r="B30" s="378"/>
      <c r="C30" s="378"/>
      <c r="D30" s="14"/>
      <c r="E30" s="14"/>
      <c r="F30" s="90">
        <f t="shared" si="0"/>
        <v>0</v>
      </c>
    </row>
    <row r="31" spans="1:6" x14ac:dyDescent="0.2">
      <c r="A31">
        <v>29</v>
      </c>
      <c r="B31" s="378"/>
      <c r="C31" s="378"/>
      <c r="D31" s="14"/>
      <c r="E31" s="14"/>
      <c r="F31" s="90">
        <f t="shared" si="0"/>
        <v>0</v>
      </c>
    </row>
    <row r="32" spans="1:6" x14ac:dyDescent="0.2">
      <c r="A32">
        <v>30</v>
      </c>
      <c r="B32" s="378"/>
      <c r="C32" s="378"/>
      <c r="D32" s="14"/>
      <c r="E32" s="14"/>
      <c r="F32" s="90">
        <f t="shared" si="0"/>
        <v>0</v>
      </c>
    </row>
    <row r="33" spans="1:6" x14ac:dyDescent="0.2">
      <c r="A33">
        <v>31</v>
      </c>
      <c r="B33" s="378"/>
      <c r="C33" s="378"/>
      <c r="D33" s="14"/>
      <c r="E33" s="14"/>
      <c r="F33" s="90">
        <f t="shared" si="0"/>
        <v>0</v>
      </c>
    </row>
    <row r="34" spans="1:6" x14ac:dyDescent="0.2">
      <c r="B34" s="299">
        <f>SUM(B3:B33)</f>
        <v>652808</v>
      </c>
      <c r="C34" s="299">
        <f>SUM(C3:C33)</f>
        <v>658559</v>
      </c>
      <c r="D34" s="14">
        <f>SUM(D3:D33)</f>
        <v>-55312</v>
      </c>
      <c r="E34" s="14">
        <f>SUM(E3:E33)</f>
        <v>-88473</v>
      </c>
      <c r="F34" s="14">
        <f>SUM(F3:F33)</f>
        <v>-27410</v>
      </c>
    </row>
    <row r="35" spans="1:6" x14ac:dyDescent="0.2">
      <c r="D35" s="14"/>
      <c r="E35" s="14"/>
      <c r="F35" s="14"/>
    </row>
    <row r="36" spans="1:6" x14ac:dyDescent="0.2">
      <c r="F36" s="383"/>
    </row>
    <row r="37" spans="1:6" x14ac:dyDescent="0.2">
      <c r="A37" s="264">
        <v>37042</v>
      </c>
      <c r="B37" s="14"/>
      <c r="C37" s="14"/>
      <c r="D37" s="14"/>
      <c r="E37" s="14"/>
      <c r="F37" s="407">
        <f>37616+54911</f>
        <v>92527</v>
      </c>
    </row>
    <row r="38" spans="1:6" x14ac:dyDescent="0.2">
      <c r="A38" s="264">
        <v>37053</v>
      </c>
      <c r="B38" s="14"/>
      <c r="C38" s="14"/>
      <c r="D38" s="14"/>
      <c r="E38" s="14"/>
      <c r="F38" s="150">
        <f>+F37+F34</f>
        <v>65117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workbookViewId="3">
      <selection activeCell="C15" sqref="C15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326000</v>
      </c>
      <c r="C35" s="11">
        <f>SUM(C4:C34)</f>
        <v>326983</v>
      </c>
      <c r="D35" s="11">
        <f>SUM(D4:D34)</f>
        <v>983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37053</v>
      </c>
      <c r="D40" s="36">
        <f>+D38+D35</f>
        <v>4933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6" workbookViewId="3">
      <selection activeCell="G40" sqref="G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263352</v>
      </c>
      <c r="C35" s="11">
        <f t="shared" ref="C35:I35" si="1">SUM(C4:C34)</f>
        <v>265911</v>
      </c>
      <c r="D35" s="11">
        <f t="shared" si="1"/>
        <v>101478</v>
      </c>
      <c r="E35" s="11">
        <f t="shared" si="1"/>
        <v>97537</v>
      </c>
      <c r="F35" s="11">
        <f t="shared" si="1"/>
        <v>76219</v>
      </c>
      <c r="G35" s="11">
        <f t="shared" si="1"/>
        <v>68000</v>
      </c>
      <c r="H35" s="11">
        <f t="shared" si="1"/>
        <v>666</v>
      </c>
      <c r="I35" s="11">
        <f t="shared" si="1"/>
        <v>0</v>
      </c>
      <c r="J35" s="11">
        <f>SUM(J4:J34)</f>
        <v>-10267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3.17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-32546.39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5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3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37053</v>
      </c>
      <c r="J41" s="363">
        <f>+J39+J37</f>
        <v>376908.6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5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567285</v>
      </c>
      <c r="E37" s="24">
        <f>SUM(E6:E36)</f>
        <v>578345</v>
      </c>
      <c r="F37" s="24">
        <f>SUM(F6:F36)</f>
        <v>11060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3.17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35060.199999999997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10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37053</v>
      </c>
      <c r="E41" s="14"/>
      <c r="F41" s="104">
        <f>+F40+F39</f>
        <v>362724.49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workbookViewId="3">
      <selection activeCell="D19" sqref="D1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8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107</v>
      </c>
      <c r="E39" s="11">
        <f>SUM(E8:E38)</f>
        <v>40</v>
      </c>
      <c r="F39" s="25">
        <f>SUM(F8:F38)</f>
        <v>-67</v>
      </c>
    </row>
    <row r="40" spans="1:6" x14ac:dyDescent="0.2">
      <c r="A40" s="26"/>
      <c r="C40" s="14"/>
      <c r="F40" s="261">
        <f>+summary!P11</f>
        <v>3.17</v>
      </c>
    </row>
    <row r="41" spans="1:6" x14ac:dyDescent="0.2">
      <c r="F41" s="138">
        <f>+F40*F39</f>
        <v>-212.39</v>
      </c>
    </row>
    <row r="42" spans="1:6" x14ac:dyDescent="0.2">
      <c r="A42" s="57">
        <v>37042</v>
      </c>
      <c r="C42" s="15"/>
      <c r="F42" s="408">
        <v>-18571.37</v>
      </c>
    </row>
    <row r="43" spans="1:6" x14ac:dyDescent="0.2">
      <c r="A43" s="57">
        <v>37053</v>
      </c>
      <c r="C43" s="48"/>
      <c r="F43" s="138">
        <f>+F42+F41</f>
        <v>-18783.759999999998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3.17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8">
        <v>326755</v>
      </c>
    </row>
    <row r="43" spans="1:4" x14ac:dyDescent="0.2">
      <c r="A43" s="57">
        <v>37053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41" sqref="C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-60430</v>
      </c>
      <c r="C11" s="11">
        <v>-68633</v>
      </c>
      <c r="D11" s="25">
        <f t="shared" si="0"/>
        <v>-8203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-557203</v>
      </c>
      <c r="C37" s="11">
        <f>SUM(C6:C36)</f>
        <v>-555951</v>
      </c>
      <c r="D37" s="25">
        <f>SUM(D6:D36)</f>
        <v>1252</v>
      </c>
    </row>
    <row r="38" spans="1:4" x14ac:dyDescent="0.2">
      <c r="A38" s="26"/>
      <c r="C38" s="14"/>
      <c r="D38" s="376">
        <f>+summary!P11</f>
        <v>3.17</v>
      </c>
    </row>
    <row r="39" spans="1:4" x14ac:dyDescent="0.2">
      <c r="D39" s="138">
        <f>+D38*D37</f>
        <v>3968.8399999999997</v>
      </c>
    </row>
    <row r="40" spans="1:4" x14ac:dyDescent="0.2">
      <c r="A40" s="57">
        <v>37042</v>
      </c>
      <c r="C40" s="15"/>
      <c r="D40" s="408">
        <v>-357096.85</v>
      </c>
    </row>
    <row r="41" spans="1:4" x14ac:dyDescent="0.2">
      <c r="A41" s="57">
        <v>37053</v>
      </c>
      <c r="C41" s="48"/>
      <c r="D41" s="138">
        <f>+D40+D39</f>
        <v>-353128.00999999995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workbookViewId="3">
      <selection activeCell="C16" sqref="C16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33000</v>
      </c>
      <c r="C15" s="11">
        <v>37999</v>
      </c>
      <c r="D15" s="25">
        <f t="shared" si="0"/>
        <v>4999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344109</v>
      </c>
      <c r="C37" s="11">
        <f>SUM(C6:C36)</f>
        <v>357998</v>
      </c>
      <c r="D37" s="25">
        <f>SUM(D6:D36)</f>
        <v>13889</v>
      </c>
    </row>
    <row r="38" spans="1:4" x14ac:dyDescent="0.2">
      <c r="A38" s="26"/>
      <c r="C38" s="14"/>
      <c r="D38" s="376">
        <f>+summary!P12</f>
        <v>3.51</v>
      </c>
    </row>
    <row r="39" spans="1:4" x14ac:dyDescent="0.2">
      <c r="D39" s="138">
        <f>+D38*D37</f>
        <v>48750.39</v>
      </c>
    </row>
    <row r="40" spans="1:4" x14ac:dyDescent="0.2">
      <c r="A40" s="57">
        <v>37042</v>
      </c>
      <c r="C40" s="15"/>
      <c r="D40" s="408">
        <v>-112130.12</v>
      </c>
    </row>
    <row r="41" spans="1:4" x14ac:dyDescent="0.2">
      <c r="A41" s="57">
        <v>37052</v>
      </c>
      <c r="C41" s="48"/>
      <c r="D41" s="138">
        <f>+D40+D39</f>
        <v>-63379.729999999996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32498</v>
      </c>
      <c r="D14" s="25">
        <f t="shared" si="0"/>
        <v>-8564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561909</v>
      </c>
      <c r="C37" s="11">
        <f>SUM(C6:C36)</f>
        <v>546388</v>
      </c>
      <c r="D37" s="25">
        <f>SUM(D6:D36)</f>
        <v>-15521</v>
      </c>
    </row>
    <row r="38" spans="1:4" x14ac:dyDescent="0.2">
      <c r="A38" s="26"/>
      <c r="C38" s="14"/>
      <c r="D38" s="376">
        <f>+summary!P11</f>
        <v>3.17</v>
      </c>
    </row>
    <row r="39" spans="1:4" x14ac:dyDescent="0.2">
      <c r="D39" s="138">
        <f>+D38*D37</f>
        <v>-49201.57</v>
      </c>
    </row>
    <row r="40" spans="1:4" x14ac:dyDescent="0.2">
      <c r="A40" s="57">
        <v>37042</v>
      </c>
      <c r="C40" s="15"/>
      <c r="D40" s="408">
        <v>817965.6</v>
      </c>
    </row>
    <row r="41" spans="1:4" x14ac:dyDescent="0.2">
      <c r="A41" s="57">
        <v>37053</v>
      </c>
      <c r="C41" s="48"/>
      <c r="D41" s="138">
        <f>+D40+D39</f>
        <v>768764.03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workbookViewId="3">
      <selection activeCell="B39" sqref="B39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129461</v>
      </c>
      <c r="C36" s="44">
        <f>SUM(C5:C35)</f>
        <v>0</v>
      </c>
      <c r="D36" s="43">
        <f>SUM(D5:D35)</f>
        <v>0</v>
      </c>
      <c r="E36" s="44">
        <f>SUM(E5:E35)</f>
        <v>129877</v>
      </c>
      <c r="F36" s="11">
        <f>SUM(F5:F35)</f>
        <v>-416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129461</v>
      </c>
      <c r="D37" s="24"/>
      <c r="E37" s="24">
        <f>+D36-E36</f>
        <v>-129877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37052</v>
      </c>
      <c r="C42" s="14"/>
      <c r="D42" s="50"/>
      <c r="E42" s="50"/>
      <c r="F42" s="51">
        <f>+F41+F36</f>
        <v>61479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9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-21709</v>
      </c>
      <c r="C37" s="11">
        <f>SUM(C6:C36)</f>
        <v>-30234</v>
      </c>
      <c r="D37" s="25">
        <f>SUM(D6:D36)</f>
        <v>-8525</v>
      </c>
    </row>
    <row r="38" spans="1:4" x14ac:dyDescent="0.2">
      <c r="A38" s="26"/>
      <c r="C38" s="14"/>
      <c r="D38" s="376">
        <f>+summary!P11</f>
        <v>3.17</v>
      </c>
    </row>
    <row r="39" spans="1:4" x14ac:dyDescent="0.2">
      <c r="D39" s="138">
        <f>+D38*D37</f>
        <v>-27024.25</v>
      </c>
    </row>
    <row r="40" spans="1:4" x14ac:dyDescent="0.2">
      <c r="A40" s="57">
        <v>37042</v>
      </c>
      <c r="C40" s="15"/>
      <c r="D40" s="408">
        <v>-304459</v>
      </c>
    </row>
    <row r="41" spans="1:4" x14ac:dyDescent="0.2">
      <c r="A41" s="57">
        <v>37053</v>
      </c>
      <c r="C41" s="48"/>
      <c r="D41" s="138">
        <f>+D40+D39</f>
        <v>-331483.25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9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9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-19199</v>
      </c>
      <c r="D15" s="25">
        <f t="shared" si="0"/>
        <v>-2000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-216455</v>
      </c>
      <c r="C37" s="11">
        <f>SUM(C6:C36)</f>
        <v>-162695</v>
      </c>
      <c r="D37" s="25">
        <f>SUM(D6:D36)</f>
        <v>53760</v>
      </c>
    </row>
    <row r="38" spans="1:4" x14ac:dyDescent="0.2">
      <c r="A38" s="26"/>
      <c r="C38" s="14"/>
      <c r="D38" s="376">
        <f>+summary!P11</f>
        <v>3.17</v>
      </c>
    </row>
    <row r="39" spans="1:4" x14ac:dyDescent="0.2">
      <c r="D39" s="138">
        <f>+D38*D37</f>
        <v>170419.19999999998</v>
      </c>
    </row>
    <row r="40" spans="1:4" x14ac:dyDescent="0.2">
      <c r="A40" s="57">
        <v>37042</v>
      </c>
      <c r="C40" s="15"/>
      <c r="D40" s="408">
        <v>57398.07</v>
      </c>
    </row>
    <row r="41" spans="1:4" x14ac:dyDescent="0.2">
      <c r="A41" s="57">
        <v>37053</v>
      </c>
      <c r="C41" s="48"/>
      <c r="D41" s="138">
        <f>+D40+D39</f>
        <v>227817.27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D16" sqref="D1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3">
        <v>-1</v>
      </c>
      <c r="C5" s="90">
        <v>-3800</v>
      </c>
      <c r="D5" s="90">
        <f>+C5-B5</f>
        <v>-3799</v>
      </c>
      <c r="E5" s="287"/>
      <c r="F5" s="285"/>
    </row>
    <row r="6" spans="1:13" x14ac:dyDescent="0.2">
      <c r="A6" s="87">
        <v>500046</v>
      </c>
      <c r="B6" s="90"/>
      <c r="C6" s="90">
        <v>-266</v>
      </c>
      <c r="D6" s="90">
        <f t="shared" ref="D6:D11" si="0">+C6-B6</f>
        <v>-266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>
        <v>-167</v>
      </c>
      <c r="D8" s="90">
        <f t="shared" si="0"/>
        <v>-167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7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-4232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3.17</v>
      </c>
      <c r="E13" s="289"/>
      <c r="F13" s="285"/>
    </row>
    <row r="14" spans="1:13" x14ac:dyDescent="0.2">
      <c r="A14" s="87"/>
      <c r="B14" s="88"/>
      <c r="C14" s="88"/>
      <c r="D14" s="96">
        <f>+D13*D12</f>
        <v>-13415.44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8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37051</v>
      </c>
      <c r="B18" s="88"/>
      <c r="C18" s="88"/>
      <c r="D18" s="359">
        <f>+D16+D14</f>
        <v>-857358.46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6" workbookViewId="3">
      <selection activeCell="C43" sqref="C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148998</v>
      </c>
      <c r="C17" s="11">
        <v>147884</v>
      </c>
      <c r="D17" s="25">
        <f t="shared" si="0"/>
        <v>-1114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1533972</v>
      </c>
      <c r="C38" s="11">
        <f>SUM(C7:C37)</f>
        <v>1545856</v>
      </c>
      <c r="D38" s="11">
        <f>SUM(D7:D37)</f>
        <v>11884</v>
      </c>
    </row>
    <row r="39" spans="1:4" x14ac:dyDescent="0.2">
      <c r="A39" s="26"/>
      <c r="C39" s="14"/>
      <c r="D39" s="106">
        <f>+summary!P10</f>
        <v>2.4900000000000002</v>
      </c>
    </row>
    <row r="40" spans="1:4" x14ac:dyDescent="0.2">
      <c r="D40" s="138">
        <f>+D39*D38</f>
        <v>29591.160000000003</v>
      </c>
    </row>
    <row r="41" spans="1:4" x14ac:dyDescent="0.2">
      <c r="A41" s="57">
        <v>37042</v>
      </c>
      <c r="C41" s="15"/>
      <c r="D41" s="419">
        <v>0</v>
      </c>
    </row>
    <row r="42" spans="1:4" x14ac:dyDescent="0.2">
      <c r="A42" s="57">
        <v>37053</v>
      </c>
      <c r="D42" s="363">
        <f>+D41+D40</f>
        <v>29591.160000000003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1532169</v>
      </c>
      <c r="C35" s="11">
        <f>SUM(C4:C34)</f>
        <v>1540709</v>
      </c>
      <c r="D35" s="11">
        <f>SUM(D4:D34)</f>
        <v>8540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37053</v>
      </c>
      <c r="D40" s="24">
        <f>+D38+D35</f>
        <v>-1505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8404863</v>
      </c>
      <c r="C35" s="11">
        <f>SUM(C4:C34)</f>
        <v>8393585</v>
      </c>
      <c r="D35" s="11">
        <f>SUM(D4:D34)</f>
        <v>190000</v>
      </c>
      <c r="E35" s="11">
        <f>SUM(E4:E34)</f>
        <v>193330</v>
      </c>
      <c r="F35" s="11">
        <f>SUM(F4:F34)</f>
        <v>-7948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7">
        <v>-21565</v>
      </c>
    </row>
    <row r="39" spans="1:45" x14ac:dyDescent="0.2">
      <c r="A39" s="2"/>
      <c r="F39" s="24"/>
    </row>
    <row r="40" spans="1:45" x14ac:dyDescent="0.2">
      <c r="A40" s="57">
        <v>37053</v>
      </c>
      <c r="F40" s="51">
        <f>+F38+F35</f>
        <v>-29513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11" sqref="E1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08">
        <v>12000</v>
      </c>
      <c r="E11" s="11">
        <v>40816</v>
      </c>
      <c r="F11" s="11"/>
      <c r="G11" s="11"/>
      <c r="H11" s="11">
        <f t="shared" si="0"/>
        <v>-509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129455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1010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1501617</v>
      </c>
      <c r="C35" s="44">
        <f t="shared" si="1"/>
        <v>1223939</v>
      </c>
      <c r="D35" s="11">
        <f t="shared" si="1"/>
        <v>366811</v>
      </c>
      <c r="E35" s="44">
        <f t="shared" si="1"/>
        <v>644093</v>
      </c>
      <c r="F35" s="11">
        <f t="shared" si="1"/>
        <v>0</v>
      </c>
      <c r="G35" s="11">
        <f t="shared" si="1"/>
        <v>0</v>
      </c>
      <c r="H35" s="11">
        <f t="shared" si="1"/>
        <v>396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3.17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1255.32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8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37053</v>
      </c>
      <c r="F39" s="47"/>
      <c r="G39" s="47"/>
      <c r="H39" s="137">
        <f>+H38+H37</f>
        <v>238768.36000000002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workbookViewId="3">
      <selection activeCell="E13" sqref="E13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292576</v>
      </c>
      <c r="F9" s="11"/>
      <c r="G9" s="11"/>
      <c r="H9" s="24">
        <f t="shared" si="0"/>
        <v>-2602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08">
        <v>351416</v>
      </c>
      <c r="E12" s="11">
        <v>351416</v>
      </c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328305</v>
      </c>
      <c r="F13" s="11"/>
      <c r="G13" s="11"/>
      <c r="H13" s="24">
        <f t="shared" si="0"/>
        <v>-12333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331293</v>
      </c>
      <c r="F14" s="11"/>
      <c r="G14" s="11"/>
      <c r="H14" s="24">
        <f t="shared" si="0"/>
        <v>-29273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>
        <f>SUM(H20:H34)</f>
        <v>0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3510610</v>
      </c>
      <c r="E36" s="11">
        <f t="shared" si="15"/>
        <v>3571184</v>
      </c>
      <c r="F36" s="11">
        <f t="shared" si="15"/>
        <v>0</v>
      </c>
      <c r="G36" s="11">
        <f t="shared" si="15"/>
        <v>0</v>
      </c>
      <c r="H36" s="11">
        <f t="shared" si="15"/>
        <v>-60574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12">
        <v>47545</v>
      </c>
      <c r="D37" s="364"/>
      <c r="E37" s="413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37053</v>
      </c>
      <c r="B38" s="2" t="s">
        <v>47</v>
      </c>
      <c r="C38" s="131">
        <f>+C37+C36-B36</f>
        <v>47545</v>
      </c>
      <c r="D38" s="260"/>
      <c r="E38" s="131">
        <f>+E37+D36-E36</f>
        <v>240386</v>
      </c>
      <c r="F38" s="260"/>
      <c r="G38" s="131"/>
      <c r="H38" s="131">
        <f>+H37+H36</f>
        <v>287931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4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workbookViewId="3">
      <selection activeCell="C17" sqref="C17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1261094</v>
      </c>
      <c r="C37" s="11">
        <f>SUM(C6:C36)</f>
        <v>1272536</v>
      </c>
      <c r="D37" s="11">
        <f>SUM(D6:D36)</f>
        <v>11442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37053</v>
      </c>
      <c r="C40" s="48"/>
      <c r="D40" s="25">
        <f>+D39+D37</f>
        <v>106297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workbookViewId="3">
      <selection activeCell="F11" sqref="F1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162434</v>
      </c>
      <c r="C18" s="11">
        <v>165625</v>
      </c>
      <c r="D18" s="11">
        <v>13726</v>
      </c>
      <c r="E18" s="11">
        <v>13835</v>
      </c>
      <c r="F18" s="11">
        <f t="shared" si="5"/>
        <v>3300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/>
      <c r="C25" s="11"/>
      <c r="D25" s="11"/>
      <c r="E25" s="11"/>
      <c r="F25" s="11">
        <f t="shared" si="5"/>
        <v>0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1783014</v>
      </c>
      <c r="C39" s="150">
        <f>SUM(C8:C38)</f>
        <v>1794782</v>
      </c>
      <c r="D39" s="150">
        <f>SUM(D8:D38)</f>
        <v>139531</v>
      </c>
      <c r="E39" s="150">
        <f>SUM(E8:E38)</f>
        <v>145055</v>
      </c>
      <c r="F39" s="11">
        <f t="shared" si="5"/>
        <v>17292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2.4900000000000002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43057.08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22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37053</v>
      </c>
      <c r="C43" s="142"/>
      <c r="D43" s="142"/>
      <c r="E43" s="142"/>
      <c r="F43" s="252">
        <f>+F42+F41</f>
        <v>602254.64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2001-06-12T21:32:15Z</cp:lastPrinted>
  <dcterms:created xsi:type="dcterms:W3CDTF">2000-03-28T16:52:23Z</dcterms:created>
  <dcterms:modified xsi:type="dcterms:W3CDTF">2014-09-03T14:36:17Z</dcterms:modified>
</cp:coreProperties>
</file>