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firstSheet="1" activeTab="1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8" i="8" s="1"/>
  <c r="B13" i="8"/>
  <c r="D13" i="8"/>
  <c r="D14" i="8"/>
  <c r="D15" i="8"/>
  <c r="D16" i="8"/>
  <c r="D17" i="8"/>
  <c r="D19" i="8"/>
  <c r="D6" i="12"/>
  <c r="D7" i="12"/>
  <c r="D37" i="12" s="1"/>
  <c r="D40" i="12" s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3" i="80"/>
  <c r="J3" i="80"/>
  <c r="H4" i="80"/>
  <c r="H5" i="80"/>
  <c r="D8" i="80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32" i="80"/>
  <c r="D33" i="80"/>
  <c r="D34" i="80"/>
  <c r="D35" i="80"/>
  <c r="D36" i="80"/>
  <c r="D37" i="80"/>
  <c r="D38" i="80"/>
  <c r="D39" i="80"/>
  <c r="D40" i="80"/>
  <c r="D41" i="80"/>
  <c r="D42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8" i="72"/>
  <c r="D9" i="72"/>
  <c r="D10" i="72"/>
  <c r="D39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6" i="78"/>
  <c r="D7" i="78"/>
  <c r="D8" i="78"/>
  <c r="D9" i="78"/>
  <c r="D10" i="78"/>
  <c r="D11" i="78"/>
  <c r="D1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C37" i="13"/>
  <c r="E37" i="13" s="1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C36" i="73" s="1"/>
  <c r="D35" i="73"/>
  <c r="E35" i="73"/>
  <c r="F35" i="73"/>
  <c r="G35" i="73"/>
  <c r="H39" i="73"/>
  <c r="B10" i="20"/>
  <c r="B16" i="20" s="1"/>
  <c r="B11" i="20"/>
  <c r="B12" i="20"/>
  <c r="B13" i="20"/>
  <c r="B14" i="20"/>
  <c r="B15" i="20"/>
  <c r="B29" i="20"/>
  <c r="B44" i="20"/>
  <c r="G64" i="20"/>
  <c r="H64" i="20"/>
  <c r="H5" i="11"/>
  <c r="H6" i="11"/>
  <c r="H7" i="11"/>
  <c r="H8" i="11"/>
  <c r="H36" i="11" s="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8" i="11" s="1"/>
  <c r="F36" i="11"/>
  <c r="G36" i="11"/>
  <c r="AC36" i="11"/>
  <c r="AE36" i="11"/>
  <c r="AF36" i="11" s="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/>
  <c r="D69" i="70"/>
  <c r="D75" i="70"/>
  <c r="D6" i="75"/>
  <c r="D7" i="75"/>
  <c r="D8" i="75"/>
  <c r="D37" i="75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F5" i="5"/>
  <c r="F36" i="5" s="1"/>
  <c r="F42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E37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18" i="65" s="1"/>
  <c r="D9" i="65"/>
  <c r="D10" i="65"/>
  <c r="D11" i="65"/>
  <c r="D12" i="65"/>
  <c r="D13" i="65"/>
  <c r="D14" i="65"/>
  <c r="D19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Z5" i="7"/>
  <c r="AD5" i="7"/>
  <c r="AF5" i="7" s="1"/>
  <c r="AH5" i="7" s="1"/>
  <c r="AG5" i="7"/>
  <c r="AG6" i="7" s="1"/>
  <c r="F6" i="7"/>
  <c r="Z6" i="7"/>
  <c r="AD6" i="7" s="1"/>
  <c r="AF6" i="7" s="1"/>
  <c r="F7" i="7"/>
  <c r="Z7" i="7"/>
  <c r="AD7" i="7" s="1"/>
  <c r="AF7" i="7" s="1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/>
  <c r="AF16" i="7"/>
  <c r="F17" i="7"/>
  <c r="Z17" i="7"/>
  <c r="AD17" i="7"/>
  <c r="AF17" i="7"/>
  <c r="F18" i="7"/>
  <c r="AI18" i="7"/>
  <c r="F19" i="7"/>
  <c r="Z19" i="7"/>
  <c r="AD19" i="7"/>
  <c r="AG19" i="7" s="1"/>
  <c r="AG20" i="7" s="1"/>
  <c r="AG21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C28" i="63" s="1"/>
  <c r="B28" i="63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6" i="64"/>
  <c r="D7" i="64"/>
  <c r="D8" i="64"/>
  <c r="D9" i="64"/>
  <c r="B10" i="64"/>
  <c r="D10" i="64"/>
  <c r="D11" i="64"/>
  <c r="D12" i="64"/>
  <c r="D13" i="64"/>
  <c r="F8" i="15"/>
  <c r="AF8" i="15"/>
  <c r="AJ8" i="15"/>
  <c r="AN8" i="15"/>
  <c r="AR8" i="15"/>
  <c r="AV8" i="15"/>
  <c r="F9" i="15"/>
  <c r="AF9" i="15"/>
  <c r="AJ9" i="15"/>
  <c r="AN9" i="15"/>
  <c r="AN39" i="15" s="1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F41" i="15" s="1"/>
  <c r="F43" i="15" s="1"/>
  <c r="AD39" i="15"/>
  <c r="AE39" i="15"/>
  <c r="AH39" i="15"/>
  <c r="AL39" i="15"/>
  <c r="AM39" i="15"/>
  <c r="AP39" i="15"/>
  <c r="AT39" i="15"/>
  <c r="F40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33" i="15" s="1"/>
  <c r="C133" i="15" s="1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F169" i="15"/>
  <c r="F170" i="15"/>
  <c r="F171" i="15"/>
  <c r="F172" i="15"/>
  <c r="F173" i="15"/>
  <c r="B174" i="15"/>
  <c r="B176" i="15" s="1"/>
  <c r="C174" i="15"/>
  <c r="C175" i="15"/>
  <c r="C176" i="15" s="1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35" i="6" s="1"/>
  <c r="F40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H3" i="63"/>
  <c r="I3" i="63"/>
  <c r="H4" i="63"/>
  <c r="F40" i="71" s="1"/>
  <c r="H5" i="63"/>
  <c r="D38" i="7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 s="1"/>
  <c r="D75" i="2" s="1"/>
  <c r="C38" i="80" l="1"/>
  <c r="B38" i="80" s="1"/>
  <c r="C26" i="63"/>
  <c r="B26" i="63" s="1"/>
  <c r="B9" i="80"/>
  <c r="C9" i="80" s="1"/>
  <c r="B10" i="63"/>
  <c r="C10" i="63" s="1"/>
  <c r="AN45" i="15"/>
  <c r="B102" i="15"/>
  <c r="K114" i="15"/>
  <c r="AR39" i="15"/>
  <c r="AR45" i="15" s="1"/>
  <c r="F34" i="67"/>
  <c r="D35" i="68"/>
  <c r="D40" i="68" s="1"/>
  <c r="H38" i="11"/>
  <c r="F35" i="13"/>
  <c r="E36" i="13"/>
  <c r="E38" i="13" s="1"/>
  <c r="D20" i="8"/>
  <c r="D24" i="8" s="1"/>
  <c r="D39" i="19"/>
  <c r="D41" i="19" s="1"/>
  <c r="D43" i="19" s="1"/>
  <c r="AV39" i="15"/>
  <c r="AF39" i="15"/>
  <c r="AF45" i="15" s="1"/>
  <c r="D37" i="81"/>
  <c r="D41" i="81" s="1"/>
  <c r="F37" i="22"/>
  <c r="F39" i="22" s="1"/>
  <c r="F41" i="22" s="1"/>
  <c r="D37" i="79"/>
  <c r="D38" i="69"/>
  <c r="D40" i="69" s="1"/>
  <c r="D42" i="69" s="1"/>
  <c r="D37" i="76"/>
  <c r="F176" i="15"/>
  <c r="H35" i="9"/>
  <c r="D20" i="65"/>
  <c r="D24" i="65" s="1"/>
  <c r="D37" i="74"/>
  <c r="D39" i="74" s="1"/>
  <c r="D41" i="74" s="1"/>
  <c r="F101" i="15"/>
  <c r="C101" i="15" s="1"/>
  <c r="AR23" i="15"/>
  <c r="AQ39" i="15"/>
  <c r="D35" i="28"/>
  <c r="D40" i="28" s="1"/>
  <c r="AF19" i="7"/>
  <c r="AH19" i="7" s="1"/>
  <c r="AF38" i="11"/>
  <c r="G36" i="73"/>
  <c r="C14" i="63"/>
  <c r="B14" i="63" s="1"/>
  <c r="C34" i="80"/>
  <c r="B34" i="80" s="1"/>
  <c r="AH56" i="15"/>
  <c r="AH57" i="15"/>
  <c r="D17" i="64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23" i="63"/>
  <c r="B37" i="80"/>
  <c r="AJ28" i="15"/>
  <c r="AJ39" i="15" s="1"/>
  <c r="AJ45" i="15" s="1"/>
  <c r="AI39" i="15"/>
  <c r="AH6" i="7"/>
  <c r="AI5" i="7"/>
  <c r="F38" i="67"/>
  <c r="D12" i="78"/>
  <c r="D14" i="78" s="1"/>
  <c r="D18" i="78" s="1"/>
  <c r="J35" i="2"/>
  <c r="J40" i="2" s="1"/>
  <c r="D39" i="76"/>
  <c r="D41" i="76" s="1"/>
  <c r="D37" i="77"/>
  <c r="D39" i="75"/>
  <c r="D41" i="75" s="1"/>
  <c r="F39" i="18"/>
  <c r="C27" i="63"/>
  <c r="B27" i="63" s="1"/>
  <c r="C39" i="80"/>
  <c r="B39" i="80" s="1"/>
  <c r="F41" i="71"/>
  <c r="F43" i="71" s="1"/>
  <c r="F92" i="15"/>
  <c r="B101" i="15"/>
  <c r="F36" i="7"/>
  <c r="F41" i="7" s="1"/>
  <c r="J39" i="17"/>
  <c r="J35" i="70"/>
  <c r="J37" i="70" s="1"/>
  <c r="J41" i="70" s="1"/>
  <c r="AP20" i="11"/>
  <c r="AL48" i="11"/>
  <c r="H35" i="73"/>
  <c r="C40" i="80"/>
  <c r="B40" i="80" s="1"/>
  <c r="C38" i="13"/>
  <c r="C41" i="13" s="1"/>
  <c r="AU39" i="15"/>
  <c r="H36" i="9"/>
  <c r="H37" i="9" s="1"/>
  <c r="H39" i="9" s="1"/>
  <c r="D38" i="77"/>
  <c r="C37" i="73"/>
  <c r="D18" i="64"/>
  <c r="D19" i="64" s="1"/>
  <c r="D23" i="64" s="1"/>
  <c r="B30" i="20"/>
  <c r="D38" i="79"/>
  <c r="D39" i="79" s="1"/>
  <c r="D41" i="79" s="1"/>
  <c r="D40" i="72"/>
  <c r="D41" i="72" s="1"/>
  <c r="D43" i="72" s="1"/>
  <c r="J40" i="17"/>
  <c r="F40" i="18"/>
  <c r="F41" i="18" s="1"/>
  <c r="F43" i="18" s="1"/>
  <c r="C30" i="20" l="1"/>
  <c r="C31" i="20" s="1"/>
  <c r="B45" i="20"/>
  <c r="C45" i="20" s="1"/>
  <c r="C46" i="20" s="1"/>
  <c r="B17" i="20"/>
  <c r="C17" i="20" s="1"/>
  <c r="C18" i="20" s="1"/>
  <c r="C63" i="20" s="1"/>
  <c r="H52" i="73" s="1"/>
  <c r="B42" i="63"/>
  <c r="C42" i="63" s="1"/>
  <c r="B22" i="80"/>
  <c r="C22" i="80" s="1"/>
  <c r="B28" i="80"/>
  <c r="C28" i="80" s="1"/>
  <c r="B36" i="63"/>
  <c r="AH20" i="7"/>
  <c r="AI19" i="7"/>
  <c r="B31" i="63"/>
  <c r="C31" i="63" s="1"/>
  <c r="B21" i="80"/>
  <c r="C21" i="80" s="1"/>
  <c r="AR48" i="15"/>
  <c r="AR51" i="15"/>
  <c r="B15" i="80"/>
  <c r="C15" i="80" s="1"/>
  <c r="B19" i="63"/>
  <c r="C19" i="63" s="1"/>
  <c r="C33" i="80"/>
  <c r="B33" i="80" s="1"/>
  <c r="C13" i="63"/>
  <c r="B13" i="63" s="1"/>
  <c r="C41" i="80"/>
  <c r="B41" i="80" s="1"/>
  <c r="C29" i="63"/>
  <c r="B29" i="63" s="1"/>
  <c r="B25" i="80"/>
  <c r="C25" i="80" s="1"/>
  <c r="B39" i="63"/>
  <c r="C39" i="63" s="1"/>
  <c r="G37" i="73"/>
  <c r="G38" i="73" s="1"/>
  <c r="C38" i="73"/>
  <c r="C40" i="73" s="1"/>
  <c r="B23" i="80"/>
  <c r="C23" i="80" s="1"/>
  <c r="B41" i="63"/>
  <c r="C41" i="63" s="1"/>
  <c r="E41" i="13"/>
  <c r="F41" i="13" s="1"/>
  <c r="F38" i="13"/>
  <c r="B103" i="15"/>
  <c r="B105" i="15" s="1"/>
  <c r="F105" i="15" s="1"/>
  <c r="F102" i="15"/>
  <c r="F103" i="15" s="1"/>
  <c r="C103" i="15" s="1"/>
  <c r="D39" i="77"/>
  <c r="D41" i="77" s="1"/>
  <c r="B18" i="80"/>
  <c r="C18" i="80" s="1"/>
  <c r="B24" i="63"/>
  <c r="C24" i="63" s="1"/>
  <c r="AH7" i="7"/>
  <c r="AI6" i="7"/>
  <c r="B17" i="80"/>
  <c r="C17" i="80" s="1"/>
  <c r="B22" i="63"/>
  <c r="C22" i="63" s="1"/>
  <c r="B24" i="80"/>
  <c r="C24" i="80" s="1"/>
  <c r="B40" i="63"/>
  <c r="C40" i="63" s="1"/>
  <c r="B30" i="63"/>
  <c r="C30" i="63" s="1"/>
  <c r="B20" i="80"/>
  <c r="C20" i="80" s="1"/>
  <c r="C35" i="80"/>
  <c r="B35" i="80" s="1"/>
  <c r="C16" i="63"/>
  <c r="B16" i="63" s="1"/>
  <c r="B18" i="63"/>
  <c r="C18" i="63" s="1"/>
  <c r="B14" i="80"/>
  <c r="C14" i="80" s="1"/>
  <c r="B25" i="63"/>
  <c r="C25" i="63" s="1"/>
  <c r="B19" i="80"/>
  <c r="C19" i="80" s="1"/>
  <c r="B9" i="63"/>
  <c r="C9" i="63" s="1"/>
  <c r="B8" i="80"/>
  <c r="B12" i="63"/>
  <c r="C12" i="63" s="1"/>
  <c r="B11" i="80"/>
  <c r="C11" i="80" s="1"/>
  <c r="B15" i="63"/>
  <c r="C15" i="63" s="1"/>
  <c r="B12" i="80"/>
  <c r="C12" i="80" s="1"/>
  <c r="C23" i="63"/>
  <c r="C37" i="80"/>
  <c r="J41" i="17"/>
  <c r="J43" i="17" s="1"/>
  <c r="C42" i="80"/>
  <c r="B42" i="80" s="1"/>
  <c r="C32" i="63"/>
  <c r="B32" i="63" s="1"/>
  <c r="C36" i="80"/>
  <c r="B36" i="80" s="1"/>
  <c r="C20" i="63"/>
  <c r="B20" i="63" s="1"/>
  <c r="B38" i="63"/>
  <c r="C38" i="63" s="1"/>
  <c r="B26" i="80"/>
  <c r="C26" i="80" s="1"/>
  <c r="C32" i="80"/>
  <c r="C8" i="63"/>
  <c r="C8" i="80" l="1"/>
  <c r="AI20" i="7"/>
  <c r="AH21" i="7"/>
  <c r="AI21" i="7" s="1"/>
  <c r="B8" i="63"/>
  <c r="B17" i="63"/>
  <c r="C17" i="63" s="1"/>
  <c r="B13" i="80"/>
  <c r="C13" i="80" s="1"/>
  <c r="B43" i="63"/>
  <c r="C36" i="63"/>
  <c r="C43" i="63" s="1"/>
  <c r="C43" i="80"/>
  <c r="B32" i="80"/>
  <c r="B43" i="80" s="1"/>
  <c r="B37" i="63"/>
  <c r="C37" i="63" s="1"/>
  <c r="B27" i="80"/>
  <c r="C27" i="80" s="1"/>
  <c r="G40" i="73"/>
  <c r="H38" i="73"/>
  <c r="H40" i="73" s="1"/>
  <c r="H50" i="73" s="1"/>
  <c r="B10" i="80"/>
  <c r="C10" i="80" s="1"/>
  <c r="B11" i="63"/>
  <c r="C11" i="63" s="1"/>
  <c r="H54" i="73"/>
  <c r="AI7" i="7"/>
  <c r="AH8" i="7"/>
  <c r="B16" i="80" l="1"/>
  <c r="C16" i="80" s="1"/>
  <c r="C29" i="80" s="1"/>
  <c r="C45" i="80" s="1"/>
  <c r="B21" i="63"/>
  <c r="C21" i="63" s="1"/>
  <c r="C33" i="63" s="1"/>
  <c r="C45" i="63" s="1"/>
  <c r="AH9" i="7"/>
  <c r="AI8" i="7"/>
  <c r="B33" i="63" l="1"/>
  <c r="B45" i="63" s="1"/>
  <c r="B29" i="80"/>
  <c r="B45" i="80" s="1"/>
  <c r="AI9" i="7"/>
  <c r="AH10" i="7"/>
  <c r="AI10" i="7" l="1"/>
  <c r="AH11" i="7"/>
  <c r="AH12" i="7" l="1"/>
  <c r="AI11" i="7"/>
  <c r="AH13" i="7" l="1"/>
  <c r="AI12" i="7"/>
  <c r="AH14" i="7" l="1"/>
  <c r="AI13" i="7"/>
  <c r="AH15" i="7" l="1"/>
  <c r="AI14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<sst xmlns="http://schemas.openxmlformats.org/spreadsheetml/2006/main" count="589" uniqueCount="170">
  <si>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</si>
  <si>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</si>
  <si>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</si>
  <si>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</si>
  <si>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</si>
  <si>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</si>
  <si>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</si>
  <si>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</si>
  <si>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</si>
  <si>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</si>
  <si>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</si>
  <si>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</si>
  <si>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</si>
  <si>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</si>
  <si>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</si>
  <si>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</si>
  <si>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</si>
  <si>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</si>
  <si>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</si>
  <si>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</si>
  <si>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</si>
  <si>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</si>
  <si>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</si>
  <si>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</si>
  <si>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</si>
  <si>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</si>
  <si>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</si>
  <si>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</si>
  <si>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</si>
  <si>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</si>
  <si>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</si>
  <si>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</si>
  <si>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</si>
  <si>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</si>
  <si>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</si>
  <si>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</si>
  <si>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</si>
  <si>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</si>
  <si>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</si>
  <si>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</si>
  <si>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</si>
  <si>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</si>
  <si>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</si>
  <si>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</si>
  <si>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</si>
  <si>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</si>
  <si>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</si>
  <si>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</si>
  <si>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</si>
  <si>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</si>
  <si>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</si>
  <si>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</si>
  <si>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</si>
  <si>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</si>
  <si>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</si>
  <si>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</si>
  <si>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</si>
  <si>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</si>
  <si>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</si>
  <si>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</si>
  <si>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</si>
  <si>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</si>
  <si>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</si>
  <si>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</si>
  <si>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</si>
  <si>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</si>
  <si>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</si>
  <si>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</si>
  <si>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</si>
  <si>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</si>
  <si>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</si>
  <si>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</si>
  <si>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</si>
  <si>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</si>
  <si>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</si>
  <si>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</si>
  <si>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</si>
  <si>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</si>
  <si>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</si>
  <si>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</si>
  <si>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</si>
  <si>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</si>
  <si>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</si>
  <si>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</si>
  <si>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</si>
  <si>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</si>
  <si>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</si>
  <si>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</si>
  <si>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</si>
  <si>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</si>
  <si>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</si>
  <si>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</si>
  <si>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</si>
  <si>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</si>
  <si>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</si>
  <si>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</si>
  <si>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</si>
  <si>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</si>
  <si>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</si>
  <si>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</si>
  <si>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</si>
  <si>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</si>
  <si>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</si>
  <si>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</si>
  <si>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</si>
  <si>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</si>
  <si>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</si>
  <si>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</si>
  <si>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</si>
  <si>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</si>
  <si>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</si>
  <si>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</si>
  <si>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</si>
  <si>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</si>
  <si>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</si>
  <si>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</si>
  <si>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</si>
  <si>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</si>
  <si>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</si>
  <si>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</si>
  <si>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</si>
  <si>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</si>
  <si>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</si>
  <si>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</si>
  <si>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</si>
  <si>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</si>
  <si>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</si>
  <si>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</si>
  <si>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</si>
  <si>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</si>
  <si>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</si>
  <si>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</si>
  <si>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</si>
  <si>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</si>
  <si>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</si>
  <si>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</si>
  <si>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</si>
  <si>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</si>
  <si>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</si>
  <si>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</si>
  <si>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</si>
  <si>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</si>
  <si>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</si>
  <si>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</si>
  <si>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</si>
  <si>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</si>
  <si>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</si>
  <si>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</si>
  <si>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</si>
  <si>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</si>
  <si>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</si>
  <si>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</si>
  <si>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Zia and Maljamar</t>
  </si>
  <si>
    <t>working on 10,000/d to sell</t>
  </si>
  <si>
    <t>6,000/d being received in payback</t>
  </si>
  <si>
    <t>balance is cashed out monthly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</si>
  <si>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</si>
  <si>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</si>
  <si>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</si>
  <si>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</si>
  <si>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</si>
  <si>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</si>
  <si>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</si>
  <si>
    <t>Lorraine is talking to Red Cedar about cash out</t>
  </si>
  <si>
    <t>receiving payback and selling it above 7/01 index</t>
  </si>
  <si>
    <t>6/30/01 bal of $887,643.73 invoiced-not rec'd as of 7/27/01</t>
  </si>
  <si>
    <t>scheduling 3,000/d in payback</t>
  </si>
  <si>
    <t>received 35,000 mmbtus in payback in 7/01</t>
  </si>
  <si>
    <t>Net $ valued/vol</t>
  </si>
  <si>
    <t>EPFS / PG&amp;E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</si>
</sst>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2.4300000000000002</v>
          </cell>
          <cell r="M39">
            <v>2.76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/>
    <sheetView workbookViewId="1"/>
    <sheetView workbookViewId="2"/>
    <sheetView tabSelected="1" topLeftCell="A3" workbookViewId="3">
      <selection activeCell="G12" sqref="G12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2.85546875" bestFit="1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146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2.4300000000000002</v>
      </c>
      <c r="J3" s="430">
        <f ca="1">NOW()</f>
        <v>41885.692661458335</v>
      </c>
    </row>
    <row r="4" spans="1:20" ht="15" customHeight="1" x14ac:dyDescent="0.2">
      <c r="A4" s="34" t="s">
        <v>157</v>
      </c>
      <c r="C4" s="34" t="s">
        <v>5</v>
      </c>
      <c r="D4" s="7"/>
      <c r="G4" s="302" t="s">
        <v>31</v>
      </c>
      <c r="H4" s="303">
        <f>+'[1]0701'!$M$39</f>
        <v>2.76</v>
      </c>
    </row>
    <row r="5" spans="1:20" ht="15" customHeight="1" x14ac:dyDescent="0.2">
      <c r="D5" s="7"/>
      <c r="G5" s="301" t="s">
        <v>120</v>
      </c>
      <c r="H5" s="390">
        <f>+'[1]0701'!$H$39</f>
        <v>2.93</v>
      </c>
    </row>
    <row r="6" spans="1:20" ht="18" customHeight="1" x14ac:dyDescent="0.2">
      <c r="J6" s="251"/>
    </row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158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684263.62</v>
      </c>
      <c r="C8" s="421">
        <f>+B8/$H$4</f>
        <v>247921.60144927539</v>
      </c>
      <c r="D8" s="416">
        <f>+NNG!A24</f>
        <v>37100</v>
      </c>
      <c r="E8" s="206" t="s">
        <v>88</v>
      </c>
      <c r="F8" s="206" t="s">
        <v>103</v>
      </c>
      <c r="G8" s="32" t="s">
        <v>164</v>
      </c>
      <c r="H8" s="70"/>
      <c r="I8" s="32"/>
    </row>
    <row r="9" spans="1:20" ht="15" customHeight="1" x14ac:dyDescent="0.2">
      <c r="A9" s="254" t="s">
        <v>24</v>
      </c>
      <c r="B9" s="395">
        <f>+'Red C'!$F$43</f>
        <v>674468.93</v>
      </c>
      <c r="C9" s="421">
        <f>+B9/$H$3</f>
        <v>277559.23045267491</v>
      </c>
      <c r="D9" s="416">
        <f>+'Red C'!B43</f>
        <v>37100</v>
      </c>
      <c r="E9" s="32" t="s">
        <v>88</v>
      </c>
      <c r="F9" s="32" t="s">
        <v>118</v>
      </c>
      <c r="G9" s="32" t="s">
        <v>163</v>
      </c>
      <c r="H9" s="32"/>
      <c r="I9" s="32"/>
    </row>
    <row r="10" spans="1:20" ht="15" customHeight="1" x14ac:dyDescent="0.2">
      <c r="A10" s="254" t="s">
        <v>83</v>
      </c>
      <c r="B10" s="393">
        <f>+Conoco!$F$41</f>
        <v>597282.1100000001</v>
      </c>
      <c r="C10" s="421">
        <f t="shared" ref="C10:C25" si="0">+B10/$H$4</f>
        <v>216406.56159420294</v>
      </c>
      <c r="D10" s="416">
        <f>+Conoco!A41</f>
        <v>37100</v>
      </c>
      <c r="E10" s="32" t="s">
        <v>88</v>
      </c>
      <c r="F10" s="32" t="s">
        <v>116</v>
      </c>
      <c r="G10" s="32" t="s">
        <v>152</v>
      </c>
      <c r="H10" s="32"/>
      <c r="I10" s="32"/>
    </row>
    <row r="11" spans="1:20" ht="15" customHeight="1" x14ac:dyDescent="0.2">
      <c r="A11" s="254" t="s">
        <v>3</v>
      </c>
      <c r="B11" s="393">
        <f>+'Amoco Abo'!$F$43</f>
        <v>479427.47</v>
      </c>
      <c r="C11" s="421">
        <f t="shared" si="0"/>
        <v>173705.60507246378</v>
      </c>
      <c r="D11" s="417">
        <f>+'Amoco Abo'!A43</f>
        <v>37100</v>
      </c>
      <c r="E11" s="32" t="s">
        <v>88</v>
      </c>
      <c r="F11" s="32" t="s">
        <v>118</v>
      </c>
      <c r="G11" s="32" t="s">
        <v>162</v>
      </c>
      <c r="H11" s="32"/>
      <c r="I11" s="32"/>
    </row>
    <row r="12" spans="1:20" ht="15" customHeight="1" x14ac:dyDescent="0.2">
      <c r="A12" s="254" t="s">
        <v>110</v>
      </c>
      <c r="B12" s="393">
        <f>+KN_Westar!F41</f>
        <v>422288.61</v>
      </c>
      <c r="C12" s="421">
        <f t="shared" si="0"/>
        <v>153003.11956521741</v>
      </c>
      <c r="D12" s="417">
        <f>+KN_Westar!A41</f>
        <v>37100</v>
      </c>
      <c r="E12" s="32" t="s">
        <v>88</v>
      </c>
      <c r="F12" s="32" t="s">
        <v>103</v>
      </c>
      <c r="G12" s="32"/>
      <c r="H12" s="32"/>
      <c r="I12" s="32"/>
      <c r="T12" s="268"/>
    </row>
    <row r="13" spans="1:20" ht="15" customHeight="1" x14ac:dyDescent="0.2">
      <c r="A13" s="254" t="s">
        <v>2</v>
      </c>
      <c r="B13" s="393">
        <f>+mewborne!$J$43</f>
        <v>359091.13</v>
      </c>
      <c r="C13" s="421">
        <f t="shared" si="0"/>
        <v>130105.48188405798</v>
      </c>
      <c r="D13" s="417">
        <f>+mewborne!A43</f>
        <v>37100</v>
      </c>
      <c r="E13" s="32" t="s">
        <v>88</v>
      </c>
      <c r="F13" s="32" t="s">
        <v>102</v>
      </c>
      <c r="G13" s="32"/>
      <c r="H13" s="32"/>
      <c r="I13" s="32"/>
      <c r="T13" s="268"/>
    </row>
    <row r="14" spans="1:20" ht="15" customHeight="1" x14ac:dyDescent="0.2">
      <c r="A14" s="254" t="s">
        <v>113</v>
      </c>
      <c r="B14" s="393">
        <f>+CIG!D43</f>
        <v>326755</v>
      </c>
      <c r="C14" s="421">
        <f t="shared" si="0"/>
        <v>118389.4927536232</v>
      </c>
      <c r="D14" s="417">
        <f>+CIG!A43</f>
        <v>37100</v>
      </c>
      <c r="E14" s="32" t="s">
        <v>88</v>
      </c>
      <c r="F14" s="32" t="s">
        <v>116</v>
      </c>
      <c r="G14" s="32"/>
      <c r="H14" s="32"/>
      <c r="I14" s="32"/>
    </row>
    <row r="15" spans="1:20" ht="15" customHeight="1" x14ac:dyDescent="0.2">
      <c r="A15" s="254" t="s">
        <v>85</v>
      </c>
      <c r="B15" s="393">
        <f>+PNM!$D$23</f>
        <v>306021.19000000006</v>
      </c>
      <c r="C15" s="421">
        <f t="shared" si="0"/>
        <v>110877.24275362321</v>
      </c>
      <c r="D15" s="417">
        <f>+PNM!A23</f>
        <v>37100</v>
      </c>
      <c r="E15" s="32" t="s">
        <v>88</v>
      </c>
      <c r="F15" s="32" t="s">
        <v>118</v>
      </c>
      <c r="G15" s="32" t="s">
        <v>154</v>
      </c>
      <c r="H15" s="32"/>
      <c r="I15" s="32"/>
    </row>
    <row r="16" spans="1:20" ht="15" customHeight="1" x14ac:dyDescent="0.2">
      <c r="A16" s="254" t="s">
        <v>131</v>
      </c>
      <c r="B16" s="393">
        <f>+DEFS!H54</f>
        <v>242229.5700000003</v>
      </c>
      <c r="C16" s="422">
        <f t="shared" si="0"/>
        <v>87764.33695652186</v>
      </c>
      <c r="D16" s="417">
        <f>+DEFS!A40</f>
        <v>37100</v>
      </c>
      <c r="E16" s="32" t="s">
        <v>88</v>
      </c>
      <c r="F16" s="32" t="s">
        <v>103</v>
      </c>
      <c r="G16" s="32" t="s">
        <v>121</v>
      </c>
      <c r="H16" s="32"/>
      <c r="I16" s="32"/>
    </row>
    <row r="17" spans="1:9" ht="15" customHeight="1" x14ac:dyDescent="0.2">
      <c r="A17" s="254" t="s">
        <v>169</v>
      </c>
      <c r="B17" s="393">
        <f>+PGETX!$H$39</f>
        <v>240507.56000000003</v>
      </c>
      <c r="C17" s="421">
        <f t="shared" si="0"/>
        <v>87140.420289855087</v>
      </c>
      <c r="D17" s="417">
        <f>+PGETX!E39</f>
        <v>37100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162079.67000000001</v>
      </c>
      <c r="C18" s="421">
        <f t="shared" si="0"/>
        <v>58724.518115942039</v>
      </c>
      <c r="D18" s="416">
        <f>+EOG!A41</f>
        <v>37100</v>
      </c>
      <c r="E18" s="32" t="s">
        <v>88</v>
      </c>
      <c r="F18" s="32" t="s">
        <v>105</v>
      </c>
      <c r="G18" s="32" t="s">
        <v>161</v>
      </c>
      <c r="H18" s="32"/>
      <c r="I18" s="32"/>
    </row>
    <row r="19" spans="1:9" ht="15" customHeight="1" x14ac:dyDescent="0.2">
      <c r="A19" s="254" t="s">
        <v>136</v>
      </c>
      <c r="B19" s="393">
        <f>+SidR!D41</f>
        <v>134393.24000000002</v>
      </c>
      <c r="C19" s="421">
        <f t="shared" si="0"/>
        <v>48693.202898550735</v>
      </c>
      <c r="D19" s="417">
        <f>+SidR!A41</f>
        <v>37100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">
      <c r="A20" s="392" t="s">
        <v>132</v>
      </c>
      <c r="B20" s="393">
        <f>+Calpine!D41</f>
        <v>46638.669999999925</v>
      </c>
      <c r="C20" s="422">
        <f>+B20/$H$4</f>
        <v>16898.068840579683</v>
      </c>
      <c r="D20" s="416">
        <f>+Calpine!A41</f>
        <v>37100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">
      <c r="A21" s="254" t="s">
        <v>74</v>
      </c>
      <c r="B21" s="395">
        <f>+transcol!$D$43</f>
        <v>29280.329999999998</v>
      </c>
      <c r="C21" s="421">
        <f t="shared" si="0"/>
        <v>10608.815217391304</v>
      </c>
      <c r="D21" s="417">
        <f>+transcol!A43</f>
        <v>37100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254" t="s">
        <v>112</v>
      </c>
      <c r="B22" s="393">
        <f>+Continental!F43</f>
        <v>-14806.050000000001</v>
      </c>
      <c r="C22" s="422">
        <f>+B22/$H$4</f>
        <v>-5364.5108695652179</v>
      </c>
      <c r="D22" s="417">
        <f>+Continental!A43</f>
        <v>37100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">
      <c r="A23" s="392" t="s">
        <v>98</v>
      </c>
      <c r="B23" s="393">
        <f>+burlington!D42</f>
        <v>-34260.57</v>
      </c>
      <c r="C23" s="421">
        <f>+B23/$H$3</f>
        <v>-14098.999999999998</v>
      </c>
      <c r="D23" s="416">
        <f>+burlington!A42</f>
        <v>37100</v>
      </c>
      <c r="E23" s="206" t="s">
        <v>88</v>
      </c>
      <c r="F23" s="32" t="s">
        <v>116</v>
      </c>
      <c r="G23" s="32" t="s">
        <v>155</v>
      </c>
      <c r="H23" s="32"/>
      <c r="I23" s="32"/>
    </row>
    <row r="24" spans="1:9" ht="15" customHeight="1" x14ac:dyDescent="0.2">
      <c r="A24" s="254" t="s">
        <v>134</v>
      </c>
      <c r="B24" s="393">
        <f>+EPFS!D41</f>
        <v>-101367.35</v>
      </c>
      <c r="C24" s="422">
        <f>+B24/$H$5</f>
        <v>-34596.365187713309</v>
      </c>
      <c r="D24" s="416">
        <f>+EPFS!A41</f>
        <v>37100</v>
      </c>
      <c r="E24" s="32" t="s">
        <v>88</v>
      </c>
      <c r="F24" s="32" t="s">
        <v>105</v>
      </c>
      <c r="G24" s="32"/>
      <c r="H24" s="32"/>
      <c r="I24" s="32"/>
    </row>
    <row r="25" spans="1:9" ht="15" customHeight="1" x14ac:dyDescent="0.2">
      <c r="A25" s="392" t="s">
        <v>82</v>
      </c>
      <c r="B25" s="393">
        <f>+Agave!$D$24</f>
        <v>-103116.15</v>
      </c>
      <c r="C25" s="422">
        <f t="shared" si="0"/>
        <v>-37360.92391304348</v>
      </c>
      <c r="D25" s="416">
        <f>+Agave!A24</f>
        <v>37100</v>
      </c>
      <c r="E25" s="206" t="s">
        <v>88</v>
      </c>
      <c r="F25" s="206" t="s">
        <v>105</v>
      </c>
      <c r="G25" s="32"/>
      <c r="H25" s="32"/>
      <c r="I25" s="32"/>
    </row>
    <row r="26" spans="1:9" ht="15" customHeight="1" x14ac:dyDescent="0.2">
      <c r="A26" s="254" t="s">
        <v>145</v>
      </c>
      <c r="B26" s="393">
        <f>+'Citizens-Griffith'!D41</f>
        <v>-351731.65</v>
      </c>
      <c r="C26" s="421">
        <f>+B26/$H$4</f>
        <v>-127439.00362318843</v>
      </c>
      <c r="D26" s="416">
        <f>+'Citizens-Griffith'!A41</f>
        <v>37100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">
      <c r="A27" s="254" t="s">
        <v>138</v>
      </c>
      <c r="B27" s="393">
        <f>+'NS Steel'!D41</f>
        <v>-391141.36</v>
      </c>
      <c r="C27" s="421">
        <f>+B27/$H$4</f>
        <v>-141717.88405797101</v>
      </c>
      <c r="D27" s="417">
        <f>+'NS Steel'!A41</f>
        <v>37100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140</v>
      </c>
      <c r="B28" s="397">
        <f>+Citizens!D18</f>
        <v>-861937.3</v>
      </c>
      <c r="C28" s="423">
        <f>+B28/$H$4</f>
        <v>-312296.12318840582</v>
      </c>
      <c r="D28" s="416">
        <f>+Citizens!A18</f>
        <v>37100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150</v>
      </c>
      <c r="B29" s="47">
        <f>SUM(B8:B28)</f>
        <v>2846366.67</v>
      </c>
      <c r="C29" s="424">
        <f>SUM(C8:C28)</f>
        <v>1064923.8870040923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158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761078.43</v>
      </c>
      <c r="C32" s="421">
        <f>+williams!J40</f>
        <v>313201</v>
      </c>
      <c r="D32" s="416">
        <f>+williams!A40</f>
        <v>37100</v>
      </c>
      <c r="E32" s="206" t="s">
        <v>87</v>
      </c>
      <c r="F32" s="206" t="s">
        <v>156</v>
      </c>
      <c r="G32" s="32" t="s">
        <v>159</v>
      </c>
      <c r="H32" s="32"/>
      <c r="I32" s="32"/>
    </row>
    <row r="33" spans="1:9" ht="15" customHeight="1" x14ac:dyDescent="0.2">
      <c r="A33" s="254" t="s">
        <v>91</v>
      </c>
      <c r="B33" s="393">
        <f>+C33*$H$4</f>
        <v>431920.68</v>
      </c>
      <c r="C33" s="421">
        <f>+NGPL!F38</f>
        <v>156493</v>
      </c>
      <c r="D33" s="417">
        <f>+NGPL!A38</f>
        <v>37100</v>
      </c>
      <c r="E33" s="32" t="s">
        <v>87</v>
      </c>
      <c r="F33" s="32" t="s">
        <v>118</v>
      </c>
      <c r="G33" s="32" t="s">
        <v>160</v>
      </c>
      <c r="H33" s="32"/>
      <c r="I33" s="32"/>
    </row>
    <row r="34" spans="1:9" ht="15" customHeight="1" x14ac:dyDescent="0.2">
      <c r="A34" s="254" t="s">
        <v>33</v>
      </c>
      <c r="B34" s="393">
        <f>+C34*$H$4</f>
        <v>423858.72</v>
      </c>
      <c r="C34" s="422">
        <f>+SoCal!F40</f>
        <v>153572</v>
      </c>
      <c r="D34" s="417">
        <f>+SoCal!A40</f>
        <v>37100</v>
      </c>
      <c r="E34" s="32" t="s">
        <v>87</v>
      </c>
      <c r="F34" s="32" t="s">
        <v>105</v>
      </c>
      <c r="G34" s="32"/>
      <c r="H34" s="32"/>
      <c r="I34" s="32"/>
    </row>
    <row r="35" spans="1:9" ht="15" customHeight="1" x14ac:dyDescent="0.2">
      <c r="A35" s="254" t="s">
        <v>97</v>
      </c>
      <c r="B35" s="393">
        <f>+C35*$H$4</f>
        <v>374024.16</v>
      </c>
      <c r="C35" s="421">
        <f>+Mojave!D40</f>
        <v>135516</v>
      </c>
      <c r="D35" s="417">
        <f>+Mojave!A40</f>
        <v>37100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149</v>
      </c>
      <c r="B36" s="395">
        <f>+C36*$H$4</f>
        <v>254626.55999999997</v>
      </c>
      <c r="C36" s="421">
        <f>+PEPL!D41</f>
        <v>92256</v>
      </c>
      <c r="D36" s="417">
        <f>+PEPL!A41</f>
        <v>37100</v>
      </c>
      <c r="E36" s="32" t="s">
        <v>87</v>
      </c>
      <c r="F36" s="32" t="s">
        <v>103</v>
      </c>
      <c r="G36" s="32" t="s">
        <v>148</v>
      </c>
      <c r="H36" s="32"/>
      <c r="I36" s="32"/>
    </row>
    <row r="37" spans="1:9" ht="15" customHeight="1" x14ac:dyDescent="0.2">
      <c r="A37" s="254" t="s">
        <v>34</v>
      </c>
      <c r="B37" s="393">
        <f>+'El Paso'!E38*summary!H3+'El Paso'!C38*summary!H4</f>
        <v>172838.33999999997</v>
      </c>
      <c r="C37" s="421">
        <f>+'El Paso'!H38</f>
        <v>62399</v>
      </c>
      <c r="D37" s="417">
        <f>+'El Paso'!A38</f>
        <v>37100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">
      <c r="A38" s="254" t="s">
        <v>32</v>
      </c>
      <c r="B38" s="393">
        <f>+C38*$H$4</f>
        <v>115006.43999999999</v>
      </c>
      <c r="C38" s="421">
        <f>+Lonestar!F42</f>
        <v>41669</v>
      </c>
      <c r="D38" s="416">
        <f>+Lonestar!B42</f>
        <v>37100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">
      <c r="A39" s="254" t="s">
        <v>6</v>
      </c>
      <c r="B39" s="393">
        <f>+C39*$H$3</f>
        <v>109622.16</v>
      </c>
      <c r="C39" s="421">
        <f>+Amoco!D40</f>
        <v>45112</v>
      </c>
      <c r="D39" s="417">
        <f>+Amoco!A40</f>
        <v>37100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">
      <c r="A40" s="254" t="s">
        <v>7</v>
      </c>
      <c r="B40" s="393">
        <f>+C40*$H$4</f>
        <v>108824.04</v>
      </c>
      <c r="C40" s="422">
        <f>+Oasis!D40</f>
        <v>39429</v>
      </c>
      <c r="D40" s="417">
        <f>+Oasis!B40</f>
        <v>37100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56778.719999999994</v>
      </c>
      <c r="C41" s="422">
        <f>+'PG&amp;E'!D40</f>
        <v>20572</v>
      </c>
      <c r="D41" s="417">
        <f>+'PG&amp;E'!A40</f>
        <v>37100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8794.17</v>
      </c>
      <c r="C42" s="423">
        <f>+NW!$F$41</f>
        <v>3619</v>
      </c>
      <c r="D42" s="416">
        <f>+NW!B41</f>
        <v>37100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151</v>
      </c>
      <c r="B43" s="393">
        <f>SUM(B32:B42)</f>
        <v>2817372.42</v>
      </c>
      <c r="C43" s="422">
        <f>SUM(C32:C42)</f>
        <v>1063838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168</v>
      </c>
      <c r="B45" s="402">
        <f>+B43+B29</f>
        <v>5663739.0899999999</v>
      </c>
      <c r="C45" s="427">
        <f>+C43+C29</f>
        <v>2128761.8870040923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6" sqref="B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150266</v>
      </c>
      <c r="C29" s="150">
        <v>150568</v>
      </c>
      <c r="D29" s="150"/>
      <c r="E29" s="150"/>
      <c r="F29" s="11">
        <f t="shared" si="5"/>
        <v>302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150935</v>
      </c>
      <c r="C30" s="150">
        <v>151895</v>
      </c>
      <c r="D30" s="150">
        <v>12715</v>
      </c>
      <c r="E30" s="150">
        <v>501</v>
      </c>
      <c r="F30" s="11">
        <f t="shared" si="5"/>
        <v>-11254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134073</v>
      </c>
      <c r="C31" s="150">
        <v>134885</v>
      </c>
      <c r="D31" s="150">
        <v>13078</v>
      </c>
      <c r="E31" s="150">
        <v>7990</v>
      </c>
      <c r="F31" s="11">
        <f t="shared" si="5"/>
        <v>-4276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127263</v>
      </c>
      <c r="C32" s="150">
        <v>126253</v>
      </c>
      <c r="D32" s="150">
        <v>12714</v>
      </c>
      <c r="E32" s="150">
        <v>13033</v>
      </c>
      <c r="F32" s="11">
        <f t="shared" si="5"/>
        <v>-691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128115</v>
      </c>
      <c r="C33" s="150">
        <v>127613</v>
      </c>
      <c r="D33" s="150">
        <v>13191</v>
      </c>
      <c r="E33" s="150">
        <v>13033</v>
      </c>
      <c r="F33" s="11">
        <f t="shared" si="5"/>
        <v>-660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146140</v>
      </c>
      <c r="C34" s="150">
        <v>144904</v>
      </c>
      <c r="D34" s="150">
        <v>13104</v>
      </c>
      <c r="E34" s="150">
        <v>13033</v>
      </c>
      <c r="F34" s="11">
        <f t="shared" si="5"/>
        <v>-1307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>
        <v>123395</v>
      </c>
      <c r="C35" s="150">
        <v>125596</v>
      </c>
      <c r="D35" s="150">
        <v>13124</v>
      </c>
      <c r="E35" s="150">
        <v>13033</v>
      </c>
      <c r="F35" s="11">
        <f t="shared" si="5"/>
        <v>2110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4291130</v>
      </c>
      <c r="C39" s="150">
        <f>SUM(C8:C38)</f>
        <v>4285298</v>
      </c>
      <c r="D39" s="150">
        <f>SUM(D8:D38)</f>
        <v>322822</v>
      </c>
      <c r="E39" s="150">
        <f>SUM(E8:E38)</f>
        <v>328829</v>
      </c>
      <c r="F39" s="11">
        <f t="shared" si="5"/>
        <v>175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2.4300000000000002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425.25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37100</v>
      </c>
      <c r="C43" s="142"/>
      <c r="D43" s="142"/>
      <c r="E43" s="142"/>
      <c r="F43" s="252">
        <f>+F42+F41</f>
        <v>674468.93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1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-100746</v>
      </c>
      <c r="C27" s="24">
        <v>-99430</v>
      </c>
      <c r="D27" s="24">
        <f t="shared" si="0"/>
        <v>1316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-80474</v>
      </c>
      <c r="C28" s="24">
        <v>-80000</v>
      </c>
      <c r="D28" s="24">
        <f t="shared" si="0"/>
        <v>474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-95281</v>
      </c>
      <c r="C29" s="24">
        <v>-93844</v>
      </c>
      <c r="D29" s="24">
        <f t="shared" si="0"/>
        <v>1437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-96315</v>
      </c>
      <c r="C30" s="24">
        <v>-95758</v>
      </c>
      <c r="D30" s="24">
        <f t="shared" si="0"/>
        <v>557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-79910</v>
      </c>
      <c r="C31" s="24">
        <v>-79523</v>
      </c>
      <c r="D31" s="24">
        <f t="shared" si="0"/>
        <v>387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-113521</v>
      </c>
      <c r="C32" s="24">
        <v>-112302</v>
      </c>
      <c r="D32" s="24">
        <f t="shared" si="0"/>
        <v>1219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-2961969</v>
      </c>
      <c r="C36" s="24">
        <f>SUM(C5:C35)</f>
        <v>-2950818</v>
      </c>
      <c r="D36" s="24">
        <f t="shared" si="0"/>
        <v>11151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37100</v>
      </c>
      <c r="C40" s="24"/>
      <c r="D40" s="195">
        <f>+D36+D38</f>
        <v>39429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8" sqref="B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924791</v>
      </c>
      <c r="C5" s="90">
        <v>963977</v>
      </c>
      <c r="D5" s="90">
        <f>+C5-B5</f>
        <v>39186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824399</v>
      </c>
      <c r="C7" s="90">
        <v>678809</v>
      </c>
      <c r="D7" s="90">
        <f t="shared" si="0"/>
        <v>-145590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1043288</v>
      </c>
      <c r="C8" s="90">
        <v>1091589</v>
      </c>
      <c r="D8" s="90">
        <f t="shared" si="0"/>
        <v>48301</v>
      </c>
      <c r="E8" s="286"/>
      <c r="F8" s="284"/>
    </row>
    <row r="9" spans="1:13" x14ac:dyDescent="0.2">
      <c r="A9" s="87">
        <v>500293</v>
      </c>
      <c r="B9" s="90">
        <v>424349</v>
      </c>
      <c r="C9" s="90">
        <v>571980</v>
      </c>
      <c r="D9" s="90">
        <f t="shared" si="0"/>
        <v>147631</v>
      </c>
      <c r="E9" s="286"/>
      <c r="F9" s="284"/>
    </row>
    <row r="10" spans="1:13" x14ac:dyDescent="0.2">
      <c r="A10" s="87">
        <v>500302</v>
      </c>
      <c r="B10" s="321"/>
      <c r="C10" s="321">
        <v>11966</v>
      </c>
      <c r="D10" s="90">
        <f t="shared" si="0"/>
        <v>11966</v>
      </c>
      <c r="E10" s="286"/>
      <c r="F10" s="284"/>
    </row>
    <row r="11" spans="1:13" x14ac:dyDescent="0.2">
      <c r="A11" s="87">
        <v>500303</v>
      </c>
      <c r="B11" s="321">
        <v>210374</v>
      </c>
      <c r="C11" s="90">
        <v>308055</v>
      </c>
      <c r="D11" s="90">
        <f t="shared" si="0"/>
        <v>97681</v>
      </c>
      <c r="E11" s="286"/>
      <c r="F11" s="284"/>
    </row>
    <row r="12" spans="1:13" x14ac:dyDescent="0.2">
      <c r="A12" s="91">
        <v>500305</v>
      </c>
      <c r="B12" s="321">
        <v>883715</v>
      </c>
      <c r="C12" s="90">
        <v>1264710</v>
      </c>
      <c r="D12" s="90">
        <f t="shared" si="0"/>
        <v>380995</v>
      </c>
      <c r="E12" s="287"/>
      <c r="F12" s="284"/>
    </row>
    <row r="13" spans="1:13" x14ac:dyDescent="0.2">
      <c r="A13" s="87">
        <v>500307</v>
      </c>
      <c r="B13" s="321">
        <f>128993+5507</f>
        <v>134500</v>
      </c>
      <c r="C13" s="90">
        <v>147164</v>
      </c>
      <c r="D13" s="90">
        <f t="shared" si="0"/>
        <v>12664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2921</v>
      </c>
      <c r="D14" s="90">
        <f t="shared" si="0"/>
        <v>381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657633</v>
      </c>
      <c r="C16" s="90"/>
      <c r="D16" s="90">
        <f t="shared" si="0"/>
        <v>-657633</v>
      </c>
      <c r="E16" s="286"/>
      <c r="F16" s="284"/>
    </row>
    <row r="17" spans="1:6" x14ac:dyDescent="0.2">
      <c r="A17" s="87">
        <v>500657</v>
      </c>
      <c r="B17" s="338">
        <v>150420</v>
      </c>
      <c r="C17" s="88">
        <v>168000</v>
      </c>
      <c r="D17" s="94">
        <f t="shared" si="0"/>
        <v>17580</v>
      </c>
      <c r="E17" s="286"/>
      <c r="F17" s="284"/>
    </row>
    <row r="18" spans="1:6" x14ac:dyDescent="0.2">
      <c r="A18" s="87"/>
      <c r="B18" s="88"/>
      <c r="C18" s="88"/>
      <c r="D18" s="88">
        <f>SUM(D5:D17)</f>
        <v>-46838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2.76</v>
      </c>
      <c r="E19" s="288"/>
      <c r="F19" s="284"/>
    </row>
    <row r="20" spans="1:6" x14ac:dyDescent="0.2">
      <c r="A20" s="87"/>
      <c r="B20" s="88"/>
      <c r="C20" s="88"/>
      <c r="D20" s="96">
        <f>+D19*D18</f>
        <v>-129272.87999999999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37100</v>
      </c>
      <c r="B24" s="88"/>
      <c r="C24" s="88"/>
      <c r="D24" s="337">
        <f>+D22+D20</f>
        <v>-103116.15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0" workbookViewId="3">
      <selection activeCell="E32" sqref="E3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30205</v>
      </c>
      <c r="E13" s="11">
        <v>29000</v>
      </c>
      <c r="F13" s="25">
        <f t="shared" si="0"/>
        <v>-926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28387</v>
      </c>
      <c r="E16" s="11">
        <v>28943</v>
      </c>
      <c r="F16" s="25">
        <f t="shared" si="0"/>
        <v>1920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28083</v>
      </c>
      <c r="E17" s="11">
        <v>29000</v>
      </c>
      <c r="F17" s="25">
        <f t="shared" si="0"/>
        <v>1152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28664</v>
      </c>
      <c r="E24" s="11">
        <v>26883</v>
      </c>
      <c r="F24" s="25">
        <f t="shared" si="0"/>
        <v>-1603</v>
      </c>
      <c r="G24" s="25"/>
    </row>
    <row r="25" spans="1:7" x14ac:dyDescent="0.2">
      <c r="A25" s="41">
        <v>22</v>
      </c>
      <c r="B25" s="11">
        <v>45838</v>
      </c>
      <c r="C25" s="11">
        <v>45000</v>
      </c>
      <c r="D25" s="11">
        <v>29873</v>
      </c>
      <c r="E25" s="11">
        <v>35665</v>
      </c>
      <c r="F25" s="25">
        <f t="shared" si="0"/>
        <v>4954</v>
      </c>
      <c r="G25" s="25"/>
    </row>
    <row r="26" spans="1:7" x14ac:dyDescent="0.2">
      <c r="A26" s="41">
        <v>23</v>
      </c>
      <c r="B26" s="11">
        <v>47849</v>
      </c>
      <c r="C26" s="11">
        <v>45000</v>
      </c>
      <c r="D26" s="129">
        <v>26443</v>
      </c>
      <c r="E26" s="11">
        <v>29764</v>
      </c>
      <c r="F26" s="25">
        <f t="shared" si="0"/>
        <v>472</v>
      </c>
    </row>
    <row r="27" spans="1:7" x14ac:dyDescent="0.2">
      <c r="A27" s="41">
        <v>24</v>
      </c>
      <c r="B27" s="11">
        <v>46523</v>
      </c>
      <c r="C27" s="11">
        <v>45000</v>
      </c>
      <c r="D27" s="11">
        <v>28147</v>
      </c>
      <c r="E27" s="11">
        <v>25906</v>
      </c>
      <c r="F27" s="25">
        <f t="shared" si="0"/>
        <v>-3764</v>
      </c>
    </row>
    <row r="28" spans="1:7" x14ac:dyDescent="0.2">
      <c r="A28" s="41">
        <v>25</v>
      </c>
      <c r="B28" s="11">
        <v>47400</v>
      </c>
      <c r="C28" s="11">
        <v>45000</v>
      </c>
      <c r="D28" s="11">
        <v>30589</v>
      </c>
      <c r="E28" s="11">
        <v>30626</v>
      </c>
      <c r="F28" s="25">
        <f t="shared" si="0"/>
        <v>-2363</v>
      </c>
    </row>
    <row r="29" spans="1:7" x14ac:dyDescent="0.2">
      <c r="A29" s="41">
        <v>26</v>
      </c>
      <c r="B29" s="11">
        <v>45775</v>
      </c>
      <c r="C29" s="11">
        <v>45000</v>
      </c>
      <c r="D29" s="11">
        <v>31671</v>
      </c>
      <c r="E29" s="11">
        <v>30773</v>
      </c>
      <c r="F29" s="25">
        <f t="shared" si="0"/>
        <v>-1673</v>
      </c>
    </row>
    <row r="30" spans="1:7" x14ac:dyDescent="0.2">
      <c r="A30" s="41">
        <v>27</v>
      </c>
      <c r="B30" s="11">
        <v>39839</v>
      </c>
      <c r="C30" s="11">
        <v>45000</v>
      </c>
      <c r="D30" s="11">
        <v>29889</v>
      </c>
      <c r="E30" s="11">
        <v>29762</v>
      </c>
      <c r="F30" s="25">
        <f t="shared" si="0"/>
        <v>5034</v>
      </c>
    </row>
    <row r="31" spans="1:7" x14ac:dyDescent="0.2">
      <c r="A31" s="41">
        <v>28</v>
      </c>
      <c r="B31" s="11">
        <v>44233</v>
      </c>
      <c r="C31" s="11">
        <v>53780</v>
      </c>
      <c r="D31" s="11">
        <v>32133</v>
      </c>
      <c r="E31" s="11">
        <v>30773</v>
      </c>
      <c r="F31" s="25">
        <f t="shared" si="0"/>
        <v>8187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1259525</v>
      </c>
      <c r="C35" s="11">
        <f>SUM(C4:C34)</f>
        <v>1273000</v>
      </c>
      <c r="D35" s="11">
        <f>SUM(D4:D34)</f>
        <v>849119</v>
      </c>
      <c r="E35" s="11">
        <f>SUM(E4:E34)</f>
        <v>867649</v>
      </c>
      <c r="F35" s="11">
        <f>+E35-D35+C35-B35</f>
        <v>32005</v>
      </c>
    </row>
    <row r="36" spans="1:7" x14ac:dyDescent="0.2">
      <c r="A36" s="45"/>
      <c r="C36" s="14">
        <f>+C35-B35</f>
        <v>13475</v>
      </c>
      <c r="D36" s="14"/>
      <c r="E36" s="14">
        <f>+E35-D35</f>
        <v>18530</v>
      </c>
      <c r="F36" s="47"/>
    </row>
    <row r="37" spans="1:7" x14ac:dyDescent="0.2">
      <c r="C37" s="15">
        <f>+summary!H4</f>
        <v>2.76</v>
      </c>
      <c r="D37" s="15"/>
      <c r="E37" s="15">
        <f>+C37</f>
        <v>2.76</v>
      </c>
      <c r="F37" s="24"/>
    </row>
    <row r="38" spans="1:7" x14ac:dyDescent="0.2">
      <c r="C38" s="48">
        <f>+C37*C36</f>
        <v>37191</v>
      </c>
      <c r="D38" s="47"/>
      <c r="E38" s="48">
        <f>+E37*E36</f>
        <v>51142.799999999996</v>
      </c>
      <c r="F38" s="46">
        <f>+E38+C38</f>
        <v>88333.799999999988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37100</v>
      </c>
      <c r="C41" s="106">
        <f>+C40+C38</f>
        <v>2454828.89</v>
      </c>
      <c r="D41" s="106"/>
      <c r="E41" s="106">
        <f>+E40+E38</f>
        <v>-1857546.78</v>
      </c>
      <c r="F41" s="106">
        <f>+E41+C41</f>
        <v>597282.1100000001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-6700</v>
      </c>
      <c r="F20" s="11">
        <f t="shared" si="2"/>
        <v>-3580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177233</v>
      </c>
      <c r="C27" s="11">
        <v>203175</v>
      </c>
      <c r="D27" s="11"/>
      <c r="E27" s="11">
        <v>-26546</v>
      </c>
      <c r="F27" s="11">
        <f t="shared" si="2"/>
        <v>-604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192937</v>
      </c>
      <c r="C28" s="11">
        <v>192202</v>
      </c>
      <c r="D28" s="11"/>
      <c r="E28" s="11"/>
      <c r="F28" s="11">
        <f t="shared" si="2"/>
        <v>-735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200700</v>
      </c>
      <c r="C29" s="11">
        <v>211899</v>
      </c>
      <c r="D29" s="11"/>
      <c r="E29" s="11">
        <v>-1429</v>
      </c>
      <c r="F29" s="11">
        <f t="shared" si="2"/>
        <v>9770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165468</v>
      </c>
      <c r="C30" s="11">
        <v>173539</v>
      </c>
      <c r="D30" s="11"/>
      <c r="E30" s="11">
        <v>-8932</v>
      </c>
      <c r="F30" s="11">
        <f t="shared" si="2"/>
        <v>-861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185436</v>
      </c>
      <c r="C31" s="11">
        <v>188983</v>
      </c>
      <c r="D31" s="11"/>
      <c r="E31" s="11">
        <v>-1272</v>
      </c>
      <c r="F31" s="11">
        <f t="shared" si="2"/>
        <v>2275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197540</v>
      </c>
      <c r="C32" s="11">
        <v>223277</v>
      </c>
      <c r="D32" s="11"/>
      <c r="E32" s="11">
        <v>-26591</v>
      </c>
      <c r="F32" s="11">
        <f t="shared" si="2"/>
        <v>-854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4906489</v>
      </c>
      <c r="C36" s="11">
        <f>SUM(C5:C35)</f>
        <v>5559921</v>
      </c>
      <c r="D36" s="11">
        <f>SUM(D5:D35)</f>
        <v>0</v>
      </c>
      <c r="E36" s="11">
        <f>SUM(E5:E35)</f>
        <v>-661047</v>
      </c>
      <c r="F36" s="11">
        <f>SUM(F5:F35)</f>
        <v>-7615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37100</v>
      </c>
      <c r="F41" s="357">
        <f>+F39+F36</f>
        <v>3619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">
      <c r="A29" s="10">
        <v>22</v>
      </c>
      <c r="B29" s="11">
        <v>89787</v>
      </c>
      <c r="C29" s="11">
        <v>94660</v>
      </c>
      <c r="D29" s="11">
        <f t="shared" si="0"/>
        <v>4873</v>
      </c>
      <c r="E29" s="10"/>
      <c r="F29" s="11"/>
      <c r="G29" s="11"/>
      <c r="H29" s="11"/>
    </row>
    <row r="30" spans="1:8" x14ac:dyDescent="0.2">
      <c r="A30" s="10">
        <v>23</v>
      </c>
      <c r="B30" s="11">
        <v>100699</v>
      </c>
      <c r="C30" s="11">
        <v>99994</v>
      </c>
      <c r="D30" s="11">
        <f t="shared" si="0"/>
        <v>-705</v>
      </c>
      <c r="E30" s="10"/>
      <c r="F30" s="11"/>
      <c r="G30" s="11"/>
      <c r="H30" s="11"/>
    </row>
    <row r="31" spans="1:8" x14ac:dyDescent="0.2">
      <c r="A31" s="10">
        <v>24</v>
      </c>
      <c r="B31" s="11">
        <v>110724</v>
      </c>
      <c r="C31" s="11">
        <v>108866</v>
      </c>
      <c r="D31" s="11">
        <f t="shared" si="0"/>
        <v>-1858</v>
      </c>
      <c r="E31" s="10"/>
      <c r="F31" s="11"/>
      <c r="G31" s="11"/>
      <c r="H31" s="11"/>
    </row>
    <row r="32" spans="1:8" x14ac:dyDescent="0.2">
      <c r="A32" s="10">
        <v>25</v>
      </c>
      <c r="B32" s="11">
        <v>114730</v>
      </c>
      <c r="C32" s="11">
        <v>114272</v>
      </c>
      <c r="D32" s="11">
        <f t="shared" si="0"/>
        <v>-458</v>
      </c>
      <c r="E32" s="10"/>
      <c r="F32" s="11"/>
      <c r="G32" s="11"/>
      <c r="H32" s="11"/>
    </row>
    <row r="33" spans="1:8" x14ac:dyDescent="0.2">
      <c r="A33" s="10">
        <v>26</v>
      </c>
      <c r="B33" s="11">
        <v>112198</v>
      </c>
      <c r="C33" s="11">
        <v>111512</v>
      </c>
      <c r="D33" s="11">
        <f t="shared" si="0"/>
        <v>-686</v>
      </c>
      <c r="E33" s="10"/>
      <c r="F33" s="11"/>
      <c r="G33" s="11"/>
      <c r="H33" s="11"/>
    </row>
    <row r="34" spans="1:8" x14ac:dyDescent="0.2">
      <c r="A34" s="10">
        <v>27</v>
      </c>
      <c r="B34" s="11">
        <v>115788</v>
      </c>
      <c r="C34" s="11">
        <v>115496</v>
      </c>
      <c r="D34" s="11">
        <f t="shared" si="0"/>
        <v>-292</v>
      </c>
      <c r="E34" s="10"/>
      <c r="F34" s="11"/>
      <c r="G34" s="11"/>
      <c r="H34" s="11"/>
    </row>
    <row r="35" spans="1:8" x14ac:dyDescent="0.2">
      <c r="A35" s="10">
        <v>28</v>
      </c>
      <c r="B35" s="11">
        <v>105783</v>
      </c>
      <c r="C35" s="11">
        <v>112100</v>
      </c>
      <c r="D35" s="11">
        <f t="shared" si="0"/>
        <v>6317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2538541</v>
      </c>
      <c r="C39" s="11">
        <f>SUM(C8:C38)</f>
        <v>2531440</v>
      </c>
      <c r="D39" s="11">
        <f>SUM(D8:D38)</f>
        <v>-7101</v>
      </c>
      <c r="E39" s="10"/>
      <c r="F39" s="11"/>
      <c r="G39" s="11"/>
      <c r="H39" s="11"/>
    </row>
    <row r="40" spans="1:8" x14ac:dyDescent="0.2">
      <c r="A40" s="26"/>
      <c r="D40" s="75">
        <f>+summary!H4</f>
        <v>2.76</v>
      </c>
      <c r="E40" s="26"/>
      <c r="H40" s="75"/>
    </row>
    <row r="41" spans="1:8" x14ac:dyDescent="0.2">
      <c r="D41" s="197">
        <f>+D40*D39</f>
        <v>-19598.759999999998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37100</v>
      </c>
      <c r="D43" s="198">
        <f>+D42+D41</f>
        <v>29280.329999999998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" workbookViewId="3">
      <selection activeCell="B7" sqref="B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37100</v>
      </c>
      <c r="G7" s="32"/>
      <c r="H7" s="15"/>
      <c r="I7" s="32"/>
      <c r="J7" s="32"/>
    </row>
    <row r="8" spans="1:10" x14ac:dyDescent="0.2">
      <c r="A8" s="254">
        <v>60874</v>
      </c>
      <c r="B8" s="365">
        <v>4568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22664-28249</f>
        <v>-5585</v>
      </c>
      <c r="G10" s="32"/>
      <c r="H10" s="15"/>
      <c r="I10" s="32"/>
      <c r="J10" s="32"/>
    </row>
    <row r="11" spans="1:10" x14ac:dyDescent="0.2">
      <c r="A11" s="254">
        <v>500251</v>
      </c>
      <c r="B11" s="334">
        <f>-16611-15726</f>
        <v>-32337</v>
      </c>
      <c r="G11" s="32"/>
      <c r="H11" s="15"/>
      <c r="I11" s="32"/>
      <c r="J11" s="32"/>
    </row>
    <row r="12" spans="1:10" x14ac:dyDescent="0.2">
      <c r="A12" s="254">
        <v>500254</v>
      </c>
      <c r="B12" s="334">
        <f>2768-3921</f>
        <v>-1153</v>
      </c>
      <c r="G12" s="32"/>
      <c r="H12" s="15"/>
      <c r="I12" s="32"/>
      <c r="J12" s="32"/>
    </row>
    <row r="13" spans="1:10" x14ac:dyDescent="0.2">
      <c r="A13" s="32">
        <v>500255</v>
      </c>
      <c r="B13" s="334">
        <f>16612-15991</f>
        <v>621</v>
      </c>
      <c r="G13" s="32"/>
      <c r="H13" s="15"/>
      <c r="I13" s="32"/>
      <c r="J13" s="32"/>
    </row>
    <row r="14" spans="1:10" x14ac:dyDescent="0.2">
      <c r="A14" s="32">
        <v>500262</v>
      </c>
      <c r="B14" s="334">
        <f>6921-10563</f>
        <v>-3642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1647587-1592343</f>
        <v>55244</v>
      </c>
      <c r="G15" s="32"/>
      <c r="H15" s="15"/>
      <c r="I15" s="32"/>
      <c r="J15" s="32"/>
    </row>
    <row r="16" spans="1:10" x14ac:dyDescent="0.2">
      <c r="B16" s="14">
        <f>SUM(B8:B15)</f>
        <v>17716</v>
      </c>
      <c r="G16" s="32"/>
      <c r="H16" s="15"/>
      <c r="I16" s="32"/>
      <c r="J16" s="32"/>
    </row>
    <row r="17" spans="1:10" x14ac:dyDescent="0.2">
      <c r="B17" s="15">
        <f>+B30</f>
        <v>2.76</v>
      </c>
      <c r="C17" s="201">
        <f>+B17*B16</f>
        <v>48896.159999999996</v>
      </c>
      <c r="G17" s="32"/>
      <c r="H17" s="15"/>
      <c r="I17" s="32"/>
      <c r="J17" s="32"/>
    </row>
    <row r="18" spans="1:10" x14ac:dyDescent="0.2">
      <c r="C18" s="342">
        <f>+C17+C5</f>
        <v>1028140.5800000001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37100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2.76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37100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7495</v>
      </c>
    </row>
    <row r="43" spans="1:6" x14ac:dyDescent="0.2">
      <c r="A43" s="32">
        <v>500392</v>
      </c>
      <c r="B43" s="258">
        <v>1732</v>
      </c>
    </row>
    <row r="44" spans="1:6" x14ac:dyDescent="0.2">
      <c r="B44" s="14">
        <f>SUM(B41:B43)</f>
        <v>9227</v>
      </c>
    </row>
    <row r="45" spans="1:6" x14ac:dyDescent="0.2">
      <c r="B45" s="201">
        <f>+B30</f>
        <v>2.76</v>
      </c>
      <c r="C45" s="201">
        <f>+B45*B44</f>
        <v>25466.519999999997</v>
      </c>
    </row>
    <row r="46" spans="1:6" x14ac:dyDescent="0.2">
      <c r="C46" s="342">
        <f>+C45+C38</f>
        <v>727935.89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142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142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143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2406294.2800000003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E28" sqref="E28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">
      <c r="A25" s="10">
        <v>22</v>
      </c>
      <c r="B25" s="11"/>
      <c r="C25" s="11"/>
      <c r="D25" s="11">
        <v>23975</v>
      </c>
      <c r="E25" s="11">
        <v>21405</v>
      </c>
      <c r="H25" s="11">
        <f t="shared" si="0"/>
        <v>-2570</v>
      </c>
      <c r="I25" s="11"/>
      <c r="J25" s="24"/>
    </row>
    <row r="26" spans="1:10" x14ac:dyDescent="0.2">
      <c r="A26" s="10">
        <v>23</v>
      </c>
      <c r="B26" s="11"/>
      <c r="C26" s="11"/>
      <c r="D26" s="11">
        <v>23607</v>
      </c>
      <c r="E26" s="11">
        <v>24000</v>
      </c>
      <c r="H26" s="11">
        <f t="shared" si="0"/>
        <v>393</v>
      </c>
      <c r="I26" s="11"/>
      <c r="J26" s="24"/>
    </row>
    <row r="27" spans="1:10" x14ac:dyDescent="0.2">
      <c r="A27" s="10">
        <v>24</v>
      </c>
      <c r="B27" s="11"/>
      <c r="C27" s="11"/>
      <c r="D27" s="11">
        <v>24468</v>
      </c>
      <c r="E27" s="11">
        <v>24000</v>
      </c>
      <c r="H27" s="11">
        <f t="shared" si="0"/>
        <v>-468</v>
      </c>
      <c r="I27" s="11"/>
      <c r="J27" s="24"/>
    </row>
    <row r="28" spans="1:10" x14ac:dyDescent="0.2">
      <c r="A28" s="10">
        <v>25</v>
      </c>
      <c r="B28" s="11"/>
      <c r="C28" s="11"/>
      <c r="D28" s="11">
        <v>24250</v>
      </c>
      <c r="E28" s="11">
        <v>24000</v>
      </c>
      <c r="H28" s="11">
        <f t="shared" si="0"/>
        <v>-250</v>
      </c>
      <c r="I28" s="11"/>
      <c r="J28" s="24"/>
    </row>
    <row r="29" spans="1:10" x14ac:dyDescent="0.2">
      <c r="A29" s="10">
        <v>26</v>
      </c>
      <c r="B29" s="11"/>
      <c r="C29" s="11"/>
      <c r="D29" s="11">
        <v>24501</v>
      </c>
      <c r="E29" s="11">
        <v>24000</v>
      </c>
      <c r="H29" s="11">
        <f t="shared" si="0"/>
        <v>-501</v>
      </c>
      <c r="I29" s="11"/>
      <c r="J29" s="24"/>
    </row>
    <row r="30" spans="1:10" x14ac:dyDescent="0.2">
      <c r="A30" s="10">
        <v>27</v>
      </c>
      <c r="B30" s="11"/>
      <c r="C30" s="11"/>
      <c r="D30" s="11">
        <v>24455</v>
      </c>
      <c r="E30" s="11">
        <v>24000</v>
      </c>
      <c r="H30" s="11">
        <f t="shared" si="0"/>
        <v>-455</v>
      </c>
      <c r="I30" s="11"/>
      <c r="J30" s="24"/>
    </row>
    <row r="31" spans="1:10" x14ac:dyDescent="0.2">
      <c r="A31" s="10">
        <v>28</v>
      </c>
      <c r="B31" s="11"/>
      <c r="C31" s="11"/>
      <c r="D31" s="11">
        <v>24465</v>
      </c>
      <c r="E31" s="11">
        <v>23189</v>
      </c>
      <c r="H31" s="11">
        <f t="shared" si="0"/>
        <v>-1276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656884</v>
      </c>
      <c r="E35" s="11">
        <f t="shared" si="1"/>
        <v>646743</v>
      </c>
      <c r="F35" s="11">
        <f t="shared" si="1"/>
        <v>107180</v>
      </c>
      <c r="G35" s="11">
        <f t="shared" si="1"/>
        <v>104083</v>
      </c>
      <c r="H35" s="11">
        <f t="shared" si="1"/>
        <v>-13255</v>
      </c>
      <c r="I35" s="11"/>
      <c r="J35" s="11"/>
    </row>
    <row r="36" spans="1:10" x14ac:dyDescent="0.2">
      <c r="C36" s="25">
        <f>+C35-B35</f>
        <v>-17</v>
      </c>
      <c r="E36" s="25"/>
      <c r="G36" s="25">
        <f>+G35-F35+E35-D35</f>
        <v>-13238</v>
      </c>
      <c r="H36" s="25"/>
    </row>
    <row r="37" spans="1:10" x14ac:dyDescent="0.2">
      <c r="C37" s="331">
        <f>+summary!H5</f>
        <v>2.93</v>
      </c>
      <c r="E37" s="331"/>
      <c r="G37" s="104">
        <f>+C37</f>
        <v>2.93</v>
      </c>
      <c r="H37" s="331"/>
    </row>
    <row r="38" spans="1:10" x14ac:dyDescent="0.2">
      <c r="C38" s="138">
        <f>+C37*C36</f>
        <v>-49.81</v>
      </c>
      <c r="E38" s="138"/>
      <c r="G38" s="136">
        <f>+G37*G36</f>
        <v>-38787.340000000004</v>
      </c>
      <c r="H38" s="138">
        <f>+G38+C38</f>
        <v>-38837.15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">
      <c r="A40" s="57">
        <v>37100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-475333.54000000004</v>
      </c>
      <c r="H40" s="332">
        <f>+H39+H38</f>
        <v>-1498476.24</v>
      </c>
      <c r="I40" s="131"/>
      <c r="J40" s="131"/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-2164064.71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144</v>
      </c>
      <c r="H52" s="138">
        <f>+Duke!C63</f>
        <v>2406294.2800000003</v>
      </c>
    </row>
    <row r="54" spans="3:9" x14ac:dyDescent="0.2">
      <c r="H54" s="104">
        <f>+H52+H50</f>
        <v>242229.5700000003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1" workbookViewId="3">
      <selection activeCell="F36" sqref="F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998</v>
      </c>
      <c r="G29" s="11">
        <v>1277</v>
      </c>
      <c r="H29" s="11">
        <v>1511</v>
      </c>
      <c r="I29" s="11">
        <v>1699</v>
      </c>
      <c r="J29" s="25">
        <f t="shared" si="0"/>
        <v>467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960</v>
      </c>
      <c r="G30" s="11">
        <v>1277</v>
      </c>
      <c r="H30" s="11">
        <v>1566</v>
      </c>
      <c r="I30" s="11">
        <v>1699</v>
      </c>
      <c r="J30" s="25">
        <f t="shared" si="0"/>
        <v>450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>
        <v>1013</v>
      </c>
      <c r="G31" s="11">
        <v>1277</v>
      </c>
      <c r="H31" s="11">
        <v>1531</v>
      </c>
      <c r="I31" s="11">
        <v>1699</v>
      </c>
      <c r="J31" s="25">
        <f t="shared" si="0"/>
        <v>432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>
        <v>856</v>
      </c>
      <c r="G32" s="11">
        <v>1277</v>
      </c>
      <c r="H32" s="11">
        <v>1511</v>
      </c>
      <c r="I32" s="11">
        <v>1699</v>
      </c>
      <c r="J32" s="25">
        <f t="shared" si="0"/>
        <v>609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>
        <v>345</v>
      </c>
      <c r="G33" s="11">
        <v>1277</v>
      </c>
      <c r="H33" s="11">
        <v>1487</v>
      </c>
      <c r="I33" s="11">
        <v>1699</v>
      </c>
      <c r="J33" s="25">
        <f t="shared" si="0"/>
        <v>1144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8001</v>
      </c>
      <c r="C34" s="11"/>
      <c r="D34" s="11"/>
      <c r="E34" s="11"/>
      <c r="F34" s="11">
        <v>1019</v>
      </c>
      <c r="G34" s="11">
        <v>1277</v>
      </c>
      <c r="H34" s="11">
        <v>1471</v>
      </c>
      <c r="I34" s="11">
        <v>1699</v>
      </c>
      <c r="J34" s="25">
        <f t="shared" si="0"/>
        <v>-7515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6811</v>
      </c>
      <c r="C35" s="11">
        <v>6281</v>
      </c>
      <c r="D35" s="11"/>
      <c r="E35" s="11"/>
      <c r="F35" s="11">
        <v>1092</v>
      </c>
      <c r="G35" s="11">
        <v>1277</v>
      </c>
      <c r="H35" s="11">
        <v>1467</v>
      </c>
      <c r="I35" s="11">
        <v>1699</v>
      </c>
      <c r="J35" s="25">
        <f t="shared" si="0"/>
        <v>-113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14812</v>
      </c>
      <c r="C39" s="11">
        <f t="shared" si="1"/>
        <v>6281</v>
      </c>
      <c r="D39" s="11">
        <f t="shared" si="1"/>
        <v>0</v>
      </c>
      <c r="E39" s="11">
        <f t="shared" si="1"/>
        <v>0</v>
      </c>
      <c r="F39" s="11">
        <f t="shared" si="1"/>
        <v>28886</v>
      </c>
      <c r="G39" s="11">
        <f t="shared" si="1"/>
        <v>35084</v>
      </c>
      <c r="H39" s="11">
        <f t="shared" si="1"/>
        <v>41475</v>
      </c>
      <c r="I39" s="11">
        <f t="shared" si="1"/>
        <v>47542</v>
      </c>
      <c r="J39" s="25">
        <f t="shared" si="1"/>
        <v>3734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10305.839999999998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37100</v>
      </c>
      <c r="C43" s="48"/>
      <c r="J43" s="138">
        <f>+J42+J41</f>
        <v>359091.13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36" sqref="D36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11421</v>
      </c>
      <c r="C29" s="11">
        <v>10608</v>
      </c>
      <c r="D29" s="11"/>
      <c r="E29" s="11"/>
      <c r="F29" s="25">
        <f t="shared" si="0"/>
        <v>-813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11770</v>
      </c>
      <c r="C30" s="11">
        <v>10773</v>
      </c>
      <c r="D30" s="11"/>
      <c r="E30" s="11"/>
      <c r="F30" s="25">
        <f t="shared" si="0"/>
        <v>-997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11612</v>
      </c>
      <c r="C31" s="11">
        <v>10891</v>
      </c>
      <c r="D31" s="11"/>
      <c r="E31" s="11"/>
      <c r="F31" s="25">
        <f t="shared" si="0"/>
        <v>-721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11667</v>
      </c>
      <c r="C32" s="11">
        <v>10893</v>
      </c>
      <c r="D32" s="11">
        <v>-742</v>
      </c>
      <c r="E32" s="11"/>
      <c r="F32" s="25">
        <f t="shared" si="0"/>
        <v>-32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6886</v>
      </c>
      <c r="C33" s="11">
        <v>5456</v>
      </c>
      <c r="D33" s="11">
        <v>-767</v>
      </c>
      <c r="E33" s="11"/>
      <c r="F33" s="25">
        <f t="shared" si="0"/>
        <v>-663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11142</v>
      </c>
      <c r="C34" s="11">
        <v>10774</v>
      </c>
      <c r="D34" s="11">
        <v>-3</v>
      </c>
      <c r="E34" s="11"/>
      <c r="F34" s="25">
        <f t="shared" si="0"/>
        <v>-365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>
        <v>13472</v>
      </c>
      <c r="C35" s="11">
        <v>10744</v>
      </c>
      <c r="D35" s="11">
        <v>-1452</v>
      </c>
      <c r="E35" s="11"/>
      <c r="F35" s="25">
        <f t="shared" si="0"/>
        <v>-1276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325675</v>
      </c>
      <c r="C39" s="11">
        <f>SUM(C8:C38)</f>
        <v>296092</v>
      </c>
      <c r="D39" s="11">
        <f>SUM(D8:D38)</f>
        <v>-6593</v>
      </c>
      <c r="E39" s="11">
        <f>SUM(E8:E38)</f>
        <v>0</v>
      </c>
      <c r="F39" s="11">
        <f>SUM(F8:F38)</f>
        <v>-22990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-63452.399999999994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37100</v>
      </c>
      <c r="C43" s="48"/>
      <c r="D43" s="48"/>
      <c r="E43" s="48"/>
      <c r="F43" s="110">
        <f>+F42+F41</f>
        <v>479427.47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topLeftCell="A4" workbookViewId="3">
      <selection activeCell="A22" sqref="A22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146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2.4300000000000002</v>
      </c>
      <c r="I3" s="430">
        <f ca="1">NOW()</f>
        <v>41885.692661458335</v>
      </c>
    </row>
    <row r="4" spans="1:32" ht="15" customHeight="1" x14ac:dyDescent="0.2">
      <c r="A4" s="34" t="s">
        <v>157</v>
      </c>
      <c r="C4" s="34" t="s">
        <v>5</v>
      </c>
      <c r="G4" s="302" t="s">
        <v>31</v>
      </c>
      <c r="H4" s="303">
        <f>+'[1]0701'!$M$39</f>
        <v>2.76</v>
      </c>
    </row>
    <row r="5" spans="1:32" ht="15" customHeight="1" x14ac:dyDescent="0.2">
      <c r="G5" s="301" t="s">
        <v>120</v>
      </c>
      <c r="H5" s="390">
        <f>+'[1]0701'!$H$39</f>
        <v>2.93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158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29</v>
      </c>
      <c r="B8" s="393">
        <f>+C8*$H$3</f>
        <v>761078.43</v>
      </c>
      <c r="C8" s="286">
        <f>+williams!J40</f>
        <v>313201</v>
      </c>
      <c r="D8" s="416">
        <f>+williams!A40</f>
        <v>37100</v>
      </c>
      <c r="E8" s="206" t="s">
        <v>87</v>
      </c>
      <c r="F8" s="206" t="s">
        <v>156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90</v>
      </c>
      <c r="B9" s="393">
        <f>+NNG!$D$24</f>
        <v>684263.62</v>
      </c>
      <c r="C9" s="286">
        <f>+B9/$H$4</f>
        <v>247921.60144927539</v>
      </c>
      <c r="D9" s="416">
        <f>+NNG!A24</f>
        <v>37100</v>
      </c>
      <c r="E9" s="206" t="s">
        <v>88</v>
      </c>
      <c r="F9" s="206" t="s">
        <v>103</v>
      </c>
      <c r="G9" s="32" t="s">
        <v>153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674468.93</v>
      </c>
      <c r="C10" s="396">
        <f>+B10/$H$3</f>
        <v>277559.23045267491</v>
      </c>
      <c r="D10" s="416">
        <f>+'Red C'!B43</f>
        <v>37100</v>
      </c>
      <c r="E10" s="32" t="s">
        <v>88</v>
      </c>
      <c r="F10" s="32" t="s">
        <v>118</v>
      </c>
      <c r="G10" s="32" t="s">
        <v>163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597282.1100000001</v>
      </c>
      <c r="C11" s="286">
        <f>+B11/$H$4</f>
        <v>216406.56159420294</v>
      </c>
      <c r="D11" s="416">
        <f>+Conoco!A41</f>
        <v>37100</v>
      </c>
      <c r="E11" s="32" t="s">
        <v>88</v>
      </c>
      <c r="F11" s="32" t="s">
        <v>116</v>
      </c>
      <c r="G11" s="32" t="s">
        <v>152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4" t="s">
        <v>3</v>
      </c>
      <c r="B12" s="393">
        <f>+'Amoco Abo'!$F$43</f>
        <v>479427.47</v>
      </c>
      <c r="C12" s="286">
        <f>+B12/$H$4</f>
        <v>173705.60507246378</v>
      </c>
      <c r="D12" s="417">
        <f>+'Amoco Abo'!A43</f>
        <v>37100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91</v>
      </c>
      <c r="B13" s="393">
        <f>+C13*$H$4</f>
        <v>431920.68</v>
      </c>
      <c r="C13" s="286">
        <f>+NGPL!F38</f>
        <v>156493</v>
      </c>
      <c r="D13" s="417">
        <f>+NGPL!A38</f>
        <v>37100</v>
      </c>
      <c r="E13" s="32" t="s">
        <v>87</v>
      </c>
      <c r="F13" s="32" t="s">
        <v>118</v>
      </c>
      <c r="G13" s="32" t="s">
        <v>167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92" t="s">
        <v>33</v>
      </c>
      <c r="B14" s="393">
        <f>+C14*$H$4</f>
        <v>423858.72</v>
      </c>
      <c r="C14" s="208">
        <f>+SoCal!F40</f>
        <v>153572</v>
      </c>
      <c r="D14" s="416">
        <f>+SoCal!A40</f>
        <v>37100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110</v>
      </c>
      <c r="B15" s="393">
        <f>+KN_Westar!F41</f>
        <v>422288.61</v>
      </c>
      <c r="C15" s="286">
        <f>+B15/$H$4</f>
        <v>153003.11956521741</v>
      </c>
      <c r="D15" s="417">
        <f>+KN_Westar!A41</f>
        <v>37100</v>
      </c>
      <c r="E15" s="32" t="s">
        <v>88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97</v>
      </c>
      <c r="B16" s="393">
        <f>+C16*$H$4</f>
        <v>374024.16</v>
      </c>
      <c r="C16" s="286">
        <f>+Mojave!D40</f>
        <v>135516</v>
      </c>
      <c r="D16" s="417">
        <f>+Mojave!A40</f>
        <v>37100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2</v>
      </c>
      <c r="B17" s="393">
        <f>+mewborne!$J$43</f>
        <v>359091.13</v>
      </c>
      <c r="C17" s="286">
        <f>+B17/$H$4</f>
        <v>130105.48188405798</v>
      </c>
      <c r="D17" s="417">
        <f>+mewborne!A43</f>
        <v>37100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113</v>
      </c>
      <c r="B18" s="393">
        <f>+CIG!D43</f>
        <v>326755</v>
      </c>
      <c r="C18" s="286">
        <f>+B18/$H$4</f>
        <v>118389.4927536232</v>
      </c>
      <c r="D18" s="417">
        <f>+CIG!A43</f>
        <v>37100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85</v>
      </c>
      <c r="B19" s="393">
        <f>+PNM!$D$23</f>
        <v>306021.19000000006</v>
      </c>
      <c r="C19" s="286">
        <f>+B19/$H$4</f>
        <v>110877.24275362321</v>
      </c>
      <c r="D19" s="417">
        <f>+PNM!A23</f>
        <v>37100</v>
      </c>
      <c r="E19" s="32" t="s">
        <v>88</v>
      </c>
      <c r="F19" s="32" t="s">
        <v>118</v>
      </c>
      <c r="G19" s="32" t="s">
        <v>162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149</v>
      </c>
      <c r="B20" s="395">
        <f>+C20*$H$4</f>
        <v>254626.55999999997</v>
      </c>
      <c r="C20" s="396">
        <f>+PEPL!D41</f>
        <v>92256</v>
      </c>
      <c r="D20" s="417">
        <f>+PEPL!A41</f>
        <v>37100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131</v>
      </c>
      <c r="B21" s="393">
        <f>+DEFS!H54</f>
        <v>242229.5700000003</v>
      </c>
      <c r="C21" s="208">
        <f>+B21/$H$4</f>
        <v>87764.33695652186</v>
      </c>
      <c r="D21" s="417">
        <f>+DEFS!A40</f>
        <v>37100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169</v>
      </c>
      <c r="B22" s="393">
        <f>+PGETX!$H$39</f>
        <v>240507.56000000003</v>
      </c>
      <c r="C22" s="286">
        <f>+B22/$H$4</f>
        <v>87140.420289855087</v>
      </c>
      <c r="D22" s="417">
        <f>+PGETX!E39</f>
        <v>37100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34</v>
      </c>
      <c r="B23" s="393">
        <f>+'El Paso'!C38*summary!H4+'El Paso'!E38*summary!H3</f>
        <v>172838.33999999997</v>
      </c>
      <c r="C23" s="286">
        <f>+'El Paso'!H38</f>
        <v>62399</v>
      </c>
      <c r="D23" s="417">
        <f>+'El Paso'!A38</f>
        <v>37100</v>
      </c>
      <c r="E23" s="32" t="s">
        <v>87</v>
      </c>
      <c r="F23" s="32" t="s">
        <v>103</v>
      </c>
      <c r="G23" s="32" t="s">
        <v>122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106</v>
      </c>
      <c r="B24" s="393">
        <f>+EOG!J41</f>
        <v>162079.67000000001</v>
      </c>
      <c r="C24" s="286">
        <f>+B24/$H$4</f>
        <v>58724.518115942039</v>
      </c>
      <c r="D24" s="416">
        <f>+EOG!A41</f>
        <v>37100</v>
      </c>
      <c r="E24" s="32" t="s">
        <v>88</v>
      </c>
      <c r="F24" s="32" t="s">
        <v>105</v>
      </c>
      <c r="G24" s="32" t="s">
        <v>161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136</v>
      </c>
      <c r="B25" s="393">
        <f>+SidR!D41</f>
        <v>134393.24000000002</v>
      </c>
      <c r="C25" s="286">
        <f>+B25/$H$4</f>
        <v>48693.202898550735</v>
      </c>
      <c r="D25" s="417">
        <f>+SidR!A41</f>
        <v>37100</v>
      </c>
      <c r="E25" s="32" t="s">
        <v>88</v>
      </c>
      <c r="F25" s="32" t="s">
        <v>105</v>
      </c>
      <c r="G25" s="32" t="s">
        <v>165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32</v>
      </c>
      <c r="B26" s="393">
        <f>+C26*$H$4</f>
        <v>115006.43999999999</v>
      </c>
      <c r="C26" s="286">
        <f>+Lonestar!F42</f>
        <v>41669</v>
      </c>
      <c r="D26" s="416">
        <f>+Lonestar!B42</f>
        <v>37100</v>
      </c>
      <c r="E26" s="32" t="s">
        <v>87</v>
      </c>
      <c r="F26" s="32" t="s">
        <v>105</v>
      </c>
      <c r="G26" s="32" t="s">
        <v>166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6</v>
      </c>
      <c r="B27" s="393">
        <f>+C27*$H$3</f>
        <v>109622.16</v>
      </c>
      <c r="C27" s="286">
        <f>+Amoco!D40</f>
        <v>45112</v>
      </c>
      <c r="D27" s="417">
        <f>+Amoco!A40</f>
        <v>37100</v>
      </c>
      <c r="E27" s="32" t="s">
        <v>87</v>
      </c>
      <c r="F27" s="32" t="s">
        <v>118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7</v>
      </c>
      <c r="B28" s="393">
        <f>+C28*$H$4</f>
        <v>108824.04</v>
      </c>
      <c r="C28" s="208">
        <f>+Oasis!D40</f>
        <v>39429</v>
      </c>
      <c r="D28" s="417">
        <f>+Oasis!B40</f>
        <v>37100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4" t="s">
        <v>117</v>
      </c>
      <c r="B29" s="393">
        <f>+C29*$H$4</f>
        <v>56778.719999999994</v>
      </c>
      <c r="C29" s="208">
        <f>+'PG&amp;E'!D40</f>
        <v>20572</v>
      </c>
      <c r="D29" s="417">
        <f>+'PG&amp;E'!A40</f>
        <v>37100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92" t="s">
        <v>132</v>
      </c>
      <c r="B30" s="393">
        <f>+Calpine!D41</f>
        <v>46638.669999999925</v>
      </c>
      <c r="C30" s="208">
        <f>+B30/$H$4</f>
        <v>16898.068840579683</v>
      </c>
      <c r="D30" s="416">
        <f>+Calpine!A41</f>
        <v>37100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4" t="s">
        <v>74</v>
      </c>
      <c r="B31" s="395">
        <f>+transcol!$D$43</f>
        <v>29280.329999999998</v>
      </c>
      <c r="C31" s="396">
        <f>+B31/$H$4</f>
        <v>10608.815217391304</v>
      </c>
      <c r="D31" s="417">
        <f>+transcol!A43</f>
        <v>37100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254" t="s">
        <v>1</v>
      </c>
      <c r="B32" s="397">
        <f>+C32*$H$3</f>
        <v>8794.17</v>
      </c>
      <c r="C32" s="398">
        <f>+NW!$F$41</f>
        <v>3619</v>
      </c>
      <c r="D32" s="416">
        <f>+NW!B41</f>
        <v>37100</v>
      </c>
      <c r="E32" s="32" t="s">
        <v>87</v>
      </c>
      <c r="F32" s="32" t="s">
        <v>118</v>
      </c>
      <c r="G32" s="400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7522099.5200000005</v>
      </c>
      <c r="C33" s="69">
        <f>SUM(C8:C32)</f>
        <v>2801635.6978439796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99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9" t="s">
        <v>92</v>
      </c>
      <c r="B35" s="360" t="s">
        <v>17</v>
      </c>
      <c r="C35" s="361" t="s">
        <v>0</v>
      </c>
      <c r="D35" s="370" t="s">
        <v>158</v>
      </c>
      <c r="E35" s="359" t="s">
        <v>93</v>
      </c>
      <c r="F35" s="362" t="s">
        <v>104</v>
      </c>
      <c r="G35" s="359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92" t="s">
        <v>140</v>
      </c>
      <c r="B36" s="393">
        <f>+Citizens!D18</f>
        <v>-861937.3</v>
      </c>
      <c r="C36" s="208">
        <f>+B36/$H$4</f>
        <v>-312296.12318840582</v>
      </c>
      <c r="D36" s="416">
        <f>+Citizens!A18</f>
        <v>37100</v>
      </c>
      <c r="E36" s="206" t="s">
        <v>88</v>
      </c>
      <c r="F36" s="206" t="s">
        <v>102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4" t="s">
        <v>138</v>
      </c>
      <c r="B37" s="393">
        <f>+'NS Steel'!D41</f>
        <v>-391141.36</v>
      </c>
      <c r="C37" s="208">
        <f>+B37/$H$4</f>
        <v>-141717.88405797101</v>
      </c>
      <c r="D37" s="417">
        <f>+'NS Steel'!A41</f>
        <v>37100</v>
      </c>
      <c r="E37" s="32" t="s">
        <v>88</v>
      </c>
      <c r="F37" s="32" t="s">
        <v>103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145</v>
      </c>
      <c r="B38" s="393">
        <f>+'Citizens-Griffith'!D41</f>
        <v>-351731.65</v>
      </c>
      <c r="C38" s="286">
        <f>+B38/$H$4</f>
        <v>-127439.00362318843</v>
      </c>
      <c r="D38" s="416">
        <f>+'Citizens-Griffith'!A41</f>
        <v>37100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92" t="s">
        <v>82</v>
      </c>
      <c r="B39" s="393">
        <f>+Agave!$D$24</f>
        <v>-103116.15</v>
      </c>
      <c r="C39" s="208">
        <f>+B39/$H$4</f>
        <v>-37360.92391304348</v>
      </c>
      <c r="D39" s="416">
        <f>+Agave!A24</f>
        <v>37100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4" t="s">
        <v>134</v>
      </c>
      <c r="B40" s="393">
        <f>+EPFS!D41</f>
        <v>-101367.35</v>
      </c>
      <c r="C40" s="208">
        <f>+B40/$H$5</f>
        <v>-34596.365187713309</v>
      </c>
      <c r="D40" s="416">
        <f>+EPFS!A41</f>
        <v>37100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92" t="s">
        <v>98</v>
      </c>
      <c r="B41" s="393">
        <f>+burlington!D42</f>
        <v>-34260.57</v>
      </c>
      <c r="C41" s="286">
        <f>+B41/$H$3</f>
        <v>-14098.999999999998</v>
      </c>
      <c r="D41" s="416">
        <f>+burlington!A42</f>
        <v>37100</v>
      </c>
      <c r="E41" s="206" t="s">
        <v>88</v>
      </c>
      <c r="F41" s="32" t="s">
        <v>116</v>
      </c>
      <c r="G41" s="32" t="s">
        <v>155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112</v>
      </c>
      <c r="B42" s="397">
        <f>+Continental!F43</f>
        <v>-14806.050000000001</v>
      </c>
      <c r="C42" s="398">
        <f>+B42/$H$4</f>
        <v>-5364.5108695652179</v>
      </c>
      <c r="D42" s="417">
        <f>+Continental!A43</f>
        <v>37100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SUM(B36:B42)</f>
        <v>-1858360.4300000002</v>
      </c>
      <c r="C43" s="208">
        <f>SUM(C36:C42)</f>
        <v>-672873.81083988724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+B43+B33</f>
        <v>5663739.0899999999</v>
      </c>
      <c r="C45" s="403">
        <f>+C43+C33</f>
        <v>2128761.8870040923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-134328</v>
      </c>
      <c r="C6" s="80"/>
      <c r="D6" s="80">
        <f t="shared" ref="D6:D14" si="0">+C6-B6</f>
        <v>134328</v>
      </c>
    </row>
    <row r="7" spans="1:8" x14ac:dyDescent="0.2">
      <c r="A7" s="32">
        <v>3531</v>
      </c>
      <c r="B7" s="325">
        <v>-19947</v>
      </c>
      <c r="C7" s="80">
        <v>-6199</v>
      </c>
      <c r="D7" s="80">
        <f t="shared" si="0"/>
        <v>13748</v>
      </c>
    </row>
    <row r="8" spans="1:8" x14ac:dyDescent="0.2">
      <c r="A8" s="32">
        <v>60667</v>
      </c>
      <c r="B8" s="325">
        <v>-774624</v>
      </c>
      <c r="C8" s="80"/>
      <c r="D8" s="80">
        <f t="shared" si="0"/>
        <v>774624</v>
      </c>
      <c r="H8" s="255"/>
    </row>
    <row r="9" spans="1:8" x14ac:dyDescent="0.2">
      <c r="A9" s="32">
        <v>60749</v>
      </c>
      <c r="B9" s="325">
        <v>1299456</v>
      </c>
      <c r="C9" s="80">
        <v>131888</v>
      </c>
      <c r="D9" s="80">
        <f t="shared" si="0"/>
        <v>-1167568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-126657</v>
      </c>
      <c r="C11" s="80"/>
      <c r="D11" s="80">
        <f t="shared" si="0"/>
        <v>126657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-118211</v>
      </c>
    </row>
    <row r="19" spans="1:5" x14ac:dyDescent="0.2">
      <c r="A19" s="32" t="s">
        <v>84</v>
      </c>
      <c r="B19" s="69"/>
      <c r="C19" s="69"/>
      <c r="D19" s="73">
        <f>+summary!H4</f>
        <v>2.76</v>
      </c>
    </row>
    <row r="20" spans="1:5" x14ac:dyDescent="0.2">
      <c r="B20" s="69"/>
      <c r="C20" s="69"/>
      <c r="D20" s="75">
        <f>+D19*D18</f>
        <v>-326262.36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37100</v>
      </c>
      <c r="B24" s="69"/>
      <c r="C24" s="69"/>
      <c r="D24" s="355">
        <f>+D22+D20</f>
        <v>684263.62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3" sqref="B1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-67379</v>
      </c>
      <c r="C5" s="90">
        <v>-46256</v>
      </c>
      <c r="D5" s="90">
        <f t="shared" ref="D5:D13" si="0">+C5-B5</f>
        <v>21123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-2580271</v>
      </c>
      <c r="C7" s="90">
        <v>-2766526</v>
      </c>
      <c r="D7" s="90">
        <f t="shared" si="0"/>
        <v>-186255</v>
      </c>
      <c r="E7" s="286"/>
      <c r="F7" s="70"/>
    </row>
    <row r="8" spans="1:13" x14ac:dyDescent="0.2">
      <c r="A8" s="87">
        <v>58710</v>
      </c>
      <c r="B8" s="368">
        <v>-29412</v>
      </c>
      <c r="C8" s="90">
        <v>-6358</v>
      </c>
      <c r="D8" s="90">
        <f t="shared" si="0"/>
        <v>23054</v>
      </c>
      <c r="E8" s="286"/>
      <c r="F8" s="70"/>
    </row>
    <row r="9" spans="1:13" x14ac:dyDescent="0.2">
      <c r="A9" s="87">
        <v>60921</v>
      </c>
      <c r="B9" s="321">
        <v>2310218</v>
      </c>
      <c r="C9" s="90">
        <v>2292027</v>
      </c>
      <c r="D9" s="90">
        <f t="shared" si="0"/>
        <v>-18191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50311</v>
      </c>
      <c r="D10" s="90">
        <f t="shared" si="0"/>
        <v>25820</v>
      </c>
      <c r="E10" s="286"/>
      <c r="F10" s="284"/>
    </row>
    <row r="11" spans="1:13" x14ac:dyDescent="0.2">
      <c r="A11" s="87">
        <v>500084</v>
      </c>
      <c r="B11" s="368">
        <v>-13782</v>
      </c>
      <c r="C11" s="90">
        <v>-28000</v>
      </c>
      <c r="D11" s="90">
        <f t="shared" si="0"/>
        <v>-14218</v>
      </c>
      <c r="E11" s="287"/>
      <c r="F11" s="284"/>
    </row>
    <row r="12" spans="1:13" x14ac:dyDescent="0.2">
      <c r="A12" s="336">
        <v>500085</v>
      </c>
      <c r="B12" s="368">
        <v>-7993</v>
      </c>
      <c r="C12" s="90"/>
      <c r="D12" s="90">
        <f t="shared" si="0"/>
        <v>7993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-140162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2.76</v>
      </c>
      <c r="E18" s="288"/>
      <c r="F18" s="284"/>
    </row>
    <row r="19" spans="1:7" x14ac:dyDescent="0.2">
      <c r="A19" s="87"/>
      <c r="B19" s="88"/>
      <c r="C19" s="88"/>
      <c r="D19" s="96">
        <f>+D18*D17</f>
        <v>-386847.12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37100</v>
      </c>
      <c r="B23" s="88"/>
      <c r="C23" s="88"/>
      <c r="D23" s="337">
        <f>+D21+D19</f>
        <v>306021.19000000006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D28" sqref="D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">
      <c r="A25">
        <v>23</v>
      </c>
      <c r="B25" s="350">
        <v>29239</v>
      </c>
      <c r="C25" s="350">
        <v>29491</v>
      </c>
      <c r="D25" s="14"/>
      <c r="E25" s="14"/>
      <c r="F25" s="90">
        <f t="shared" si="0"/>
        <v>252</v>
      </c>
    </row>
    <row r="26" spans="1:6" x14ac:dyDescent="0.2">
      <c r="A26">
        <v>24</v>
      </c>
      <c r="B26" s="350">
        <v>38076</v>
      </c>
      <c r="C26" s="350">
        <v>38255</v>
      </c>
      <c r="D26" s="14"/>
      <c r="E26" s="14"/>
      <c r="F26" s="90">
        <f t="shared" si="0"/>
        <v>179</v>
      </c>
    </row>
    <row r="27" spans="1:6" x14ac:dyDescent="0.2">
      <c r="A27">
        <v>25</v>
      </c>
      <c r="B27" s="350">
        <v>31684</v>
      </c>
      <c r="C27" s="350">
        <v>49492</v>
      </c>
      <c r="D27" s="14">
        <v>-5</v>
      </c>
      <c r="E27" s="14"/>
      <c r="F27" s="90">
        <f t="shared" si="0"/>
        <v>17813</v>
      </c>
    </row>
    <row r="28" spans="1:6" x14ac:dyDescent="0.2">
      <c r="A28">
        <v>26</v>
      </c>
      <c r="B28" s="350">
        <v>37330</v>
      </c>
      <c r="C28" s="350">
        <v>37491</v>
      </c>
      <c r="D28" s="14"/>
      <c r="E28" s="14"/>
      <c r="F28" s="90">
        <f t="shared" si="0"/>
        <v>161</v>
      </c>
    </row>
    <row r="29" spans="1:6" x14ac:dyDescent="0.2">
      <c r="A29">
        <v>27</v>
      </c>
      <c r="B29" s="350">
        <v>37528</v>
      </c>
      <c r="C29" s="350">
        <v>37679</v>
      </c>
      <c r="D29" s="14"/>
      <c r="E29" s="14"/>
      <c r="F29" s="90">
        <f t="shared" si="0"/>
        <v>151</v>
      </c>
    </row>
    <row r="30" spans="1:6" x14ac:dyDescent="0.2">
      <c r="A30">
        <v>28</v>
      </c>
      <c r="B30" s="350">
        <v>33820</v>
      </c>
      <c r="C30" s="350">
        <v>33936</v>
      </c>
      <c r="D30" s="14"/>
      <c r="E30" s="14"/>
      <c r="F30" s="90">
        <f t="shared" si="0"/>
        <v>116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1188162</v>
      </c>
      <c r="C34" s="298">
        <f>SUM(C3:C33)</f>
        <v>1152311</v>
      </c>
      <c r="D34" s="14">
        <f>SUM(D3:D33)</f>
        <v>-6</v>
      </c>
      <c r="E34" s="14">
        <f>SUM(E3:E33)</f>
        <v>0</v>
      </c>
      <c r="F34" s="14">
        <f>SUM(F3:F33)</f>
        <v>-35845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37100</v>
      </c>
      <c r="B38" s="14"/>
      <c r="C38" s="14"/>
      <c r="D38" s="14"/>
      <c r="E38" s="14"/>
      <c r="F38" s="150">
        <f>+F37+F34</f>
        <v>156493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2" sqref="C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">
      <c r="A26" s="10">
        <v>23</v>
      </c>
      <c r="B26" s="11">
        <v>-34476</v>
      </c>
      <c r="C26" s="11">
        <v>-34120</v>
      </c>
      <c r="D26" s="25">
        <f t="shared" si="0"/>
        <v>356</v>
      </c>
    </row>
    <row r="27" spans="1:4" x14ac:dyDescent="0.2">
      <c r="A27" s="10">
        <v>24</v>
      </c>
      <c r="B27" s="11">
        <v>-36011</v>
      </c>
      <c r="C27" s="11">
        <v>-35000</v>
      </c>
      <c r="D27" s="25">
        <f t="shared" si="0"/>
        <v>1011</v>
      </c>
    </row>
    <row r="28" spans="1:4" x14ac:dyDescent="0.2">
      <c r="A28" s="10">
        <v>25</v>
      </c>
      <c r="B28" s="11">
        <v>-35510</v>
      </c>
      <c r="C28" s="11">
        <v>-34878</v>
      </c>
      <c r="D28" s="25">
        <f t="shared" si="0"/>
        <v>632</v>
      </c>
    </row>
    <row r="29" spans="1:4" x14ac:dyDescent="0.2">
      <c r="A29" s="10">
        <v>26</v>
      </c>
      <c r="B29" s="11">
        <v>-32964</v>
      </c>
      <c r="C29" s="11">
        <v>-35000</v>
      </c>
      <c r="D29" s="25">
        <f t="shared" si="0"/>
        <v>-2036</v>
      </c>
    </row>
    <row r="30" spans="1:4" x14ac:dyDescent="0.2">
      <c r="A30" s="10">
        <v>27</v>
      </c>
      <c r="B30" s="11">
        <v>-39421</v>
      </c>
      <c r="C30" s="11">
        <v>-38227</v>
      </c>
      <c r="D30" s="25">
        <f t="shared" si="0"/>
        <v>1194</v>
      </c>
    </row>
    <row r="31" spans="1:4" x14ac:dyDescent="0.2">
      <c r="A31" s="10">
        <v>28</v>
      </c>
      <c r="B31" s="11">
        <v>-35004</v>
      </c>
      <c r="C31" s="11">
        <v>-35000</v>
      </c>
      <c r="D31" s="25">
        <f t="shared" si="0"/>
        <v>4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-1076874</v>
      </c>
      <c r="C35" s="11">
        <f>SUM(C4:C34)</f>
        <v>-1074453</v>
      </c>
      <c r="D35" s="11">
        <f>SUM(D4:D34)</f>
        <v>2421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37100</v>
      </c>
      <c r="D40" s="51">
        <f>+D38+D35</f>
        <v>135516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G31" sqref="G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1266</v>
      </c>
      <c r="I24" s="11"/>
      <c r="J24" s="11">
        <f t="shared" si="0"/>
        <v>-6532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27582</v>
      </c>
      <c r="C25" s="11">
        <v>24871</v>
      </c>
      <c r="D25" s="11">
        <v>7457</v>
      </c>
      <c r="E25" s="11">
        <v>8610</v>
      </c>
      <c r="F25" s="11"/>
      <c r="G25" s="11"/>
      <c r="H25" s="11">
        <v>1</v>
      </c>
      <c r="I25" s="11"/>
      <c r="J25" s="11">
        <f t="shared" si="0"/>
        <v>-1559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27616</v>
      </c>
      <c r="C26" s="11">
        <v>25996</v>
      </c>
      <c r="D26" s="11">
        <v>9400</v>
      </c>
      <c r="E26" s="11">
        <v>8999</v>
      </c>
      <c r="F26" s="11"/>
      <c r="G26" s="11"/>
      <c r="H26" s="11">
        <v>177</v>
      </c>
      <c r="I26" s="11"/>
      <c r="J26" s="11">
        <f t="shared" si="0"/>
        <v>-2198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27570</v>
      </c>
      <c r="C27" s="11">
        <v>25996</v>
      </c>
      <c r="D27" s="11">
        <v>8805</v>
      </c>
      <c r="E27" s="11">
        <v>8999</v>
      </c>
      <c r="F27" s="11"/>
      <c r="G27" s="11"/>
      <c r="H27" s="11"/>
      <c r="I27" s="11"/>
      <c r="J27" s="11">
        <f t="shared" si="0"/>
        <v>-1380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27423</v>
      </c>
      <c r="C28" s="11">
        <v>25000</v>
      </c>
      <c r="D28" s="11">
        <v>8781</v>
      </c>
      <c r="E28" s="11">
        <v>8000</v>
      </c>
      <c r="F28" s="11"/>
      <c r="G28" s="11"/>
      <c r="H28" s="11"/>
      <c r="I28" s="11"/>
      <c r="J28" s="11">
        <f t="shared" si="0"/>
        <v>-3204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27404</v>
      </c>
      <c r="C29" s="11">
        <v>24920</v>
      </c>
      <c r="D29" s="11">
        <v>9194</v>
      </c>
      <c r="E29" s="11">
        <v>7975</v>
      </c>
      <c r="F29" s="11"/>
      <c r="G29" s="11"/>
      <c r="H29" s="11"/>
      <c r="I29" s="11"/>
      <c r="J29" s="11">
        <f t="shared" si="0"/>
        <v>-3703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27389</v>
      </c>
      <c r="C30" s="11">
        <v>25734</v>
      </c>
      <c r="D30" s="11">
        <v>9201</v>
      </c>
      <c r="E30" s="11">
        <v>8000</v>
      </c>
      <c r="F30" s="11"/>
      <c r="G30" s="11"/>
      <c r="H30" s="11">
        <v>235</v>
      </c>
      <c r="I30" s="11">
        <v>1266</v>
      </c>
      <c r="J30" s="11">
        <f t="shared" si="0"/>
        <v>-1825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26777</v>
      </c>
      <c r="C31" s="11">
        <v>26500</v>
      </c>
      <c r="D31" s="11">
        <v>9276</v>
      </c>
      <c r="E31" s="11">
        <v>8500</v>
      </c>
      <c r="F31" s="11"/>
      <c r="G31" s="11"/>
      <c r="H31" s="11"/>
      <c r="I31" s="11"/>
      <c r="J31" s="11">
        <f t="shared" si="0"/>
        <v>-1053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720610</v>
      </c>
      <c r="C35" s="11">
        <f t="shared" ref="C35:I35" si="1">SUM(C4:C34)</f>
        <v>676457</v>
      </c>
      <c r="D35" s="11">
        <f t="shared" si="1"/>
        <v>250466</v>
      </c>
      <c r="E35" s="11">
        <f t="shared" si="1"/>
        <v>241699</v>
      </c>
      <c r="F35" s="11">
        <f t="shared" si="1"/>
        <v>32974</v>
      </c>
      <c r="G35" s="11">
        <f t="shared" si="1"/>
        <v>24000</v>
      </c>
      <c r="H35" s="11">
        <f t="shared" si="1"/>
        <v>3153</v>
      </c>
      <c r="I35" s="11">
        <f t="shared" si="1"/>
        <v>2740</v>
      </c>
      <c r="J35" s="11">
        <f>SUM(J4:J34)</f>
        <v>-62307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-171967.31999999998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37100</v>
      </c>
      <c r="J41" s="340">
        <f>+J39+J37</f>
        <v>162079.67000000001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E47" sqref="E4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-31405</v>
      </c>
      <c r="E9" s="24">
        <v>-37675</v>
      </c>
      <c r="F9" s="24">
        <f t="shared" si="0"/>
        <v>-6270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-55482</v>
      </c>
      <c r="E11" s="24">
        <v>-53290</v>
      </c>
      <c r="F11" s="24">
        <f t="shared" si="0"/>
        <v>2192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-54649</v>
      </c>
      <c r="E12" s="24">
        <v>-54207</v>
      </c>
      <c r="F12" s="24">
        <f t="shared" si="0"/>
        <v>442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-64238</v>
      </c>
      <c r="E13" s="24">
        <v>-65832</v>
      </c>
      <c r="F13" s="24">
        <f t="shared" si="0"/>
        <v>-1594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-88384</v>
      </c>
      <c r="E26" s="24">
        <v>-90931</v>
      </c>
      <c r="F26" s="24">
        <f t="shared" si="0"/>
        <v>-2547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-85131</v>
      </c>
      <c r="E27" s="24">
        <v>-86099</v>
      </c>
      <c r="F27" s="24">
        <f t="shared" si="0"/>
        <v>-968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-78019</v>
      </c>
      <c r="E28" s="24">
        <v>-81042</v>
      </c>
      <c r="F28" s="24">
        <f t="shared" si="0"/>
        <v>-3023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-55687</v>
      </c>
      <c r="E29" s="24">
        <v>-60271</v>
      </c>
      <c r="F29" s="24">
        <f t="shared" si="0"/>
        <v>-4584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-50744</v>
      </c>
      <c r="E30" s="24">
        <v>-50082</v>
      </c>
      <c r="F30" s="24">
        <f t="shared" si="0"/>
        <v>662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-24808</v>
      </c>
      <c r="E31" s="24">
        <v>-37758</v>
      </c>
      <c r="F31" s="24">
        <f t="shared" si="0"/>
        <v>-12950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-112267</v>
      </c>
      <c r="E32" s="24">
        <v>-116020</v>
      </c>
      <c r="F32" s="24">
        <f t="shared" si="0"/>
        <v>-3753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-104613</v>
      </c>
      <c r="E33" s="24">
        <v>-114768</v>
      </c>
      <c r="F33" s="24">
        <f t="shared" si="0"/>
        <v>-10155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-1735615</v>
      </c>
      <c r="E37" s="24">
        <f>SUM(E6:E36)</f>
        <v>-1783863</v>
      </c>
      <c r="F37" s="24">
        <f>SUM(F6:F36)</f>
        <v>-48248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-133164.47999999998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37100</v>
      </c>
      <c r="E41" s="14"/>
      <c r="F41" s="104">
        <f>+F40+F39</f>
        <v>422288.61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28" sqref="A2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2.76</v>
      </c>
    </row>
    <row r="41" spans="1:6" x14ac:dyDescent="0.2">
      <c r="F41" s="138">
        <f>+F40*F39</f>
        <v>-836.28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37100</v>
      </c>
      <c r="C43" s="48"/>
      <c r="F43" s="138">
        <f>+F42+F41</f>
        <v>-14806.050000000001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2.76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37100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C38" sqref="C3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">
      <c r="A28" s="10">
        <v>23</v>
      </c>
      <c r="B28" s="11">
        <v>-79981</v>
      </c>
      <c r="C28" s="11">
        <v>-79408</v>
      </c>
      <c r="D28" s="25">
        <f t="shared" si="0"/>
        <v>573</v>
      </c>
    </row>
    <row r="29" spans="1:4" x14ac:dyDescent="0.2">
      <c r="A29" s="10">
        <v>24</v>
      </c>
      <c r="B29" s="11">
        <v>-55032</v>
      </c>
      <c r="C29" s="11">
        <v>-45000</v>
      </c>
      <c r="D29" s="25">
        <f t="shared" si="0"/>
        <v>10032</v>
      </c>
    </row>
    <row r="30" spans="1:4" x14ac:dyDescent="0.2">
      <c r="A30" s="10">
        <v>25</v>
      </c>
      <c r="B30" s="11">
        <v>-68673</v>
      </c>
      <c r="C30" s="11">
        <v>-68300</v>
      </c>
      <c r="D30" s="25">
        <f t="shared" si="0"/>
        <v>373</v>
      </c>
    </row>
    <row r="31" spans="1:4" x14ac:dyDescent="0.2">
      <c r="A31" s="10">
        <v>26</v>
      </c>
      <c r="B31" s="11">
        <v>-79858</v>
      </c>
      <c r="C31" s="11">
        <v>-65300</v>
      </c>
      <c r="D31" s="25">
        <f t="shared" si="0"/>
        <v>14558</v>
      </c>
    </row>
    <row r="32" spans="1:4" x14ac:dyDescent="0.2">
      <c r="A32" s="10">
        <v>27</v>
      </c>
      <c r="B32" s="11">
        <v>-76479</v>
      </c>
      <c r="C32" s="11">
        <v>-83874</v>
      </c>
      <c r="D32" s="25">
        <f t="shared" si="0"/>
        <v>-7395</v>
      </c>
    </row>
    <row r="33" spans="1:4" x14ac:dyDescent="0.2">
      <c r="A33" s="10">
        <v>28</v>
      </c>
      <c r="B33" s="11">
        <v>-75348</v>
      </c>
      <c r="C33" s="11">
        <v>-84300</v>
      </c>
      <c r="D33" s="25">
        <f t="shared" si="0"/>
        <v>-8952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-1841103</v>
      </c>
      <c r="C37" s="11">
        <f>SUM(C6:C36)</f>
        <v>-1689171</v>
      </c>
      <c r="D37" s="25">
        <f>SUM(D6:D36)</f>
        <v>151932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419332.31999999995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37100</v>
      </c>
      <c r="C41" s="48"/>
      <c r="D41" s="138">
        <f>+D40+D39</f>
        <v>46638.669999999925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30" sqref="C3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">
      <c r="A28" s="10">
        <v>23</v>
      </c>
      <c r="B28" s="11">
        <v>33967</v>
      </c>
      <c r="C28" s="11">
        <v>40001</v>
      </c>
      <c r="D28" s="25">
        <f t="shared" si="0"/>
        <v>6034</v>
      </c>
    </row>
    <row r="29" spans="1:4" x14ac:dyDescent="0.2">
      <c r="A29" s="10">
        <v>24</v>
      </c>
      <c r="B29" s="11">
        <v>33555</v>
      </c>
      <c r="C29" s="11">
        <v>31298</v>
      </c>
      <c r="D29" s="25">
        <f t="shared" si="0"/>
        <v>-2257</v>
      </c>
    </row>
    <row r="30" spans="1:4" x14ac:dyDescent="0.2">
      <c r="A30" s="10">
        <v>25</v>
      </c>
      <c r="B30" s="11">
        <v>40217</v>
      </c>
      <c r="C30" s="11">
        <v>39000</v>
      </c>
      <c r="D30" s="25">
        <f t="shared" si="0"/>
        <v>-1217</v>
      </c>
    </row>
    <row r="31" spans="1:4" x14ac:dyDescent="0.2">
      <c r="A31" s="10">
        <v>26</v>
      </c>
      <c r="B31" s="11">
        <v>41234</v>
      </c>
      <c r="C31" s="11">
        <v>39000</v>
      </c>
      <c r="D31" s="25">
        <f t="shared" si="0"/>
        <v>-2234</v>
      </c>
    </row>
    <row r="32" spans="1:4" x14ac:dyDescent="0.2">
      <c r="A32" s="10">
        <v>27</v>
      </c>
      <c r="B32" s="11">
        <v>39615</v>
      </c>
      <c r="C32" s="11">
        <v>38000</v>
      </c>
      <c r="D32" s="25">
        <f t="shared" si="0"/>
        <v>-1615</v>
      </c>
    </row>
    <row r="33" spans="1:4" x14ac:dyDescent="0.2">
      <c r="A33" s="10">
        <v>28</v>
      </c>
      <c r="B33" s="11">
        <v>30730</v>
      </c>
      <c r="C33" s="11">
        <v>37600</v>
      </c>
      <c r="D33" s="25">
        <f t="shared" si="0"/>
        <v>6870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1037804</v>
      </c>
      <c r="C37" s="11">
        <f>SUM(C6:C36)</f>
        <v>1019423</v>
      </c>
      <c r="D37" s="25">
        <f>SUM(D6:D36)</f>
        <v>-18381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-53856.33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37100</v>
      </c>
      <c r="C41" s="48"/>
      <c r="D41" s="138">
        <f>+D40+D39</f>
        <v>-101367.35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E32" sqref="E32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202336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-368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230366</v>
      </c>
      <c r="C25" s="11">
        <v>270527</v>
      </c>
      <c r="D25" s="11">
        <v>82046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-1450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267711</v>
      </c>
      <c r="C26" s="11">
        <v>296857</v>
      </c>
      <c r="D26" s="11">
        <v>71118</v>
      </c>
      <c r="E26" s="11">
        <v>29673</v>
      </c>
      <c r="F26" s="11">
        <v>55377</v>
      </c>
      <c r="G26" s="11">
        <v>56496</v>
      </c>
      <c r="H26" s="11">
        <v>141383</v>
      </c>
      <c r="I26" s="11">
        <v>163107</v>
      </c>
      <c r="J26" s="11">
        <f t="shared" si="0"/>
        <v>10544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274587</v>
      </c>
      <c r="C27" s="11">
        <v>259847</v>
      </c>
      <c r="D27" s="11">
        <v>32375</v>
      </c>
      <c r="E27" s="11">
        <v>31584</v>
      </c>
      <c r="F27" s="11">
        <v>33922</v>
      </c>
      <c r="G27" s="11">
        <v>30562</v>
      </c>
      <c r="H27" s="11">
        <v>157295</v>
      </c>
      <c r="I27" s="11">
        <v>157049</v>
      </c>
      <c r="J27" s="11">
        <f t="shared" si="0"/>
        <v>-19137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283193</v>
      </c>
      <c r="C28" s="11">
        <v>293061</v>
      </c>
      <c r="D28" s="11">
        <v>32053</v>
      </c>
      <c r="E28" s="11">
        <v>29000</v>
      </c>
      <c r="F28" s="11">
        <v>31469</v>
      </c>
      <c r="G28" s="11">
        <v>27271</v>
      </c>
      <c r="H28" s="11">
        <v>203964</v>
      </c>
      <c r="I28" s="11">
        <v>201613</v>
      </c>
      <c r="J28" s="11">
        <f t="shared" si="0"/>
        <v>266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302228</v>
      </c>
      <c r="C29" s="11">
        <v>295926</v>
      </c>
      <c r="D29" s="11">
        <v>32687</v>
      </c>
      <c r="E29" s="11">
        <v>36779</v>
      </c>
      <c r="F29" s="11">
        <v>28741</v>
      </c>
      <c r="G29" s="11">
        <v>24695</v>
      </c>
      <c r="H29" s="11">
        <v>222464</v>
      </c>
      <c r="I29" s="11">
        <v>225892</v>
      </c>
      <c r="J29" s="11">
        <f t="shared" si="0"/>
        <v>-2828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295699</v>
      </c>
      <c r="C30" s="11">
        <v>293349</v>
      </c>
      <c r="D30" s="11">
        <v>48935</v>
      </c>
      <c r="E30" s="11">
        <v>29754</v>
      </c>
      <c r="F30" s="11">
        <v>33837</v>
      </c>
      <c r="G30" s="11">
        <v>36477</v>
      </c>
      <c r="H30" s="11">
        <v>179346</v>
      </c>
      <c r="I30" s="11">
        <v>208824</v>
      </c>
      <c r="J30" s="11">
        <f t="shared" si="0"/>
        <v>10587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302517</v>
      </c>
      <c r="C31" s="11">
        <v>310004</v>
      </c>
      <c r="D31" s="11">
        <v>49027</v>
      </c>
      <c r="E31" s="11">
        <v>50404</v>
      </c>
      <c r="F31" s="11">
        <v>25657</v>
      </c>
      <c r="G31" s="11">
        <v>22195</v>
      </c>
      <c r="H31" s="11">
        <v>140144</v>
      </c>
      <c r="I31" s="11">
        <v>136254</v>
      </c>
      <c r="J31" s="11">
        <f t="shared" si="0"/>
        <v>1512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8202650</v>
      </c>
      <c r="C35" s="11">
        <f t="shared" ref="C35:I35" si="1">SUM(C4:C34)</f>
        <v>8468938</v>
      </c>
      <c r="D35" s="11">
        <f t="shared" si="1"/>
        <v>1654718</v>
      </c>
      <c r="E35" s="11">
        <f t="shared" si="1"/>
        <v>1359084</v>
      </c>
      <c r="F35" s="11">
        <f t="shared" si="1"/>
        <v>1820959</v>
      </c>
      <c r="G35" s="11">
        <f t="shared" si="1"/>
        <v>1884013</v>
      </c>
      <c r="H35" s="11">
        <f t="shared" si="1"/>
        <v>3406089</v>
      </c>
      <c r="I35" s="11">
        <f t="shared" si="1"/>
        <v>3399251</v>
      </c>
      <c r="J35" s="11">
        <f>SUM(J4:J34)</f>
        <v>26870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37100</v>
      </c>
      <c r="J40" s="51">
        <f>+J38+J35</f>
        <v>313201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1" workbookViewId="3">
      <selection activeCell="C43" sqref="C43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56765</v>
      </c>
      <c r="C23" s="11">
        <v>55683</v>
      </c>
      <c r="D23" s="25">
        <f t="shared" si="0"/>
        <v>-1082</v>
      </c>
    </row>
    <row r="24" spans="1:4" x14ac:dyDescent="0.2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">
      <c r="A28" s="10">
        <v>23</v>
      </c>
      <c r="B28" s="11">
        <v>50659</v>
      </c>
      <c r="C28" s="11">
        <v>50176</v>
      </c>
      <c r="D28" s="25">
        <f t="shared" si="0"/>
        <v>-483</v>
      </c>
    </row>
    <row r="29" spans="1:4" x14ac:dyDescent="0.2">
      <c r="A29" s="10">
        <v>24</v>
      </c>
      <c r="B29" s="11">
        <v>48519</v>
      </c>
      <c r="C29" s="11">
        <v>32684</v>
      </c>
      <c r="D29" s="25">
        <f t="shared" si="0"/>
        <v>-15835</v>
      </c>
    </row>
    <row r="30" spans="1:4" x14ac:dyDescent="0.2">
      <c r="A30" s="10">
        <v>25</v>
      </c>
      <c r="B30" s="11">
        <v>54136</v>
      </c>
      <c r="C30" s="11">
        <v>51992</v>
      </c>
      <c r="D30" s="25">
        <f t="shared" si="0"/>
        <v>-2144</v>
      </c>
    </row>
    <row r="31" spans="1:4" x14ac:dyDescent="0.2">
      <c r="A31" s="10">
        <v>26</v>
      </c>
      <c r="B31" s="11">
        <v>61612</v>
      </c>
      <c r="C31" s="11">
        <v>56568</v>
      </c>
      <c r="D31" s="25">
        <f t="shared" si="0"/>
        <v>-5044</v>
      </c>
    </row>
    <row r="32" spans="1:4" x14ac:dyDescent="0.2">
      <c r="A32" s="10">
        <v>27</v>
      </c>
      <c r="B32" s="11">
        <v>51210</v>
      </c>
      <c r="C32" s="11">
        <v>52443</v>
      </c>
      <c r="D32" s="25">
        <f t="shared" si="0"/>
        <v>1233</v>
      </c>
    </row>
    <row r="33" spans="1:4" x14ac:dyDescent="0.2">
      <c r="A33" s="10">
        <v>28</v>
      </c>
      <c r="B33" s="11">
        <v>54934</v>
      </c>
      <c r="C33" s="11">
        <v>75976</v>
      </c>
      <c r="D33" s="25">
        <f t="shared" si="0"/>
        <v>21042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1623557</v>
      </c>
      <c r="C37" s="11">
        <f>SUM(C6:C36)</f>
        <v>1669425</v>
      </c>
      <c r="D37" s="25">
        <f>SUM(D6:D36)</f>
        <v>45868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134393.24000000002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37100</v>
      </c>
      <c r="C41" s="48"/>
      <c r="D41" s="138">
        <f>+D40+D39</f>
        <v>134393.24000000002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4" sqref="C34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51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">
      <c r="A28" s="10">
        <v>23</v>
      </c>
      <c r="B28" s="11">
        <v>-1852</v>
      </c>
      <c r="C28" s="11"/>
      <c r="D28" s="25">
        <f t="shared" si="0"/>
        <v>1852</v>
      </c>
    </row>
    <row r="29" spans="1:4" x14ac:dyDescent="0.2">
      <c r="A29" s="10">
        <v>24</v>
      </c>
      <c r="B29" s="11">
        <v>-1967</v>
      </c>
      <c r="C29" s="11">
        <v>-2139</v>
      </c>
      <c r="D29" s="25">
        <f t="shared" si="0"/>
        <v>-172</v>
      </c>
    </row>
    <row r="30" spans="1:4" x14ac:dyDescent="0.2">
      <c r="A30" s="10">
        <v>25</v>
      </c>
      <c r="B30" s="11">
        <v>-1904</v>
      </c>
      <c r="C30" s="11">
        <v>-2139</v>
      </c>
      <c r="D30" s="25">
        <f t="shared" si="0"/>
        <v>-235</v>
      </c>
    </row>
    <row r="31" spans="1:4" x14ac:dyDescent="0.2">
      <c r="A31" s="10">
        <v>26</v>
      </c>
      <c r="B31" s="11">
        <v>-561</v>
      </c>
      <c r="C31" s="11">
        <v>-2139</v>
      </c>
      <c r="D31" s="25">
        <f t="shared" si="0"/>
        <v>-1578</v>
      </c>
    </row>
    <row r="32" spans="1:4" x14ac:dyDescent="0.2">
      <c r="A32" s="10">
        <v>27</v>
      </c>
      <c r="B32" s="11">
        <v>-614</v>
      </c>
      <c r="C32" s="11">
        <v>-2139</v>
      </c>
      <c r="D32" s="25">
        <f t="shared" si="0"/>
        <v>-1525</v>
      </c>
    </row>
    <row r="33" spans="1:4" x14ac:dyDescent="0.2">
      <c r="A33" s="10">
        <v>28</v>
      </c>
      <c r="B33" s="11">
        <v>-1251</v>
      </c>
      <c r="C33" s="11">
        <v>-2139</v>
      </c>
      <c r="D33" s="25">
        <f t="shared" si="0"/>
        <v>-888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-39415</v>
      </c>
      <c r="C37" s="11">
        <f>SUM(C6:C36)</f>
        <v>-52835</v>
      </c>
      <c r="D37" s="25">
        <f>SUM(D6:D36)</f>
        <v>-13420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-37039.199999999997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37100</v>
      </c>
      <c r="C41" s="48"/>
      <c r="D41" s="138">
        <f>+D40+D39</f>
        <v>-391141.36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51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">
      <c r="A28" s="10">
        <v>23</v>
      </c>
      <c r="B28" s="11">
        <v>-33261</v>
      </c>
      <c r="C28" s="11">
        <v>-55000</v>
      </c>
      <c r="D28" s="25">
        <f t="shared" si="0"/>
        <v>-21739</v>
      </c>
    </row>
    <row r="29" spans="1:4" x14ac:dyDescent="0.2">
      <c r="A29" s="10">
        <v>24</v>
      </c>
      <c r="B29" s="11">
        <v>-23072</v>
      </c>
      <c r="C29" s="11">
        <v>-54047</v>
      </c>
      <c r="D29" s="25">
        <f t="shared" si="0"/>
        <v>-30975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>
        <v>229</v>
      </c>
      <c r="D32" s="25">
        <f t="shared" si="0"/>
        <v>229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-84691</v>
      </c>
      <c r="C37" s="11">
        <f>SUM(C6:C36)</f>
        <v>-133818</v>
      </c>
      <c r="D37" s="25">
        <f>SUM(D6:D36)</f>
        <v>-49127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-135590.51999999999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37100</v>
      </c>
      <c r="C41" s="48"/>
      <c r="D41" s="138">
        <f>+D40+D39</f>
        <v>-351731.65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7" sqref="A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-17560</v>
      </c>
      <c r="C5" s="90">
        <v>-12608</v>
      </c>
      <c r="D5" s="90">
        <f>+C5-B5</f>
        <v>4952</v>
      </c>
      <c r="E5" s="286"/>
      <c r="F5" s="284"/>
    </row>
    <row r="6" spans="1:13" x14ac:dyDescent="0.2">
      <c r="A6" s="87">
        <v>500046</v>
      </c>
      <c r="B6" s="90">
        <v>-532</v>
      </c>
      <c r="C6" s="90"/>
      <c r="D6" s="90">
        <f t="shared" ref="D6:D11" si="0">+C6-B6</f>
        <v>532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5387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2.76</v>
      </c>
      <c r="E13" s="288"/>
      <c r="F13" s="284"/>
    </row>
    <row r="14" spans="1:13" x14ac:dyDescent="0.2">
      <c r="A14" s="87"/>
      <c r="B14" s="88"/>
      <c r="C14" s="88"/>
      <c r="D14" s="96">
        <f>+D13*D12</f>
        <v>14868.119999999999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37100</v>
      </c>
      <c r="B18" s="88"/>
      <c r="C18" s="88"/>
      <c r="D18" s="337">
        <f>+D16+D14</f>
        <v>-861937.3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41" sqref="C41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">
      <c r="A28" s="10">
        <v>23</v>
      </c>
      <c r="B28" s="11">
        <v>-18858</v>
      </c>
      <c r="C28" s="11">
        <v>-17035</v>
      </c>
      <c r="D28" s="25">
        <f t="shared" si="0"/>
        <v>1823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>
        <v>-2000</v>
      </c>
      <c r="D32" s="25">
        <f t="shared" si="0"/>
        <v>-2000</v>
      </c>
    </row>
    <row r="33" spans="1:4" x14ac:dyDescent="0.2">
      <c r="A33" s="10">
        <v>28</v>
      </c>
      <c r="B33" s="11"/>
      <c r="C33" s="11">
        <v>-1375</v>
      </c>
      <c r="D33" s="25">
        <f t="shared" si="0"/>
        <v>-1375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-118605</v>
      </c>
      <c r="C37" s="11">
        <f>SUM(C6:C36)</f>
        <v>-121451</v>
      </c>
      <c r="D37" s="25">
        <f>SUM(D6:D36)</f>
        <v>-2846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37100</v>
      </c>
      <c r="C41" s="48"/>
      <c r="D41" s="25">
        <f>+D40+D37</f>
        <v>92256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B31" sqref="B3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">
      <c r="A29" s="10">
        <v>23</v>
      </c>
      <c r="B29" s="11">
        <v>124954</v>
      </c>
      <c r="C29" s="11">
        <v>125143</v>
      </c>
      <c r="D29" s="25">
        <f t="shared" si="0"/>
        <v>189</v>
      </c>
    </row>
    <row r="30" spans="1:4" x14ac:dyDescent="0.2">
      <c r="A30" s="10">
        <v>24</v>
      </c>
      <c r="B30" s="11">
        <v>152646</v>
      </c>
      <c r="C30" s="11">
        <v>151273</v>
      </c>
      <c r="D30" s="25">
        <f t="shared" si="0"/>
        <v>-1373</v>
      </c>
    </row>
    <row r="31" spans="1:4" x14ac:dyDescent="0.2">
      <c r="A31" s="10">
        <v>25</v>
      </c>
      <c r="B31" s="11">
        <v>126791</v>
      </c>
      <c r="C31" s="11">
        <v>125765</v>
      </c>
      <c r="D31" s="25">
        <f t="shared" si="0"/>
        <v>-1026</v>
      </c>
    </row>
    <row r="32" spans="1:4" x14ac:dyDescent="0.2">
      <c r="A32" s="10">
        <v>26</v>
      </c>
      <c r="B32" s="11">
        <v>126699</v>
      </c>
      <c r="C32" s="11">
        <v>125765</v>
      </c>
      <c r="D32" s="25">
        <f t="shared" si="0"/>
        <v>-934</v>
      </c>
    </row>
    <row r="33" spans="1:4" x14ac:dyDescent="0.2">
      <c r="A33" s="10">
        <v>27</v>
      </c>
      <c r="B33" s="11">
        <v>138175</v>
      </c>
      <c r="C33" s="11">
        <v>138021</v>
      </c>
      <c r="D33" s="25">
        <f t="shared" si="0"/>
        <v>-154</v>
      </c>
    </row>
    <row r="34" spans="1:4" x14ac:dyDescent="0.2">
      <c r="A34" s="10">
        <v>28</v>
      </c>
      <c r="B34" s="11">
        <v>154721</v>
      </c>
      <c r="C34" s="11">
        <v>153816</v>
      </c>
      <c r="D34" s="25">
        <f t="shared" si="0"/>
        <v>-905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4005671</v>
      </c>
      <c r="C38" s="11">
        <f>SUM(C7:C37)</f>
        <v>3991572</v>
      </c>
      <c r="D38" s="11">
        <f>SUM(D7:D37)</f>
        <v>-14099</v>
      </c>
    </row>
    <row r="39" spans="1:4" x14ac:dyDescent="0.2">
      <c r="A39" s="26"/>
      <c r="C39" s="14"/>
      <c r="D39" s="106">
        <f>+summary!H3</f>
        <v>2.4300000000000002</v>
      </c>
    </row>
    <row r="40" spans="1:4" x14ac:dyDescent="0.2">
      <c r="D40" s="138">
        <f>+D39*D38</f>
        <v>-34260.57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37100</v>
      </c>
      <c r="D42" s="340">
        <f>+D41+D40</f>
        <v>-34260.57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B33" sqref="B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-70781</v>
      </c>
      <c r="C27" s="11">
        <v>-35486</v>
      </c>
      <c r="D27" s="11">
        <v>-32225</v>
      </c>
      <c r="E27" s="11">
        <v>-70575</v>
      </c>
      <c r="F27" s="11">
        <f t="shared" si="0"/>
        <v>-3055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-19400</v>
      </c>
      <c r="C28" s="11"/>
      <c r="D28" s="11"/>
      <c r="E28" s="11">
        <v>-16775</v>
      </c>
      <c r="F28" s="11">
        <f t="shared" si="0"/>
        <v>2625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-55547</v>
      </c>
      <c r="C29" s="11"/>
      <c r="D29" s="11"/>
      <c r="E29" s="11">
        <v>-64075</v>
      </c>
      <c r="F29" s="11">
        <f t="shared" si="0"/>
        <v>-8528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-20580</v>
      </c>
      <c r="C30" s="11">
        <v>-52635</v>
      </c>
      <c r="D30" s="11">
        <v>-76888</v>
      </c>
      <c r="E30" s="11">
        <v>-51075</v>
      </c>
      <c r="F30" s="11">
        <f t="shared" si="0"/>
        <v>-6242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>
        <v>-35000</v>
      </c>
      <c r="D31" s="11">
        <v>-69391</v>
      </c>
      <c r="E31" s="11">
        <v>-37075</v>
      </c>
      <c r="F31" s="11">
        <f t="shared" si="0"/>
        <v>-2684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>
        <v>-717</v>
      </c>
      <c r="C32" s="11">
        <v>-38000</v>
      </c>
      <c r="D32" s="11">
        <v>-89160</v>
      </c>
      <c r="E32" s="11">
        <v>-53886</v>
      </c>
      <c r="F32" s="11">
        <f t="shared" si="0"/>
        <v>-2009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-1192253</v>
      </c>
      <c r="C36" s="44">
        <f>SUM(C5:C35)</f>
        <v>-545709</v>
      </c>
      <c r="D36" s="43">
        <f>SUM(D5:D35)</f>
        <v>-505166</v>
      </c>
      <c r="E36" s="44">
        <f>SUM(E5:E35)</f>
        <v>-1179355</v>
      </c>
      <c r="F36" s="11">
        <f>SUM(F5:F35)</f>
        <v>-27645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-646544</v>
      </c>
      <c r="D37" s="24"/>
      <c r="E37" s="24">
        <f>+D36-E36</f>
        <v>674189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37100</v>
      </c>
      <c r="C42" s="14"/>
      <c r="D42" s="50"/>
      <c r="E42" s="50"/>
      <c r="F42" s="51">
        <f>+F41+F36</f>
        <v>41669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32" sqref="C3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">
      <c r="A26" s="10">
        <v>23</v>
      </c>
      <c r="B26" s="11">
        <v>-111317</v>
      </c>
      <c r="C26" s="11">
        <v>-110211</v>
      </c>
      <c r="D26" s="25">
        <f t="shared" si="0"/>
        <v>1106</v>
      </c>
    </row>
    <row r="27" spans="1:4" x14ac:dyDescent="0.2">
      <c r="A27" s="10">
        <v>24</v>
      </c>
      <c r="B27" s="11">
        <v>-151881</v>
      </c>
      <c r="C27" s="11">
        <v>-148939</v>
      </c>
      <c r="D27" s="25">
        <f t="shared" si="0"/>
        <v>2942</v>
      </c>
    </row>
    <row r="28" spans="1:4" x14ac:dyDescent="0.2">
      <c r="A28" s="10">
        <v>25</v>
      </c>
      <c r="B28" s="11">
        <v>-203402</v>
      </c>
      <c r="C28" s="11">
        <v>-202605</v>
      </c>
      <c r="D28" s="25">
        <f t="shared" si="0"/>
        <v>797</v>
      </c>
    </row>
    <row r="29" spans="1:4" x14ac:dyDescent="0.2">
      <c r="A29" s="10">
        <v>26</v>
      </c>
      <c r="B29" s="11">
        <v>-212346</v>
      </c>
      <c r="C29" s="11">
        <v>-210027</v>
      </c>
      <c r="D29" s="25">
        <f t="shared" si="0"/>
        <v>2319</v>
      </c>
    </row>
    <row r="30" spans="1:4" x14ac:dyDescent="0.2">
      <c r="A30" s="10">
        <v>27</v>
      </c>
      <c r="B30" s="11">
        <v>-143640</v>
      </c>
      <c r="C30" s="11">
        <v>-142521</v>
      </c>
      <c r="D30" s="25">
        <f t="shared" si="0"/>
        <v>1119</v>
      </c>
    </row>
    <row r="31" spans="1:4" x14ac:dyDescent="0.2">
      <c r="A31" s="10">
        <v>28</v>
      </c>
      <c r="B31" s="11">
        <v>-186472</v>
      </c>
      <c r="C31" s="11">
        <v>-184044</v>
      </c>
      <c r="D31" s="25">
        <f t="shared" si="0"/>
        <v>2428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-4426712</v>
      </c>
      <c r="C35" s="11">
        <f>SUM(C4:C34)</f>
        <v>-4393380</v>
      </c>
      <c r="D35" s="11">
        <f>SUM(D4:D34)</f>
        <v>33332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37100</v>
      </c>
      <c r="D40" s="24">
        <f>+D38+D35</f>
        <v>20572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0" workbookViewId="3">
      <selection activeCell="C42" sqref="C4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">
      <c r="A26" s="10">
        <v>23</v>
      </c>
      <c r="B26" s="11">
        <v>-789324</v>
      </c>
      <c r="C26" s="11">
        <v>-789725</v>
      </c>
      <c r="D26" s="11">
        <v>-5111</v>
      </c>
      <c r="E26" s="11">
        <v>-5000</v>
      </c>
      <c r="F26" s="25">
        <f t="shared" si="0"/>
        <v>-290</v>
      </c>
      <c r="H26" s="10"/>
      <c r="I26" s="11"/>
    </row>
    <row r="27" spans="1:11" x14ac:dyDescent="0.2">
      <c r="A27" s="10">
        <v>24</v>
      </c>
      <c r="B27" s="11">
        <v>-757430</v>
      </c>
      <c r="C27" s="11">
        <v>-755622</v>
      </c>
      <c r="D27" s="11"/>
      <c r="E27" s="11"/>
      <c r="F27" s="25">
        <f t="shared" si="0"/>
        <v>1808</v>
      </c>
      <c r="H27" s="10"/>
      <c r="I27" s="11"/>
      <c r="K27" s="25"/>
    </row>
    <row r="28" spans="1:11" x14ac:dyDescent="0.2">
      <c r="A28" s="10">
        <v>25</v>
      </c>
      <c r="B28" s="11">
        <v>-761321</v>
      </c>
      <c r="C28" s="11">
        <v>-761321</v>
      </c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>
        <v>-750894</v>
      </c>
      <c r="C29" s="11">
        <v>-756284</v>
      </c>
      <c r="D29" s="11"/>
      <c r="E29" s="11"/>
      <c r="F29" s="25">
        <f t="shared" si="0"/>
        <v>-5390</v>
      </c>
      <c r="H29" s="10"/>
      <c r="I29" s="11"/>
      <c r="K29" s="25"/>
    </row>
    <row r="30" spans="1:11" x14ac:dyDescent="0.2">
      <c r="A30" s="10">
        <v>27</v>
      </c>
      <c r="B30" s="11">
        <v>-761379</v>
      </c>
      <c r="C30" s="11">
        <v>-780815</v>
      </c>
      <c r="D30" s="11">
        <v>-23481</v>
      </c>
      <c r="E30" s="11">
        <v>-25000</v>
      </c>
      <c r="F30" s="25">
        <f t="shared" si="0"/>
        <v>-20955</v>
      </c>
      <c r="H30" s="10"/>
      <c r="I30" s="11"/>
      <c r="K30" s="25"/>
    </row>
    <row r="31" spans="1:11" x14ac:dyDescent="0.2">
      <c r="A31" s="10">
        <v>28</v>
      </c>
      <c r="B31" s="11">
        <v>-587827</v>
      </c>
      <c r="C31" s="11">
        <v>-597627</v>
      </c>
      <c r="D31" s="11">
        <v>-1</v>
      </c>
      <c r="E31" s="11"/>
      <c r="F31" s="25">
        <f t="shared" si="0"/>
        <v>-9799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-20637424</v>
      </c>
      <c r="C35" s="11">
        <f>SUM(C4:C34)</f>
        <v>-20617345</v>
      </c>
      <c r="D35" s="11">
        <f>SUM(D4:D34)</f>
        <v>-370301</v>
      </c>
      <c r="E35" s="11">
        <f>SUM(E4:E34)</f>
        <v>-360000</v>
      </c>
      <c r="F35" s="11">
        <f>SUM(F4:F34)</f>
        <v>30380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37100</v>
      </c>
      <c r="F40" s="51">
        <f>+F38+F35</f>
        <v>153572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B45" sqref="B4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-140665</v>
      </c>
      <c r="C20" s="11">
        <v>-80925</v>
      </c>
      <c r="D20" s="11"/>
      <c r="E20" s="11">
        <v>-57792</v>
      </c>
      <c r="F20" s="11"/>
      <c r="G20" s="11"/>
      <c r="H20" s="11">
        <f t="shared" si="0"/>
        <v>-1948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-133040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-21439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-135181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-2679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-150673</v>
      </c>
      <c r="C26" s="11">
        <v>-84260</v>
      </c>
      <c r="D26" s="11"/>
      <c r="E26" s="11">
        <v>-66792</v>
      </c>
      <c r="F26" s="11"/>
      <c r="G26" s="11"/>
      <c r="H26" s="11">
        <f t="shared" si="0"/>
        <v>379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-132418</v>
      </c>
      <c r="C27" s="11">
        <v>-60925</v>
      </c>
      <c r="D27" s="11">
        <v>-245</v>
      </c>
      <c r="E27" s="11">
        <v>-70343</v>
      </c>
      <c r="F27" s="11"/>
      <c r="G27" s="11"/>
      <c r="H27" s="11">
        <f t="shared" si="0"/>
        <v>-1395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-138197</v>
      </c>
      <c r="C28" s="11">
        <v>-70925</v>
      </c>
      <c r="D28" s="11"/>
      <c r="E28" s="11">
        <v>-68503</v>
      </c>
      <c r="F28" s="11"/>
      <c r="G28" s="11"/>
      <c r="H28" s="11">
        <f t="shared" si="0"/>
        <v>1231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-127705</v>
      </c>
      <c r="C29" s="11">
        <v>-79396</v>
      </c>
      <c r="D29" s="11">
        <v>-31083</v>
      </c>
      <c r="E29" s="11">
        <v>-82591</v>
      </c>
      <c r="F29" s="11"/>
      <c r="G29" s="11"/>
      <c r="H29" s="11">
        <f t="shared" si="0"/>
        <v>3199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-134689</v>
      </c>
      <c r="C30" s="11">
        <v>-82806</v>
      </c>
      <c r="D30" s="11">
        <v>-379</v>
      </c>
      <c r="E30" s="11">
        <v>-51792</v>
      </c>
      <c r="F30" s="11"/>
      <c r="G30" s="11"/>
      <c r="H30" s="11">
        <f t="shared" si="0"/>
        <v>-470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-141255</v>
      </c>
      <c r="C31" s="11">
        <v>-101615</v>
      </c>
      <c r="D31" s="11">
        <v>-23528</v>
      </c>
      <c r="E31" s="11">
        <v>-60827</v>
      </c>
      <c r="F31" s="11"/>
      <c r="G31" s="11"/>
      <c r="H31" s="11">
        <f t="shared" si="0"/>
        <v>-2341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-3534559</v>
      </c>
      <c r="C35" s="44">
        <f t="shared" si="1"/>
        <v>-2302146</v>
      </c>
      <c r="D35" s="11">
        <f t="shared" si="1"/>
        <v>-615136</v>
      </c>
      <c r="E35" s="44">
        <f t="shared" si="1"/>
        <v>-1807372</v>
      </c>
      <c r="F35" s="11">
        <f t="shared" si="1"/>
        <v>0</v>
      </c>
      <c r="G35" s="11">
        <f t="shared" si="1"/>
        <v>0</v>
      </c>
      <c r="H35" s="11">
        <f t="shared" si="1"/>
        <v>-39133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-108007.07999999999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37100</v>
      </c>
      <c r="F39" s="47"/>
      <c r="G39" s="47"/>
      <c r="H39" s="137">
        <f>+H38+H37</f>
        <v>240507.56000000003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B33" sqref="B33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-329416</v>
      </c>
      <c r="E26" s="11">
        <v>-330245</v>
      </c>
      <c r="F26" s="11"/>
      <c r="G26" s="11"/>
      <c r="H26" s="24">
        <f t="shared" si="0"/>
        <v>-829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-292944</v>
      </c>
      <c r="E27" s="11">
        <v>-294426</v>
      </c>
      <c r="F27" s="11"/>
      <c r="G27" s="11"/>
      <c r="H27" s="24">
        <f t="shared" si="0"/>
        <v>-1482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-313234</v>
      </c>
      <c r="E28" s="11">
        <v>-313761</v>
      </c>
      <c r="F28" s="11"/>
      <c r="G28" s="11"/>
      <c r="H28" s="24">
        <f t="shared" si="0"/>
        <v>-527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-328127</v>
      </c>
      <c r="E29" s="11">
        <v>-328322</v>
      </c>
      <c r="F29" s="11"/>
      <c r="G29" s="11"/>
      <c r="H29" s="24">
        <f t="shared" si="0"/>
        <v>-195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>
        <v>13748</v>
      </c>
      <c r="D30" s="11">
        <v>-298954</v>
      </c>
      <c r="E30" s="11">
        <v>-303876</v>
      </c>
      <c r="F30" s="11"/>
      <c r="G30" s="11"/>
      <c r="H30" s="24">
        <f t="shared" si="0"/>
        <v>8826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-309493</v>
      </c>
      <c r="E31" s="11">
        <v>-299157</v>
      </c>
      <c r="F31" s="11"/>
      <c r="G31" s="11"/>
      <c r="H31" s="24">
        <f t="shared" si="0"/>
        <v>10336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-306560</v>
      </c>
      <c r="E32" s="11">
        <v>-308660</v>
      </c>
      <c r="F32" s="11"/>
      <c r="G32" s="11"/>
      <c r="H32" s="24">
        <f t="shared" si="0"/>
        <v>-2100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13748</v>
      </c>
      <c r="D36" s="11">
        <f t="shared" si="15"/>
        <v>-7798760</v>
      </c>
      <c r="E36" s="11">
        <f t="shared" si="15"/>
        <v>-7971158</v>
      </c>
      <c r="F36" s="11">
        <f t="shared" si="15"/>
        <v>0</v>
      </c>
      <c r="G36" s="11">
        <f t="shared" si="15"/>
        <v>0</v>
      </c>
      <c r="H36" s="11">
        <f t="shared" si="15"/>
        <v>-158650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37100</v>
      </c>
      <c r="B38" s="2" t="s">
        <v>46</v>
      </c>
      <c r="C38" s="131">
        <f>+C37+C36-B36</f>
        <v>64269</v>
      </c>
      <c r="D38" s="260"/>
      <c r="E38" s="131">
        <f>+E37+E36-D36</f>
        <v>-1870</v>
      </c>
      <c r="F38" s="260"/>
      <c r="G38" s="131"/>
      <c r="H38" s="131">
        <f>+H37+H36</f>
        <v>62399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46" sqref="C46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119922</v>
      </c>
      <c r="D21" s="25">
        <f t="shared" si="0"/>
        <v>-3666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129044</v>
      </c>
      <c r="C28" s="11">
        <v>127800</v>
      </c>
      <c r="D28" s="25">
        <f t="shared" si="0"/>
        <v>-1244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130822</v>
      </c>
      <c r="C29" s="11">
        <v>129990</v>
      </c>
      <c r="D29" s="25">
        <f t="shared" si="0"/>
        <v>-832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104275</v>
      </c>
      <c r="C30" s="11">
        <v>102951</v>
      </c>
      <c r="D30" s="25">
        <f t="shared" si="0"/>
        <v>-1324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111622</v>
      </c>
      <c r="C31" s="11">
        <v>109724</v>
      </c>
      <c r="D31" s="25">
        <f t="shared" si="0"/>
        <v>-1898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111834</v>
      </c>
      <c r="C32" s="11">
        <v>110374</v>
      </c>
      <c r="D32" s="25">
        <f t="shared" si="0"/>
        <v>-1460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151982</v>
      </c>
      <c r="C33" s="11">
        <v>146300</v>
      </c>
      <c r="D33" s="25">
        <f t="shared" si="0"/>
        <v>-5682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2953156</v>
      </c>
      <c r="C37" s="11">
        <f>SUM(C6:C36)</f>
        <v>2939089</v>
      </c>
      <c r="D37" s="11">
        <f>SUM(D6:D36)</f>
        <v>-14067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37100</v>
      </c>
      <c r="C40" s="48"/>
      <c r="D40" s="25">
        <f>+D39+D37</f>
        <v>45112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2001-07-30T17:24:40Z</cp:lastPrinted>
  <dcterms:created xsi:type="dcterms:W3CDTF">2000-03-28T16:52:23Z</dcterms:created>
  <dcterms:modified xsi:type="dcterms:W3CDTF">2014-09-03T14:37:26Z</dcterms:modified>
</cp:coreProperties>
</file>