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6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K3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8" i="80"/>
  <c r="J50" i="80"/>
  <c r="F57" i="80"/>
  <c r="F58" i="80"/>
  <c r="F59" i="80"/>
  <c r="F63" i="80"/>
  <c r="F64" i="80"/>
  <c r="F65" i="80"/>
  <c r="F66" i="80"/>
  <c r="F67" i="80"/>
  <c r="F71" i="80"/>
  <c r="F72" i="80"/>
  <c r="F73" i="80"/>
  <c r="F74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8" i="72" s="1"/>
  <c r="D49" i="72" s="1"/>
  <c r="D29" i="80" s="1"/>
  <c r="A47" i="72"/>
  <c r="A48" i="72"/>
  <c r="D5" i="78"/>
  <c r="D6" i="78"/>
  <c r="D7" i="78"/>
  <c r="D8" i="78"/>
  <c r="D9" i="78"/>
  <c r="D10" i="78"/>
  <c r="D11" i="78"/>
  <c r="D13" i="78"/>
  <c r="A22" i="78"/>
  <c r="A23" i="78"/>
  <c r="D6" i="79"/>
  <c r="D7" i="79"/>
  <c r="D8" i="79"/>
  <c r="D9" i="79"/>
  <c r="D10" i="79"/>
  <c r="D11" i="79"/>
  <c r="D12" i="79"/>
  <c r="D37" i="79" s="1"/>
  <c r="D47" i="79" s="1"/>
  <c r="D48" i="79" s="1"/>
  <c r="D13" i="80" s="1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D49" i="71" s="1"/>
  <c r="D50" i="71" s="1"/>
  <c r="D35" i="80" s="1"/>
  <c r="A48" i="71"/>
  <c r="A49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J35" i="73"/>
  <c r="C36" i="73"/>
  <c r="K35" i="73" s="1"/>
  <c r="K36" i="73" s="1"/>
  <c r="C37" i="73"/>
  <c r="G37" i="73"/>
  <c r="H39" i="73"/>
  <c r="B8" i="20"/>
  <c r="B10" i="20"/>
  <c r="B11" i="20"/>
  <c r="B12" i="20"/>
  <c r="B13" i="20"/>
  <c r="B14" i="20"/>
  <c r="B15" i="20"/>
  <c r="E15" i="20"/>
  <c r="B29" i="20"/>
  <c r="G37" i="20" s="1"/>
  <c r="G38" i="20" s="1"/>
  <c r="E36" i="20"/>
  <c r="E37" i="20"/>
  <c r="H37" i="20"/>
  <c r="H38" i="20" s="1"/>
  <c r="B44" i="20"/>
  <c r="I52" i="20"/>
  <c r="M52" i="73" s="1"/>
  <c r="H5" i="11"/>
  <c r="H6" i="11"/>
  <c r="H7" i="11"/>
  <c r="H8" i="11"/>
  <c r="H36" i="11" s="1"/>
  <c r="H39" i="11" s="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F36" i="11" s="1"/>
  <c r="AI36" i="11"/>
  <c r="AL36" i="11"/>
  <c r="AM36" i="11"/>
  <c r="AN36" i="11"/>
  <c r="AO36" i="11"/>
  <c r="C37" i="11"/>
  <c r="C39" i="11" s="1"/>
  <c r="E37" i="11"/>
  <c r="E39" i="11" s="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L47" i="11" s="1"/>
  <c r="AK47" i="11"/>
  <c r="AM47" i="11"/>
  <c r="AN47" i="11"/>
  <c r="AP47" i="11"/>
  <c r="AM48" i="11"/>
  <c r="AN48" i="11"/>
  <c r="AO48" i="11"/>
  <c r="AP48" i="11"/>
  <c r="J4" i="70"/>
  <c r="J35" i="70" s="1"/>
  <c r="D47" i="70" s="1"/>
  <c r="D48" i="70" s="1"/>
  <c r="D33" i="8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38" i="75"/>
  <c r="A45" i="75"/>
  <c r="A46" i="75"/>
  <c r="D47" i="75"/>
  <c r="D36" i="80" s="1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35" i="68" s="1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34" i="67" s="1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18" i="65" s="1"/>
  <c r="D33" i="65" s="1"/>
  <c r="D34" i="65" s="1"/>
  <c r="D24" i="80" s="1"/>
  <c r="D7" i="65"/>
  <c r="D8" i="65"/>
  <c r="D9" i="65"/>
  <c r="D10" i="65"/>
  <c r="D11" i="65"/>
  <c r="D12" i="65"/>
  <c r="D13" i="65"/>
  <c r="D14" i="65"/>
  <c r="A32" i="65"/>
  <c r="A33" i="65"/>
  <c r="D6" i="77"/>
  <c r="D37" i="77" s="1"/>
  <c r="D49" i="77" s="1"/>
  <c r="D50" i="77" s="1"/>
  <c r="D14" i="80" s="1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F6" i="7"/>
  <c r="Z6" i="7"/>
  <c r="AD6" i="7"/>
  <c r="AF6" i="7" s="1"/>
  <c r="F7" i="7"/>
  <c r="Z7" i="7"/>
  <c r="AD7" i="7"/>
  <c r="AF7" i="7" s="1"/>
  <c r="F8" i="7"/>
  <c r="Z8" i="7"/>
  <c r="AD8" i="7"/>
  <c r="AF8" i="7" s="1"/>
  <c r="F9" i="7"/>
  <c r="Z9" i="7"/>
  <c r="AD9" i="7"/>
  <c r="AF9" i="7" s="1"/>
  <c r="F10" i="7"/>
  <c r="Z10" i="7"/>
  <c r="AD10" i="7"/>
  <c r="AF10" i="7"/>
  <c r="F11" i="7"/>
  <c r="Z11" i="7"/>
  <c r="AD11" i="7"/>
  <c r="AF11" i="7"/>
  <c r="F12" i="7"/>
  <c r="Z12" i="7"/>
  <c r="AD12" i="7" s="1"/>
  <c r="AF12" i="7" s="1"/>
  <c r="F13" i="7"/>
  <c r="Z13" i="7"/>
  <c r="AD13" i="7"/>
  <c r="AF13" i="7" s="1"/>
  <c r="F14" i="7"/>
  <c r="Z14" i="7"/>
  <c r="AD14" i="7"/>
  <c r="AF14" i="7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/>
  <c r="AF19" i="7" s="1"/>
  <c r="AH19" i="7" s="1"/>
  <c r="AG19" i="7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A45" i="16"/>
  <c r="A46" i="16"/>
  <c r="D6" i="81"/>
  <c r="D7" i="81"/>
  <c r="D8" i="81"/>
  <c r="D9" i="81"/>
  <c r="D10" i="81"/>
  <c r="D37" i="81" s="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35" i="28" s="1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B47" i="9"/>
  <c r="D5" i="64"/>
  <c r="D6" i="64"/>
  <c r="D7" i="64"/>
  <c r="D17" i="64" s="1"/>
  <c r="D29" i="64" s="1"/>
  <c r="D30" i="64" s="1"/>
  <c r="D32" i="80" s="1"/>
  <c r="D8" i="64"/>
  <c r="D9" i="64"/>
  <c r="D10" i="64"/>
  <c r="D11" i="64"/>
  <c r="D12" i="64"/>
  <c r="D13" i="64"/>
  <c r="D18" i="64"/>
  <c r="A28" i="64"/>
  <c r="A29" i="64"/>
  <c r="F8" i="15"/>
  <c r="AF8" i="15"/>
  <c r="AJ8" i="15"/>
  <c r="AN8" i="15"/>
  <c r="AN39" i="15" s="1"/>
  <c r="AR8" i="15"/>
  <c r="AV8" i="15"/>
  <c r="F9" i="15"/>
  <c r="AF9" i="15"/>
  <c r="AJ9" i="15"/>
  <c r="AN9" i="15"/>
  <c r="AR9" i="15"/>
  <c r="AV9" i="15"/>
  <c r="F10" i="15"/>
  <c r="AF10" i="15"/>
  <c r="AF39" i="15" s="1"/>
  <c r="AF45" i="15" s="1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 s="1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D51" i="15" s="1"/>
  <c r="D52" i="15" s="1"/>
  <c r="D64" i="80" s="1"/>
  <c r="AD39" i="15"/>
  <c r="AE39" i="15"/>
  <c r="AH39" i="15"/>
  <c r="AL39" i="15"/>
  <c r="AM39" i="15"/>
  <c r="AP39" i="15"/>
  <c r="AT39" i="15"/>
  <c r="F43" i="15"/>
  <c r="A50" i="15"/>
  <c r="A51" i="15"/>
  <c r="AH52" i="15"/>
  <c r="AH54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33" i="15" s="1"/>
  <c r="C133" i="15" s="1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J3" i="80" s="1"/>
  <c r="J48" i="80" s="1"/>
  <c r="I3" i="63"/>
  <c r="H4" i="63"/>
  <c r="F38" i="22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5" i="63"/>
  <c r="D36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J7" i="2"/>
  <c r="J35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AR39" i="15" l="1"/>
  <c r="AR45" i="15" s="1"/>
  <c r="AI19" i="7"/>
  <c r="AH20" i="7"/>
  <c r="D46" i="68"/>
  <c r="D47" i="68" s="1"/>
  <c r="D57" i="80" s="1"/>
  <c r="D40" i="68"/>
  <c r="C66" i="80"/>
  <c r="B22" i="63"/>
  <c r="H37" i="9"/>
  <c r="H39" i="9" s="1"/>
  <c r="D46" i="28"/>
  <c r="D47" i="28" s="1"/>
  <c r="D59" i="80" s="1"/>
  <c r="D40" i="28"/>
  <c r="J40" i="2"/>
  <c r="D47" i="2"/>
  <c r="D48" i="2" s="1"/>
  <c r="D63" i="80" s="1"/>
  <c r="AN45" i="15"/>
  <c r="B102" i="15"/>
  <c r="AG20" i="7"/>
  <c r="AG21" i="7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B66" i="80"/>
  <c r="C22" i="63"/>
  <c r="AV39" i="15"/>
  <c r="D19" i="64"/>
  <c r="D23" i="64" s="1"/>
  <c r="F39" i="22"/>
  <c r="F41" i="22" s="1"/>
  <c r="F40" i="6"/>
  <c r="D46" i="6"/>
  <c r="D47" i="6" s="1"/>
  <c r="D58" i="80" s="1"/>
  <c r="D41" i="81"/>
  <c r="D44" i="67"/>
  <c r="D45" i="67" s="1"/>
  <c r="D71" i="80" s="1"/>
  <c r="F38" i="67"/>
  <c r="D75" i="2"/>
  <c r="AJ39" i="15"/>
  <c r="AJ45" i="15" s="1"/>
  <c r="D39" i="75"/>
  <c r="D41" i="75" s="1"/>
  <c r="J36" i="70"/>
  <c r="J37" i="70" s="1"/>
  <c r="J41" i="70" s="1"/>
  <c r="AP36" i="11"/>
  <c r="AL48" i="11"/>
  <c r="D37" i="76"/>
  <c r="D39" i="76" s="1"/>
  <c r="D41" i="76" s="1"/>
  <c r="AQ39" i="15"/>
  <c r="AU39" i="15"/>
  <c r="AM16" i="11"/>
  <c r="G36" i="73"/>
  <c r="D12" i="78"/>
  <c r="D23" i="78" s="1"/>
  <c r="D24" i="78" s="1"/>
  <c r="D15" i="80" s="1"/>
  <c r="C176" i="15"/>
  <c r="F176" i="15" s="1"/>
  <c r="C180" i="15"/>
  <c r="AH56" i="15"/>
  <c r="AH57" i="15"/>
  <c r="J39" i="17"/>
  <c r="D48" i="17" s="1"/>
  <c r="D49" i="17" s="1"/>
  <c r="D30" i="80" s="1"/>
  <c r="D39" i="69"/>
  <c r="F40" i="18"/>
  <c r="F41" i="18" s="1"/>
  <c r="F43" i="18" s="1"/>
  <c r="D38" i="74"/>
  <c r="D39" i="74" s="1"/>
  <c r="D41" i="74" s="1"/>
  <c r="F40" i="71"/>
  <c r="F41" i="71" s="1"/>
  <c r="F43" i="71" s="1"/>
  <c r="D40" i="72"/>
  <c r="D41" i="72" s="1"/>
  <c r="D43" i="72" s="1"/>
  <c r="D38" i="79"/>
  <c r="D39" i="79" s="1"/>
  <c r="D41" i="79" s="1"/>
  <c r="B30" i="20"/>
  <c r="D38" i="77"/>
  <c r="D39" i="77" s="1"/>
  <c r="D41" i="77" s="1"/>
  <c r="D40" i="19"/>
  <c r="D19" i="8"/>
  <c r="J4" i="80"/>
  <c r="J49" i="80" s="1"/>
  <c r="D19" i="65"/>
  <c r="D20" i="65" s="1"/>
  <c r="D24" i="65" s="1"/>
  <c r="J40" i="17"/>
  <c r="D38" i="69"/>
  <c r="B64" i="80"/>
  <c r="C64" i="80" s="1"/>
  <c r="E64" i="80" s="1"/>
  <c r="C18" i="63"/>
  <c r="B18" i="63" s="1"/>
  <c r="D39" i="19"/>
  <c r="D49" i="19" s="1"/>
  <c r="D50" i="19" s="1"/>
  <c r="D19" i="80" s="1"/>
  <c r="F92" i="15"/>
  <c r="F101" i="15" s="1"/>
  <c r="C101" i="15" s="1"/>
  <c r="H35" i="9"/>
  <c r="E47" i="9" s="1"/>
  <c r="E48" i="9" s="1"/>
  <c r="D31" i="80" s="1"/>
  <c r="F36" i="5"/>
  <c r="F37" i="22"/>
  <c r="D47" i="22" s="1"/>
  <c r="D48" i="22" s="1"/>
  <c r="D27" i="80" s="1"/>
  <c r="B16" i="20"/>
  <c r="F37" i="20" s="1"/>
  <c r="F38" i="20" s="1"/>
  <c r="I38" i="20" s="1"/>
  <c r="C38" i="73"/>
  <c r="C40" i="73" s="1"/>
  <c r="C37" i="13"/>
  <c r="D37" i="12"/>
  <c r="H35" i="73"/>
  <c r="D36" i="16"/>
  <c r="F36" i="7"/>
  <c r="AO47" i="11"/>
  <c r="C45" i="11"/>
  <c r="C46" i="11" s="1"/>
  <c r="E45" i="11"/>
  <c r="F35" i="13"/>
  <c r="D47" i="13" s="1"/>
  <c r="D48" i="13" s="1"/>
  <c r="D25" i="80" s="1"/>
  <c r="D18" i="8"/>
  <c r="D30" i="8" s="1"/>
  <c r="D31" i="8" s="1"/>
  <c r="D37" i="80" s="1"/>
  <c r="B26" i="80" l="1"/>
  <c r="C26" i="80" s="1"/>
  <c r="E26" i="80" s="1"/>
  <c r="B15" i="63"/>
  <c r="C15" i="63" s="1"/>
  <c r="B31" i="80"/>
  <c r="C31" i="80" s="1"/>
  <c r="E31" i="80" s="1"/>
  <c r="B12" i="63"/>
  <c r="C12" i="63" s="1"/>
  <c r="B13" i="80"/>
  <c r="C13" i="80" s="1"/>
  <c r="E13" i="80" s="1"/>
  <c r="B38" i="63"/>
  <c r="C38" i="63" s="1"/>
  <c r="B32" i="80"/>
  <c r="C32" i="80" s="1"/>
  <c r="E32" i="80" s="1"/>
  <c r="B23" i="63"/>
  <c r="C23" i="63" s="1"/>
  <c r="B103" i="15"/>
  <c r="B105" i="15" s="1"/>
  <c r="F105" i="15" s="1"/>
  <c r="F102" i="15"/>
  <c r="F103" i="15" s="1"/>
  <c r="F41" i="7"/>
  <c r="E48" i="7"/>
  <c r="E49" i="7" s="1"/>
  <c r="D67" i="80" s="1"/>
  <c r="J41" i="17"/>
  <c r="J43" i="17" s="1"/>
  <c r="B34" i="80"/>
  <c r="C34" i="80" s="1"/>
  <c r="B26" i="63"/>
  <c r="C26" i="63" s="1"/>
  <c r="B35" i="80"/>
  <c r="C35" i="80" s="1"/>
  <c r="E35" i="80" s="1"/>
  <c r="B41" i="63"/>
  <c r="C41" i="63" s="1"/>
  <c r="B72" i="80"/>
  <c r="C72" i="80" s="1"/>
  <c r="E72" i="80" s="1"/>
  <c r="C24" i="63"/>
  <c r="B24" i="63" s="1"/>
  <c r="B57" i="80"/>
  <c r="C16" i="63"/>
  <c r="B16" i="63" s="1"/>
  <c r="B13" i="63"/>
  <c r="C13" i="63" s="1"/>
  <c r="B27" i="80"/>
  <c r="C27" i="80" s="1"/>
  <c r="E27" i="80" s="1"/>
  <c r="D16" i="80"/>
  <c r="D48" i="5"/>
  <c r="D49" i="5" s="1"/>
  <c r="D74" i="80" s="1"/>
  <c r="F42" i="5"/>
  <c r="B29" i="80"/>
  <c r="C29" i="80" s="1"/>
  <c r="E29" i="80" s="1"/>
  <c r="B17" i="63"/>
  <c r="C17" i="63" s="1"/>
  <c r="B71" i="80"/>
  <c r="C11" i="63"/>
  <c r="B11" i="63" s="1"/>
  <c r="D40" i="16"/>
  <c r="D46" i="16"/>
  <c r="D47" i="16" s="1"/>
  <c r="D73" i="80" s="1"/>
  <c r="B10" i="63"/>
  <c r="C10" i="63" s="1"/>
  <c r="B24" i="80"/>
  <c r="B12" i="80"/>
  <c r="B30" i="63"/>
  <c r="C30" i="63" s="1"/>
  <c r="D46" i="81"/>
  <c r="D47" i="81" s="1"/>
  <c r="D72" i="80" s="1"/>
  <c r="D75" i="80" s="1"/>
  <c r="B63" i="80"/>
  <c r="C8" i="63"/>
  <c r="D46" i="12"/>
  <c r="D47" i="12" s="1"/>
  <c r="D65" i="80" s="1"/>
  <c r="D68" i="80" s="1"/>
  <c r="D40" i="12"/>
  <c r="D20" i="8"/>
  <c r="D24" i="8" s="1"/>
  <c r="E37" i="13"/>
  <c r="E38" i="13" s="1"/>
  <c r="C38" i="13"/>
  <c r="C41" i="13" s="1"/>
  <c r="D41" i="19"/>
  <c r="D43" i="19" s="1"/>
  <c r="D40" i="69"/>
  <c r="D42" i="69" s="1"/>
  <c r="L35" i="73"/>
  <c r="L36" i="73" s="1"/>
  <c r="M36" i="73" s="1"/>
  <c r="M44" i="73" s="1"/>
  <c r="G38" i="73"/>
  <c r="B33" i="80"/>
  <c r="C33" i="80" s="1"/>
  <c r="E33" i="80" s="1"/>
  <c r="B25" i="63"/>
  <c r="C25" i="63" s="1"/>
  <c r="B59" i="80"/>
  <c r="C59" i="80" s="1"/>
  <c r="E59" i="80" s="1"/>
  <c r="C29" i="63"/>
  <c r="B29" i="63" s="1"/>
  <c r="D60" i="80"/>
  <c r="D77" i="80" s="1"/>
  <c r="E46" i="11"/>
  <c r="F46" i="11" s="1"/>
  <c r="D66" i="80" s="1"/>
  <c r="E66" i="80" s="1"/>
  <c r="F45" i="11"/>
  <c r="B14" i="80"/>
  <c r="C14" i="80" s="1"/>
  <c r="E14" i="80" s="1"/>
  <c r="B36" i="63"/>
  <c r="C36" i="63" s="1"/>
  <c r="D14" i="78"/>
  <c r="D18" i="78" s="1"/>
  <c r="B36" i="80"/>
  <c r="C36" i="80" s="1"/>
  <c r="E36" i="80" s="1"/>
  <c r="B39" i="63"/>
  <c r="C39" i="63" s="1"/>
  <c r="B58" i="80"/>
  <c r="C58" i="80" s="1"/>
  <c r="E58" i="80" s="1"/>
  <c r="C19" i="63"/>
  <c r="B19" i="63" s="1"/>
  <c r="AH6" i="7"/>
  <c r="AI5" i="7"/>
  <c r="AI20" i="7"/>
  <c r="AH21" i="7"/>
  <c r="AI21" i="7" s="1"/>
  <c r="C30" i="20"/>
  <c r="C31" i="20" s="1"/>
  <c r="B17" i="20"/>
  <c r="C17" i="20" s="1"/>
  <c r="C18" i="20" s="1"/>
  <c r="B45" i="20"/>
  <c r="C45" i="20" s="1"/>
  <c r="C46" i="20" s="1"/>
  <c r="AR48" i="15"/>
  <c r="AR51" i="15"/>
  <c r="C21" i="63" l="1"/>
  <c r="B21" i="63" s="1"/>
  <c r="B65" i="80"/>
  <c r="C65" i="80" s="1"/>
  <c r="E65" i="80" s="1"/>
  <c r="B74" i="80"/>
  <c r="C74" i="80" s="1"/>
  <c r="E74" i="80" s="1"/>
  <c r="C27" i="63"/>
  <c r="B27" i="63" s="1"/>
  <c r="B8" i="63"/>
  <c r="B35" i="63"/>
  <c r="B15" i="80"/>
  <c r="C15" i="80" s="1"/>
  <c r="E15" i="80" s="1"/>
  <c r="F38" i="13"/>
  <c r="E41" i="13"/>
  <c r="F41" i="13" s="1"/>
  <c r="B60" i="80"/>
  <c r="B77" i="80" s="1"/>
  <c r="C57" i="80"/>
  <c r="D34" i="80"/>
  <c r="E34" i="80"/>
  <c r="C24" i="80"/>
  <c r="C63" i="20"/>
  <c r="H52" i="73" s="1"/>
  <c r="B20" i="80"/>
  <c r="C20" i="80" s="1"/>
  <c r="B40" i="63"/>
  <c r="C40" i="63" s="1"/>
  <c r="C71" i="80"/>
  <c r="B37" i="63"/>
  <c r="C37" i="63" s="1"/>
  <c r="B37" i="80"/>
  <c r="C37" i="80" s="1"/>
  <c r="E37" i="80" s="1"/>
  <c r="C12" i="80"/>
  <c r="B30" i="80"/>
  <c r="C30" i="80" s="1"/>
  <c r="E30" i="80" s="1"/>
  <c r="B20" i="63"/>
  <c r="C20" i="63" s="1"/>
  <c r="AH7" i="7"/>
  <c r="AI6" i="7"/>
  <c r="H38" i="73"/>
  <c r="H40" i="73" s="1"/>
  <c r="H50" i="73" s="1"/>
  <c r="G40" i="73"/>
  <c r="M54" i="73"/>
  <c r="D28" i="80"/>
  <c r="D38" i="80" s="1"/>
  <c r="C103" i="15"/>
  <c r="B67" i="80"/>
  <c r="C67" i="80" s="1"/>
  <c r="E67" i="80" s="1"/>
  <c r="C31" i="63"/>
  <c r="B31" i="63" s="1"/>
  <c r="B73" i="80"/>
  <c r="C73" i="80" s="1"/>
  <c r="E73" i="80" s="1"/>
  <c r="C28" i="63"/>
  <c r="B28" i="63" s="1"/>
  <c r="B19" i="80"/>
  <c r="B42" i="63"/>
  <c r="C42" i="63" s="1"/>
  <c r="C63" i="80"/>
  <c r="B68" i="80"/>
  <c r="C68" i="80" l="1"/>
  <c r="E63" i="80"/>
  <c r="E68" i="80" s="1"/>
  <c r="AI7" i="7"/>
  <c r="AH8" i="7"/>
  <c r="E71" i="80"/>
  <c r="E75" i="80" s="1"/>
  <c r="C75" i="80"/>
  <c r="B21" i="80"/>
  <c r="C19" i="80"/>
  <c r="E24" i="80"/>
  <c r="C35" i="63"/>
  <c r="C43" i="63" s="1"/>
  <c r="B43" i="63"/>
  <c r="B75" i="80"/>
  <c r="C60" i="80"/>
  <c r="C77" i="80" s="1"/>
  <c r="E57" i="80"/>
  <c r="E12" i="80"/>
  <c r="C16" i="80"/>
  <c r="D20" i="80"/>
  <c r="D21" i="80" s="1"/>
  <c r="B16" i="80"/>
  <c r="H54" i="73"/>
  <c r="B25" i="80"/>
  <c r="B9" i="63"/>
  <c r="C9" i="63" s="1"/>
  <c r="D40" i="80"/>
  <c r="C25" i="80" l="1"/>
  <c r="E60" i="80"/>
  <c r="E77" i="80" s="1"/>
  <c r="AI8" i="7"/>
  <c r="AH9" i="7"/>
  <c r="B40" i="80"/>
  <c r="B80" i="80" s="1"/>
  <c r="E20" i="80"/>
  <c r="E16" i="80"/>
  <c r="B28" i="80"/>
  <c r="C28" i="80" s="1"/>
  <c r="E28" i="80" s="1"/>
  <c r="B14" i="63"/>
  <c r="E19" i="80"/>
  <c r="E21" i="80" s="1"/>
  <c r="C21" i="80"/>
  <c r="C40" i="80" s="1"/>
  <c r="B81" i="80" s="1"/>
  <c r="E40" i="80" l="1"/>
  <c r="AH10" i="7"/>
  <c r="AI9" i="7"/>
  <c r="B38" i="80"/>
  <c r="E25" i="80"/>
  <c r="E38" i="80" s="1"/>
  <c r="C38" i="80"/>
  <c r="C14" i="63"/>
  <c r="C32" i="63" s="1"/>
  <c r="C45" i="63" s="1"/>
  <c r="B32" i="63"/>
  <c r="B45" i="63" s="1"/>
  <c r="AH11" i="7" l="1"/>
  <c r="AI10" i="7"/>
  <c r="AI11" i="7" l="1"/>
  <c r="AH12" i="7"/>
  <c r="AH13" i="7" l="1"/>
  <c r="AI12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<sst xmlns="http://schemas.openxmlformats.org/spreadsheetml/2006/main" count="623" uniqueCount="203">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</sst>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3.04</v>
          </cell>
          <cell r="K39">
            <v>2.67</v>
          </cell>
          <cell r="M39">
            <v>2.91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G50" sqref="G50"/>
    </sheetView>
    <sheetView topLeftCell="A67" workbookViewId="3">
      <selection activeCell="D64" sqref="D64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2.67</v>
      </c>
      <c r="K3" s="443">
        <f ca="1">NOW()</f>
        <v>41885.692920370369</v>
      </c>
    </row>
    <row r="4" spans="1:32" ht="12.95" customHeight="1" x14ac:dyDescent="0.2">
      <c r="A4" s="34" t="s">
        <v>154</v>
      </c>
      <c r="C4" s="34" t="s">
        <v>5</v>
      </c>
      <c r="D4" s="7"/>
      <c r="I4" s="420" t="s">
        <v>31</v>
      </c>
      <c r="J4" s="422">
        <f>+summary!H4</f>
        <v>2.91</v>
      </c>
      <c r="K4" s="32"/>
    </row>
    <row r="5" spans="1:32" ht="12.95" customHeight="1" x14ac:dyDescent="0.2">
      <c r="D5" s="7"/>
      <c r="I5" s="419" t="s">
        <v>120</v>
      </c>
      <c r="J5" s="422">
        <f>+summary!H5</f>
        <v>3.04</v>
      </c>
      <c r="K5" s="32"/>
    </row>
    <row r="6" spans="1:32" ht="12" customHeight="1" x14ac:dyDescent="0.2"/>
    <row r="7" spans="1:32" ht="12.95" customHeight="1" x14ac:dyDescent="0.2">
      <c r="A7" s="441" t="s">
        <v>188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172</v>
      </c>
      <c r="C9" s="440" t="s">
        <v>187</v>
      </c>
      <c r="D9" s="39" t="s">
        <v>0</v>
      </c>
      <c r="E9" s="39" t="s">
        <v>173</v>
      </c>
      <c r="F9" s="39" t="s">
        <v>155</v>
      </c>
      <c r="G9" s="425" t="s">
        <v>168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178</v>
      </c>
    </row>
    <row r="12" spans="1:32" ht="15.95" customHeight="1" outlineLevel="1" x14ac:dyDescent="0.2">
      <c r="A12" s="206" t="s">
        <v>132</v>
      </c>
      <c r="B12" s="376">
        <f>+Calpine!D41</f>
        <v>6497.0899999999983</v>
      </c>
      <c r="C12" s="403">
        <f>+B12/$J$4</f>
        <v>2232.6769759450167</v>
      </c>
      <c r="D12" s="14">
        <f>+Calpine!D47</f>
        <v>103613</v>
      </c>
      <c r="E12" s="70">
        <f>+C12-D12</f>
        <v>-101380.32302405499</v>
      </c>
      <c r="F12" s="398">
        <f>+Calpine!A41</f>
        <v>37111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-218631.46</v>
      </c>
      <c r="C13" s="402">
        <f>+B13/$J$4</f>
        <v>-75131.08591065291</v>
      </c>
      <c r="D13" s="14">
        <f>+'Citizens-Griffith'!D48</f>
        <v>-104741</v>
      </c>
      <c r="E13" s="70">
        <f>+C13-D13</f>
        <v>29609.91408934709</v>
      </c>
      <c r="F13" s="398">
        <f>+'Citizens-Griffith'!A41</f>
        <v>37111</v>
      </c>
      <c r="G13" s="32"/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-415458.04000000004</v>
      </c>
      <c r="C14" s="402">
        <f>+B14/$J$4</f>
        <v>-142769.08591065294</v>
      </c>
      <c r="D14" s="14">
        <f>+'NS Steel'!D50</f>
        <v>-75572</v>
      </c>
      <c r="E14" s="70">
        <f>+C14-D14</f>
        <v>-67197.085910652939</v>
      </c>
      <c r="F14" s="399">
        <f>+'NS Steel'!A41</f>
        <v>37111</v>
      </c>
      <c r="G14" s="205" t="s">
        <v>171</v>
      </c>
      <c r="H14" s="32" t="s">
        <v>103</v>
      </c>
      <c r="I14" s="382"/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-834454.55</v>
      </c>
      <c r="C15" s="404">
        <f>+B15/$J$4</f>
        <v>-286754.14089347079</v>
      </c>
      <c r="D15" s="380">
        <f>+Citizens!D24</f>
        <v>-180232</v>
      </c>
      <c r="E15" s="72">
        <f>+C15-D15</f>
        <v>-106522.14089347079</v>
      </c>
      <c r="F15" s="398">
        <f>+Citizens!A18</f>
        <v>37111</v>
      </c>
      <c r="G15" s="32"/>
      <c r="H15" s="206" t="s">
        <v>102</v>
      </c>
      <c r="I15" s="382"/>
      <c r="J15" s="32"/>
      <c r="K15" s="32"/>
      <c r="T15" s="267"/>
    </row>
    <row r="16" spans="1:32" ht="15.95" customHeight="1" outlineLevel="2" x14ac:dyDescent="0.2">
      <c r="A16" s="153" t="s">
        <v>179</v>
      </c>
      <c r="B16" s="423">
        <f>SUBTOTAL(9,B12:B15)</f>
        <v>-1462046.96</v>
      </c>
      <c r="C16" s="434">
        <f>SUBTOTAL(9,C12:C15)</f>
        <v>-502421.6357388316</v>
      </c>
      <c r="D16" s="435">
        <f>SUBTOTAL(9,D12:D15)</f>
        <v>-256932</v>
      </c>
      <c r="E16" s="436">
        <f>SUBTOTAL(9,E12:E15)</f>
        <v>-245489.63573883162</v>
      </c>
      <c r="F16" s="398"/>
      <c r="G16" s="32"/>
      <c r="H16" s="206"/>
      <c r="I16" s="382"/>
      <c r="J16" s="32"/>
      <c r="K16" s="32"/>
      <c r="T16" s="267"/>
    </row>
    <row r="17" spans="1:20" ht="12.95" customHeight="1" outlineLevel="2" x14ac:dyDescent="0.2"/>
    <row r="18" spans="1:20" ht="15.95" customHeight="1" outlineLevel="2" x14ac:dyDescent="0.2">
      <c r="A18" s="438" t="s">
        <v>59</v>
      </c>
    </row>
    <row r="19" spans="1:20" ht="15.95" customHeight="1" outlineLevel="2" x14ac:dyDescent="0.2">
      <c r="A19" s="32" t="s">
        <v>74</v>
      </c>
      <c r="B19" s="377">
        <f>+transcol!$D$43</f>
        <v>-3824.6800000000003</v>
      </c>
      <c r="C19" s="402">
        <f>+B19/$J$4</f>
        <v>-1314.3230240549829</v>
      </c>
      <c r="D19" s="14">
        <f>+transcol!D50</f>
        <v>-52213</v>
      </c>
      <c r="E19" s="70">
        <f>+C19-D19</f>
        <v>50898.676975945018</v>
      </c>
      <c r="F19" s="399">
        <f>+transcol!A43</f>
        <v>37111</v>
      </c>
      <c r="G19" s="205"/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39332.849999999991</v>
      </c>
      <c r="C20" s="406">
        <f>+B20/$J$3</f>
        <v>14731.404494382019</v>
      </c>
      <c r="D20" s="380">
        <f>+C20</f>
        <v>14731.404494382019</v>
      </c>
      <c r="E20" s="72">
        <f>+C20-D20</f>
        <v>0</v>
      </c>
      <c r="F20" s="398">
        <f>+burlington!A42</f>
        <v>37111</v>
      </c>
      <c r="G20" s="32"/>
      <c r="H20" s="32" t="s">
        <v>116</v>
      </c>
      <c r="I20" s="32" t="s">
        <v>152</v>
      </c>
      <c r="J20" s="32"/>
      <c r="K20" s="32"/>
    </row>
    <row r="21" spans="1:20" ht="15.95" customHeight="1" outlineLevel="2" x14ac:dyDescent="0.2">
      <c r="A21" s="153" t="s">
        <v>181</v>
      </c>
      <c r="B21" s="423">
        <f>SUBTOTAL(9,B19:B20)</f>
        <v>35508.169999999991</v>
      </c>
      <c r="C21" s="424">
        <f>SUBTOTAL(9,C19:C20)</f>
        <v>13417.081470327037</v>
      </c>
      <c r="D21" s="435">
        <f>SUBTOTAL(9,D19:D20)</f>
        <v>-37481.595505617981</v>
      </c>
      <c r="E21" s="436">
        <f>SUBTOTAL(9,E19:E20)</f>
        <v>50898.676975945018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182</v>
      </c>
    </row>
    <row r="24" spans="1:20" ht="15.95" customHeight="1" outlineLevel="2" x14ac:dyDescent="0.2">
      <c r="A24" s="206" t="s">
        <v>90</v>
      </c>
      <c r="B24" s="376">
        <f>+NNG!$D$24</f>
        <v>525996.79999999993</v>
      </c>
      <c r="C24" s="402">
        <f t="shared" ref="C24:C35" si="0">+B24/$J$4</f>
        <v>180754.91408934703</v>
      </c>
      <c r="D24" s="14">
        <f>+NNG!D34</f>
        <v>18853</v>
      </c>
      <c r="E24" s="70">
        <f t="shared" ref="E24:E37" si="1">+C24-D24</f>
        <v>161901.91408934703</v>
      </c>
      <c r="F24" s="398">
        <f>+NNG!A24</f>
        <v>37111</v>
      </c>
      <c r="G24" s="426" t="s">
        <v>169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638804.25</v>
      </c>
      <c r="C25" s="402">
        <f t="shared" si="0"/>
        <v>219520.36082474227</v>
      </c>
      <c r="D25" s="14">
        <f>+Conoco!D48</f>
        <v>104109</v>
      </c>
      <c r="E25" s="70">
        <f t="shared" si="1"/>
        <v>115411.36082474227</v>
      </c>
      <c r="F25" s="398">
        <f>+Conoco!A41</f>
        <v>37111</v>
      </c>
      <c r="G25" s="205"/>
      <c r="H25" s="32" t="s">
        <v>116</v>
      </c>
      <c r="I25" s="32" t="s">
        <v>150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433717.15</v>
      </c>
      <c r="C26" s="402">
        <f t="shared" si="0"/>
        <v>149043.69415807561</v>
      </c>
      <c r="D26" s="14">
        <f>+'Amoco Abo'!D49</f>
        <v>-238685</v>
      </c>
      <c r="E26" s="70">
        <f t="shared" si="1"/>
        <v>387728.69415807561</v>
      </c>
      <c r="F26" s="399">
        <f>+'Amoco Abo'!A43</f>
        <v>37111</v>
      </c>
      <c r="G26" s="205"/>
      <c r="H26" s="32" t="s">
        <v>118</v>
      </c>
      <c r="I26" s="32"/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471709.79</v>
      </c>
      <c r="C27" s="402">
        <f t="shared" si="0"/>
        <v>162099.58419243986</v>
      </c>
      <c r="D27" s="14">
        <f>+KN_Westar!D48</f>
        <v>29695</v>
      </c>
      <c r="E27" s="70">
        <f t="shared" si="1"/>
        <v>132404.58419243986</v>
      </c>
      <c r="F27" s="399">
        <f>+KN_Westar!A41</f>
        <v>37112</v>
      </c>
      <c r="G27" s="205"/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+DEFS!H54</f>
        <v>405858.8900000006</v>
      </c>
      <c r="C28" s="403">
        <f t="shared" si="0"/>
        <v>139470.4089347081</v>
      </c>
      <c r="D28" s="14">
        <f>+Duke!I52+DEFS!M44</f>
        <v>-46460</v>
      </c>
      <c r="E28" s="70">
        <f t="shared" si="1"/>
        <v>185930.4089347081</v>
      </c>
      <c r="F28" s="399">
        <f>+DEFS!A40</f>
        <v>37111</v>
      </c>
      <c r="G28" s="205"/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394747.15</v>
      </c>
      <c r="C29" s="402">
        <f t="shared" si="0"/>
        <v>135651.94158075601</v>
      </c>
      <c r="D29" s="14">
        <f>+CIG!D49</f>
        <v>29654</v>
      </c>
      <c r="E29" s="70">
        <f t="shared" si="1"/>
        <v>105997.94158075601</v>
      </c>
      <c r="F29" s="399">
        <f>+CIG!A43</f>
        <v>37111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342473.12</v>
      </c>
      <c r="C30" s="402">
        <f t="shared" si="0"/>
        <v>117688.35738831614</v>
      </c>
      <c r="D30" s="14">
        <f>+mewborne!D49</f>
        <v>135969</v>
      </c>
      <c r="E30" s="70">
        <f t="shared" si="1"/>
        <v>-18280.642611683856</v>
      </c>
      <c r="F30" s="399">
        <f>+mewborne!A43</f>
        <v>37111</v>
      </c>
      <c r="G30" s="205"/>
      <c r="H30" s="32" t="s">
        <v>102</v>
      </c>
      <c r="I30" s="32"/>
      <c r="J30" s="32"/>
      <c r="K30" s="32"/>
    </row>
    <row r="31" spans="1:20" ht="18" customHeight="1" x14ac:dyDescent="0.2">
      <c r="A31" s="32" t="s">
        <v>163</v>
      </c>
      <c r="B31" s="376">
        <f>+PGETX!$H$39</f>
        <v>475932.45</v>
      </c>
      <c r="C31" s="402">
        <f t="shared" si="0"/>
        <v>163550.67010309277</v>
      </c>
      <c r="D31" s="14">
        <f>+PGETX!E48</f>
        <v>116424</v>
      </c>
      <c r="E31" s="70">
        <f t="shared" si="1"/>
        <v>47126.670103092765</v>
      </c>
      <c r="F31" s="399">
        <f>+PGETX!E39</f>
        <v>37111</v>
      </c>
      <c r="G31" s="205" t="s">
        <v>169</v>
      </c>
      <c r="H31" s="32" t="s">
        <v>105</v>
      </c>
      <c r="I31" s="32"/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-20039.960000000021</v>
      </c>
      <c r="C32" s="402">
        <f t="shared" si="0"/>
        <v>-6886.5841924398692</v>
      </c>
      <c r="D32" s="14">
        <f>+PNM!D30</f>
        <v>-41253</v>
      </c>
      <c r="E32" s="70">
        <f t="shared" si="1"/>
        <v>34366.41580756013</v>
      </c>
      <c r="F32" s="399">
        <f>+PNM!A23</f>
        <v>37111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174153.97</v>
      </c>
      <c r="C33" s="402">
        <f t="shared" si="0"/>
        <v>59846.72508591065</v>
      </c>
      <c r="D33" s="14">
        <f>+EOG!D48</f>
        <v>-51755</v>
      </c>
      <c r="E33" s="70">
        <f t="shared" si="1"/>
        <v>111601.72508591064</v>
      </c>
      <c r="F33" s="398">
        <f>+EOG!A41</f>
        <v>37111</v>
      </c>
      <c r="G33" s="205" t="s">
        <v>170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157408.48000000001</v>
      </c>
      <c r="C34" s="402">
        <f t="shared" si="0"/>
        <v>54092.261168384881</v>
      </c>
      <c r="D34" s="14">
        <f>+C34</f>
        <v>54092.261168384881</v>
      </c>
      <c r="E34" s="70">
        <f t="shared" si="1"/>
        <v>0</v>
      </c>
      <c r="F34" s="399">
        <f>+SidR!A41</f>
        <v>37111</v>
      </c>
      <c r="G34" s="205" t="s">
        <v>169</v>
      </c>
      <c r="H34" s="32" t="s">
        <v>105</v>
      </c>
      <c r="I34" s="32" t="s">
        <v>177</v>
      </c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-1792.6357388316148</v>
      </c>
      <c r="D35" s="14">
        <f>+Continental!D50</f>
        <v>-17302</v>
      </c>
      <c r="E35" s="70">
        <f t="shared" si="1"/>
        <v>15509.364261168384</v>
      </c>
      <c r="F35" s="399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-78138.260000000009</v>
      </c>
      <c r="C36" s="403">
        <f>+B36/$J$5</f>
        <v>-25703.375000000004</v>
      </c>
      <c r="D36" s="14">
        <f>+EPFS!D47</f>
        <v>-14980</v>
      </c>
      <c r="E36" s="70">
        <f t="shared" si="1"/>
        <v>-10723.375000000004</v>
      </c>
      <c r="F36" s="398">
        <f>+EPFS!A41</f>
        <v>37111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-176524.29</v>
      </c>
      <c r="C37" s="404">
        <f>+B37/$J$4</f>
        <v>-60661.268041237112</v>
      </c>
      <c r="D37" s="380">
        <f>+Agave!D31</f>
        <v>-97120</v>
      </c>
      <c r="E37" s="72">
        <f t="shared" si="1"/>
        <v>36458.731958762888</v>
      </c>
      <c r="F37" s="398">
        <f>+Agave!A24</f>
        <v>37111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184</v>
      </c>
      <c r="B38" s="423">
        <f>SUBTOTAL(9,B24:B37)</f>
        <v>3740882.9700000007</v>
      </c>
      <c r="C38" s="434">
        <f>SUBTOTAL(9,C24:C37)</f>
        <v>1286675.0545532648</v>
      </c>
      <c r="D38" s="435">
        <f>SUBTOTAL(9,D24:D37)</f>
        <v>-18758.738831615119</v>
      </c>
      <c r="E38" s="436">
        <f>SUBTOTAL(9,E24:E37)</f>
        <v>1305433.7933848798</v>
      </c>
      <c r="F38" s="398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185</v>
      </c>
      <c r="B40" s="423">
        <f>SUBTOTAL(9,B12:B37)</f>
        <v>2314344.1800000016</v>
      </c>
      <c r="C40" s="434">
        <f>SUBTOTAL(9,C12:C37)</f>
        <v>797670.50028476026</v>
      </c>
      <c r="D40" s="435">
        <f>SUBTOTAL(9,D12:D37)</f>
        <v>-313172.3343372331</v>
      </c>
      <c r="E40" s="436">
        <f>SUBTOTAL(9,E12:E37)</f>
        <v>1110842.8346219934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2.67</v>
      </c>
      <c r="K48" s="443">
        <f ca="1">NOW()</f>
        <v>41885.692920370369</v>
      </c>
    </row>
    <row r="49" spans="1:19" ht="13.5" customHeight="1" outlineLevel="2" x14ac:dyDescent="0.2">
      <c r="A49" s="34" t="s">
        <v>154</v>
      </c>
      <c r="C49" s="34" t="s">
        <v>5</v>
      </c>
      <c r="D49" s="7"/>
      <c r="I49" s="420" t="s">
        <v>31</v>
      </c>
      <c r="J49" s="422">
        <f>+J4</f>
        <v>2.91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3.04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189</v>
      </c>
      <c r="B52" s="442"/>
    </row>
    <row r="53" spans="1:19" ht="13.5" customHeight="1" outlineLevel="2" x14ac:dyDescent="0.2">
      <c r="A53" s="32"/>
      <c r="C53" s="444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191</v>
      </c>
      <c r="D54" s="39" t="s">
        <v>193</v>
      </c>
      <c r="E54" s="39" t="s">
        <v>195</v>
      </c>
      <c r="F54" s="39" t="s">
        <v>155</v>
      </c>
      <c r="G54" s="425" t="s">
        <v>168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178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140461</v>
      </c>
      <c r="C57" s="376">
        <f>+B57*$J$4</f>
        <v>408741.51</v>
      </c>
      <c r="D57" s="47">
        <f>+Mojave!D47</f>
        <v>95694.78</v>
      </c>
      <c r="E57" s="47">
        <f>+C57-D57</f>
        <v>313046.73</v>
      </c>
      <c r="F57" s="399">
        <f>+Mojave!A40</f>
        <v>37111</v>
      </c>
      <c r="H57" s="32" t="s">
        <v>103</v>
      </c>
      <c r="I57" s="32" t="s">
        <v>198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123283</v>
      </c>
      <c r="C58" s="376">
        <f>+B58*$J$4</f>
        <v>358753.53</v>
      </c>
      <c r="D58" s="47">
        <f>+SoCal!D47</f>
        <v>384920.61000000004</v>
      </c>
      <c r="E58" s="47">
        <f>+C58-D58</f>
        <v>-26167.080000000016</v>
      </c>
      <c r="F58" s="399">
        <f>+SoCal!A40</f>
        <v>37111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25503</v>
      </c>
      <c r="C59" s="379">
        <f>+B59*$J$4</f>
        <v>74213.73000000001</v>
      </c>
      <c r="D59" s="379">
        <f>+'PG&amp;E'!D47</f>
        <v>-154328.65</v>
      </c>
      <c r="E59" s="379">
        <f>+C59-D59</f>
        <v>228542.38</v>
      </c>
      <c r="F59" s="399">
        <f>+'PG&amp;E'!A40</f>
        <v>37111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179</v>
      </c>
      <c r="B60" s="434">
        <f>SUBTOTAL(9,B57:B59)</f>
        <v>289247</v>
      </c>
      <c r="C60" s="423">
        <f>SUBTOTAL(9,C57:C59)</f>
        <v>841708.77</v>
      </c>
      <c r="D60" s="423">
        <f>SUBTOTAL(9,D57:D59)</f>
        <v>326286.74</v>
      </c>
      <c r="E60" s="423">
        <f>SUBTOTAL(9,E57:E59)</f>
        <v>515422.02999999997</v>
      </c>
      <c r="F60" s="399"/>
      <c r="H60" s="32"/>
      <c r="I60" s="32"/>
      <c r="J60" s="32"/>
      <c r="K60" s="32"/>
    </row>
    <row r="61" spans="1:19" ht="12.95" customHeight="1" x14ac:dyDescent="0.2">
      <c r="B61" s="296"/>
      <c r="C61" s="252"/>
    </row>
    <row r="62" spans="1:19" ht="15" customHeight="1" x14ac:dyDescent="0.2">
      <c r="A62" s="400" t="s">
        <v>59</v>
      </c>
      <c r="B62" s="296"/>
      <c r="C62" s="252"/>
    </row>
    <row r="63" spans="1:19" x14ac:dyDescent="0.2">
      <c r="A63" s="206" t="s">
        <v>29</v>
      </c>
      <c r="B63" s="402">
        <f>+williams!J40</f>
        <v>306896</v>
      </c>
      <c r="C63" s="376">
        <f>+B63*$J$3</f>
        <v>819412.32</v>
      </c>
      <c r="D63" s="47">
        <f>+williams!D48</f>
        <v>1370266.33</v>
      </c>
      <c r="E63" s="47">
        <f>+C63-D63</f>
        <v>-550854.01000000013</v>
      </c>
      <c r="F63" s="398">
        <f>+williams!A40</f>
        <v>37112</v>
      </c>
      <c r="H63" s="206" t="s">
        <v>153</v>
      </c>
      <c r="I63" s="32" t="s">
        <v>201</v>
      </c>
      <c r="J63" s="32"/>
      <c r="K63" s="32"/>
    </row>
    <row r="64" spans="1:19" x14ac:dyDescent="0.2">
      <c r="A64" s="32" t="s">
        <v>24</v>
      </c>
      <c r="B64" s="402">
        <f>+'Red C'!F43</f>
        <v>141195</v>
      </c>
      <c r="C64" s="377">
        <f>+B64*J3</f>
        <v>376990.64999999997</v>
      </c>
      <c r="D64" s="202">
        <f>+'Red C'!D52</f>
        <v>673977.02</v>
      </c>
      <c r="E64" s="47">
        <f>+C64-D64</f>
        <v>-296986.37000000005</v>
      </c>
      <c r="F64" s="398">
        <f>+'Red C'!B43</f>
        <v>37111</v>
      </c>
      <c r="G64" s="205" t="s">
        <v>170</v>
      </c>
      <c r="H64" s="32" t="s">
        <v>118</v>
      </c>
      <c r="I64" s="32" t="s">
        <v>199</v>
      </c>
      <c r="J64" s="32"/>
      <c r="K64" s="32"/>
    </row>
    <row r="65" spans="1:12" x14ac:dyDescent="0.2">
      <c r="A65" s="32" t="s">
        <v>6</v>
      </c>
      <c r="B65" s="402">
        <f>+Amoco!D40</f>
        <v>89393</v>
      </c>
      <c r="C65" s="376">
        <f>+B65*$J$3</f>
        <v>238679.31</v>
      </c>
      <c r="D65" s="47">
        <f>+Amoco!D47</f>
        <v>503893.23000000004</v>
      </c>
      <c r="E65" s="47">
        <f>+C65-D65</f>
        <v>-265213.92000000004</v>
      </c>
      <c r="F65" s="399">
        <f>+Amoco!A40</f>
        <v>37111</v>
      </c>
      <c r="H65" s="32" t="s">
        <v>118</v>
      </c>
      <c r="I65" s="32" t="s">
        <v>200</v>
      </c>
      <c r="J65" s="32"/>
      <c r="K65" s="32"/>
    </row>
    <row r="66" spans="1:12" x14ac:dyDescent="0.2">
      <c r="A66" s="32" t="s">
        <v>34</v>
      </c>
      <c r="B66" s="402">
        <f>+'El Paso'!H39</f>
        <v>67513</v>
      </c>
      <c r="C66" s="376">
        <f>+'El Paso'!E39*summary!H3+'El Paso'!C39*summary!H4</f>
        <v>195684.27000000002</v>
      </c>
      <c r="D66" s="47">
        <f>+'El Paso'!F46</f>
        <v>-461244.22</v>
      </c>
      <c r="E66" s="47">
        <f>+C66-D66</f>
        <v>656928.49</v>
      </c>
      <c r="F66" s="399">
        <f>+'El Paso'!A39</f>
        <v>37111</v>
      </c>
      <c r="G66" s="252"/>
      <c r="H66" s="32" t="s">
        <v>103</v>
      </c>
      <c r="I66" s="32" t="s">
        <v>202</v>
      </c>
      <c r="J66" s="32"/>
      <c r="K66" s="32"/>
    </row>
    <row r="67" spans="1:12" x14ac:dyDescent="0.2">
      <c r="A67" s="32" t="s">
        <v>1</v>
      </c>
      <c r="B67" s="404">
        <f>+NW!$F$41</f>
        <v>12508</v>
      </c>
      <c r="C67" s="379">
        <f>+B67*$J$3</f>
        <v>33396.36</v>
      </c>
      <c r="D67" s="379">
        <f>+NW!E49</f>
        <v>-468018.78</v>
      </c>
      <c r="E67" s="379">
        <f>+C67-D67</f>
        <v>501415.14</v>
      </c>
      <c r="F67" s="398">
        <f>+NW!B41</f>
        <v>37111</v>
      </c>
      <c r="H67" s="32" t="s">
        <v>118</v>
      </c>
      <c r="I67" s="32"/>
      <c r="J67" s="32"/>
      <c r="K67" s="32"/>
    </row>
    <row r="68" spans="1:12" x14ac:dyDescent="0.2">
      <c r="A68" s="32" t="s">
        <v>180</v>
      </c>
      <c r="B68" s="434">
        <f>SUBTOTAL(9,B63:B67)</f>
        <v>617505</v>
      </c>
      <c r="C68" s="423">
        <f>SUBTOTAL(9,C63:C67)</f>
        <v>1664162.9100000001</v>
      </c>
      <c r="D68" s="423">
        <f>SUBTOTAL(9,D63:D67)</f>
        <v>1618873.58</v>
      </c>
      <c r="E68" s="423">
        <f>SUBTOTAL(9,E63:E67)</f>
        <v>45289.329999999725</v>
      </c>
      <c r="F68" s="398"/>
      <c r="H68" s="32"/>
      <c r="I68" s="32"/>
      <c r="J68" s="32"/>
      <c r="K68" s="32"/>
    </row>
    <row r="69" spans="1:12" x14ac:dyDescent="0.2">
      <c r="B69" s="296"/>
      <c r="C69" s="252"/>
    </row>
    <row r="70" spans="1:12" x14ac:dyDescent="0.2">
      <c r="A70" s="400" t="s">
        <v>182</v>
      </c>
      <c r="B70" s="296"/>
      <c r="C70" s="252"/>
    </row>
    <row r="71" spans="1:12" x14ac:dyDescent="0.2">
      <c r="A71" s="32" t="s">
        <v>91</v>
      </c>
      <c r="B71" s="402">
        <f>+NGPL!F38</f>
        <v>181837</v>
      </c>
      <c r="C71" s="376">
        <f>+B71*$J$4</f>
        <v>529145.67000000004</v>
      </c>
      <c r="D71" s="47">
        <f>+NGPL!D45</f>
        <v>476820.33</v>
      </c>
      <c r="E71" s="47">
        <f>+C71-D71</f>
        <v>52325.340000000026</v>
      </c>
      <c r="F71" s="399">
        <f>+NGPL!A38</f>
        <v>37111</v>
      </c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64485</v>
      </c>
      <c r="C72" s="377">
        <f>+B72*$J$4</f>
        <v>187651.35</v>
      </c>
      <c r="D72" s="47">
        <f>+PEPL!D47</f>
        <v>306765.89999999997</v>
      </c>
      <c r="E72" s="47">
        <f>+C72-D72</f>
        <v>-119114.54999999996</v>
      </c>
      <c r="F72" s="399">
        <f>+PEPL!A41</f>
        <v>37111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36653</v>
      </c>
      <c r="C73" s="376">
        <f>+B73*$J$4</f>
        <v>106660.23000000001</v>
      </c>
      <c r="D73" s="47">
        <f>+Oasis!D47</f>
        <v>-282679.00999999995</v>
      </c>
      <c r="E73" s="47">
        <f>+C73-D73</f>
        <v>389339.24</v>
      </c>
      <c r="F73" s="399">
        <f>+Oasis!B40</f>
        <v>37111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44293</v>
      </c>
      <c r="C74" s="379">
        <f>+B74*$J$4</f>
        <v>128892.63</v>
      </c>
      <c r="D74" s="379">
        <f>+Lonestar!D49</f>
        <v>-6822.27</v>
      </c>
      <c r="E74" s="379">
        <f>+C74-D74</f>
        <v>135714.9</v>
      </c>
      <c r="F74" s="398">
        <f>+Lonestar!B42</f>
        <v>37111</v>
      </c>
      <c r="H74" s="32" t="s">
        <v>105</v>
      </c>
      <c r="I74" s="32"/>
      <c r="J74" s="32"/>
      <c r="K74" s="32"/>
    </row>
    <row r="75" spans="1:12" x14ac:dyDescent="0.2">
      <c r="A75" s="2" t="s">
        <v>183</v>
      </c>
      <c r="B75" s="424">
        <f>SUBTOTAL(9,B71:B74)</f>
        <v>327268</v>
      </c>
      <c r="C75" s="423">
        <f>SUBTOTAL(9,C71:C74)</f>
        <v>952349.88</v>
      </c>
      <c r="D75" s="423">
        <f>SUBTOTAL(9,D71:D74)</f>
        <v>494084.95</v>
      </c>
      <c r="E75" s="423">
        <f>SUBTOTAL(9,E71:E74)</f>
        <v>458264.93000000005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190</v>
      </c>
      <c r="B77" s="424">
        <f>SUBTOTAL(9,B57:B74)</f>
        <v>1234020</v>
      </c>
      <c r="C77" s="423">
        <f>SUBTOTAL(9,C57:C74)</f>
        <v>3458221.5599999996</v>
      </c>
      <c r="D77" s="423">
        <f>SUBTOTAL(9,D57:D74)</f>
        <v>2439245.2699999996</v>
      </c>
      <c r="E77" s="423">
        <f>SUBTOTAL(9,E57:E74)</f>
        <v>1018976.2899999998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196</v>
      </c>
      <c r="B80" s="437">
        <f>+C77+B40</f>
        <v>5772565.7400000012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197</v>
      </c>
      <c r="B81" s="14">
        <f>+B77+C40</f>
        <v>2031690.5002847603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D50" sqref="D5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1081337</v>
      </c>
      <c r="C39" s="150">
        <f>SUM(C8:C38)</f>
        <v>1074811</v>
      </c>
      <c r="D39" s="150">
        <f>SUM(D8:D38)</f>
        <v>104180</v>
      </c>
      <c r="E39" s="150">
        <f>SUM(E8:E38)</f>
        <v>104768</v>
      </c>
      <c r="F39" s="11">
        <f t="shared" si="5"/>
        <v>-5938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37111</v>
      </c>
      <c r="C43" s="142"/>
      <c r="D43" s="142"/>
      <c r="E43" s="142"/>
      <c r="F43" s="150">
        <f>+F42+F39</f>
        <v>141195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37111</v>
      </c>
      <c r="B51" s="32"/>
      <c r="C51" s="32"/>
      <c r="D51" s="410">
        <f>+F39*'by type'!J3</f>
        <v>-15854.46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673977.02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D45" sqref="D4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-453472</v>
      </c>
      <c r="C36" s="24">
        <f>SUM(C5:C35)</f>
        <v>-451798</v>
      </c>
      <c r="D36" s="24">
        <f t="shared" si="0"/>
        <v>1674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37111</v>
      </c>
      <c r="C40" s="24"/>
      <c r="D40" s="195">
        <f>+D36+D38</f>
        <v>36653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37111</v>
      </c>
      <c r="B46" s="32"/>
      <c r="C46" s="32"/>
      <c r="D46" s="410">
        <f>+D36*'by type'!J4</f>
        <v>4871.34</v>
      </c>
    </row>
    <row r="47" spans="1:65" x14ac:dyDescent="0.2">
      <c r="A47" s="32"/>
      <c r="B47" s="32"/>
      <c r="C47" s="32"/>
      <c r="D47" s="202">
        <f>+D46+D45</f>
        <v>-282679.00999999995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9" workbookViewId="3">
      <selection activeCell="D22" sqref="D22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268413</v>
      </c>
      <c r="C5" s="90">
        <v>277672</v>
      </c>
      <c r="D5" s="90">
        <f>+C5-B5</f>
        <v>9259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249247</v>
      </c>
      <c r="C7" s="90">
        <v>236230</v>
      </c>
      <c r="D7" s="90">
        <f t="shared" si="0"/>
        <v>-13017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335864</v>
      </c>
      <c r="C8" s="90">
        <v>349400</v>
      </c>
      <c r="D8" s="90">
        <f t="shared" si="0"/>
        <v>13536</v>
      </c>
      <c r="E8" s="285"/>
      <c r="F8" s="283"/>
    </row>
    <row r="9" spans="1:13" x14ac:dyDescent="0.2">
      <c r="A9" s="87">
        <v>500293</v>
      </c>
      <c r="B9" s="90">
        <v>116789</v>
      </c>
      <c r="C9" s="90">
        <v>163448</v>
      </c>
      <c r="D9" s="90">
        <f t="shared" si="0"/>
        <v>46659</v>
      </c>
      <c r="E9" s="285"/>
      <c r="F9" s="283"/>
    </row>
    <row r="10" spans="1:13" x14ac:dyDescent="0.2">
      <c r="A10" s="87">
        <v>500302</v>
      </c>
      <c r="B10" s="319"/>
      <c r="C10" s="319">
        <v>3008</v>
      </c>
      <c r="D10" s="90">
        <f t="shared" si="0"/>
        <v>3008</v>
      </c>
      <c r="E10" s="285"/>
      <c r="F10" s="283"/>
    </row>
    <row r="11" spans="1:13" x14ac:dyDescent="0.2">
      <c r="A11" s="87">
        <v>500303</v>
      </c>
      <c r="B11" s="319">
        <v>72123</v>
      </c>
      <c r="C11" s="90">
        <v>89219</v>
      </c>
      <c r="D11" s="90">
        <f t="shared" si="0"/>
        <v>17096</v>
      </c>
      <c r="E11" s="285"/>
      <c r="F11" s="283"/>
    </row>
    <row r="12" spans="1:13" x14ac:dyDescent="0.2">
      <c r="A12" s="91">
        <v>500305</v>
      </c>
      <c r="B12" s="319">
        <v>276635</v>
      </c>
      <c r="C12" s="90">
        <v>355088</v>
      </c>
      <c r="D12" s="90">
        <f t="shared" si="0"/>
        <v>78453</v>
      </c>
      <c r="E12" s="286"/>
      <c r="F12" s="283"/>
    </row>
    <row r="13" spans="1:13" x14ac:dyDescent="0.2">
      <c r="A13" s="87">
        <v>500307</v>
      </c>
      <c r="B13" s="319">
        <v>37129</v>
      </c>
      <c r="C13" s="90">
        <v>40043</v>
      </c>
      <c r="D13" s="90">
        <f t="shared" si="0"/>
        <v>2914</v>
      </c>
      <c r="E13" s="285"/>
      <c r="F13" s="283"/>
    </row>
    <row r="14" spans="1:13" x14ac:dyDescent="0.2">
      <c r="A14" s="87">
        <v>500313</v>
      </c>
      <c r="B14" s="90"/>
      <c r="C14" s="319">
        <v>839</v>
      </c>
      <c r="D14" s="90">
        <f t="shared" si="0"/>
        <v>839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179217</v>
      </c>
      <c r="C16" s="90"/>
      <c r="D16" s="90">
        <f t="shared" si="0"/>
        <v>-179217</v>
      </c>
      <c r="E16" s="285"/>
      <c r="F16" s="283"/>
    </row>
    <row r="17" spans="1:6" x14ac:dyDescent="0.2">
      <c r="A17" s="87">
        <v>500657</v>
      </c>
      <c r="B17" s="335">
        <v>38860</v>
      </c>
      <c r="C17" s="88">
        <v>43956</v>
      </c>
      <c r="D17" s="94">
        <f t="shared" si="0"/>
        <v>5096</v>
      </c>
      <c r="E17" s="285"/>
      <c r="F17" s="283"/>
    </row>
    <row r="18" spans="1:6" x14ac:dyDescent="0.2">
      <c r="A18" s="87"/>
      <c r="B18" s="88"/>
      <c r="C18" s="88"/>
      <c r="D18" s="88">
        <f>SUM(D5:D17)</f>
        <v>-15374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2.91</v>
      </c>
      <c r="E19" s="287"/>
      <c r="F19" s="283"/>
    </row>
    <row r="20" spans="1:6" x14ac:dyDescent="0.2">
      <c r="A20" s="87"/>
      <c r="B20" s="88"/>
      <c r="C20" s="88"/>
      <c r="D20" s="96">
        <f>+D19*D18</f>
        <v>-44738.340000000004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37111</v>
      </c>
      <c r="B24" s="88"/>
      <c r="C24" s="88"/>
      <c r="D24" s="334">
        <f>+D22+D20</f>
        <v>-176524.29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166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37111</v>
      </c>
      <c r="B30" s="32"/>
      <c r="C30" s="32"/>
      <c r="D30" s="380">
        <f>+D18</f>
        <v>-15374</v>
      </c>
    </row>
    <row r="31" spans="1:6" x14ac:dyDescent="0.2">
      <c r="A31" s="32"/>
      <c r="B31" s="32"/>
      <c r="C31" s="32"/>
      <c r="D31" s="14">
        <f>+D30+D29</f>
        <v>-97120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D46" sqref="D4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0"/>
        <v>5491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276857</v>
      </c>
      <c r="C35" s="11">
        <f>SUM(C4:C34)</f>
        <v>288238</v>
      </c>
      <c r="D35" s="11">
        <f>SUM(D4:D34)</f>
        <v>252397</v>
      </c>
      <c r="E35" s="11">
        <f>SUM(E4:E34)</f>
        <v>249994</v>
      </c>
      <c r="F35" s="11">
        <f>+E35-D35+C35-B35</f>
        <v>8978</v>
      </c>
    </row>
    <row r="36" spans="1:7" x14ac:dyDescent="0.2">
      <c r="A36" s="45"/>
      <c r="C36" s="14">
        <f>+C35-B35</f>
        <v>11381</v>
      </c>
      <c r="D36" s="14"/>
      <c r="E36" s="14">
        <f>+E35-D35</f>
        <v>-2403</v>
      </c>
      <c r="F36" s="47"/>
    </row>
    <row r="37" spans="1:7" x14ac:dyDescent="0.2">
      <c r="C37" s="15">
        <f>+summary!H4</f>
        <v>2.91</v>
      </c>
      <c r="D37" s="15"/>
      <c r="E37" s="15">
        <f>+C37</f>
        <v>2.91</v>
      </c>
      <c r="F37" s="24"/>
    </row>
    <row r="38" spans="1:7" x14ac:dyDescent="0.2">
      <c r="C38" s="48">
        <f>+C37*C36</f>
        <v>33118.71</v>
      </c>
      <c r="D38" s="47"/>
      <c r="E38" s="48">
        <f>+E37*E36</f>
        <v>-6992.7300000000005</v>
      </c>
      <c r="F38" s="46">
        <f>+E38+C38</f>
        <v>26125.98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37111</v>
      </c>
      <c r="C41" s="106">
        <f>+C40+C38</f>
        <v>645796.98</v>
      </c>
      <c r="D41" s="106"/>
      <c r="E41" s="106">
        <f>+E40+E38</f>
        <v>-6992.7300000000005</v>
      </c>
      <c r="F41" s="106">
        <f>+E41+C41</f>
        <v>638804.25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37111</v>
      </c>
      <c r="D47" s="380">
        <f>+F35</f>
        <v>8978</v>
      </c>
      <c r="E47" s="11"/>
      <c r="F47" s="11"/>
      <c r="G47" s="25"/>
    </row>
    <row r="48" spans="1:7" x14ac:dyDescent="0.2">
      <c r="D48" s="14">
        <f>+D47+D46</f>
        <v>104109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0" workbookViewId="3">
      <selection activeCell="C36" sqref="C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1427572</v>
      </c>
      <c r="C36" s="11">
        <f>SUM(C5:C35)</f>
        <v>1565125</v>
      </c>
      <c r="D36" s="11">
        <f>SUM(D5:D35)</f>
        <v>0</v>
      </c>
      <c r="E36" s="11">
        <f>SUM(E5:E35)</f>
        <v>-130155</v>
      </c>
      <c r="F36" s="11">
        <f>SUM(F5:F35)</f>
        <v>7398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37111</v>
      </c>
      <c r="F41" s="354">
        <f>+F39+F36</f>
        <v>12508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37111</v>
      </c>
      <c r="C48" s="32"/>
      <c r="D48" s="32"/>
      <c r="E48" s="410">
        <f>+F36*'by type'!J3</f>
        <v>19752.66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-468018.78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762448</v>
      </c>
      <c r="C39" s="11">
        <f>SUM(C8:C38)</f>
        <v>753710</v>
      </c>
      <c r="D39" s="11">
        <f>SUM(D8:D38)</f>
        <v>-8738</v>
      </c>
      <c r="E39" s="10"/>
      <c r="F39" s="11"/>
      <c r="G39" s="11"/>
      <c r="H39" s="11"/>
    </row>
    <row r="40" spans="1:8" x14ac:dyDescent="0.2">
      <c r="A40" s="26"/>
      <c r="D40" s="75">
        <f>+summary!H4</f>
        <v>2.91</v>
      </c>
      <c r="E40" s="26"/>
      <c r="H40" s="75"/>
    </row>
    <row r="41" spans="1:8" x14ac:dyDescent="0.2">
      <c r="D41" s="197">
        <f>+D40*D39</f>
        <v>-25427.58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37111</v>
      </c>
      <c r="D43" s="198">
        <f>+D42+D41</f>
        <v>-3824.6800000000003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166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37111</v>
      </c>
      <c r="B49" s="32"/>
      <c r="C49" s="32"/>
      <c r="D49" s="380">
        <f>+D39</f>
        <v>-8738</v>
      </c>
    </row>
    <row r="50" spans="1:4" x14ac:dyDescent="0.2">
      <c r="A50" s="32"/>
      <c r="B50" s="32"/>
      <c r="C50" s="32"/>
      <c r="D50" s="14">
        <f>+D49+D48</f>
        <v>-52213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4" workbookViewId="3">
      <selection activeCell="C28" sqref="C2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37112</v>
      </c>
      <c r="J7" s="32"/>
    </row>
    <row r="8" spans="1:10" x14ac:dyDescent="0.2">
      <c r="A8" s="253">
        <v>60874</v>
      </c>
      <c r="B8" s="362">
        <f>1357+171</f>
        <v>1528</v>
      </c>
      <c r="J8" s="32"/>
    </row>
    <row r="9" spans="1:10" x14ac:dyDescent="0.2">
      <c r="A9" s="32">
        <v>500235</v>
      </c>
      <c r="B9" s="14"/>
      <c r="J9" s="32"/>
    </row>
    <row r="10" spans="1:10" x14ac:dyDescent="0.2">
      <c r="A10" s="253">
        <v>500248</v>
      </c>
      <c r="B10" s="364">
        <f>3861-5448</f>
        <v>-1587</v>
      </c>
      <c r="J10" s="32"/>
    </row>
    <row r="11" spans="1:10" x14ac:dyDescent="0.2">
      <c r="A11" s="253">
        <v>500251</v>
      </c>
      <c r="B11" s="332">
        <f>5400-4142-511</f>
        <v>747</v>
      </c>
      <c r="J11" s="32"/>
    </row>
    <row r="12" spans="1:10" x14ac:dyDescent="0.2">
      <c r="A12" s="253">
        <v>500254</v>
      </c>
      <c r="B12" s="332">
        <f>810-927</f>
        <v>-117</v>
      </c>
      <c r="J12" s="32"/>
    </row>
    <row r="13" spans="1:10" x14ac:dyDescent="0.2">
      <c r="A13" s="32">
        <v>500255</v>
      </c>
      <c r="B13" s="332">
        <f>4950-5473-686</f>
        <v>-1209</v>
      </c>
      <c r="E13" s="32">
        <v>4840.7299999999996</v>
      </c>
      <c r="J13" s="32"/>
    </row>
    <row r="14" spans="1:10" x14ac:dyDescent="0.2">
      <c r="A14" s="32">
        <v>500262</v>
      </c>
      <c r="B14" s="332">
        <f>3600-2414-270</f>
        <v>916</v>
      </c>
      <c r="E14" s="32">
        <v>67.239999999999995</v>
      </c>
      <c r="J14" s="32"/>
    </row>
    <row r="15" spans="1:10" x14ac:dyDescent="0.2">
      <c r="A15" s="290">
        <v>500267</v>
      </c>
      <c r="B15" s="363">
        <f>540349-454507-60409</f>
        <v>25433</v>
      </c>
      <c r="E15" s="32">
        <f>+E13-E14</f>
        <v>4773.49</v>
      </c>
      <c r="J15" s="32"/>
    </row>
    <row r="16" spans="1:10" x14ac:dyDescent="0.2">
      <c r="B16" s="14">
        <f>SUM(B8:B15)</f>
        <v>25711</v>
      </c>
      <c r="J16" s="32"/>
    </row>
    <row r="17" spans="1:10" x14ac:dyDescent="0.2">
      <c r="B17" s="15">
        <f>+B30</f>
        <v>2.91</v>
      </c>
      <c r="C17" s="201">
        <f>+B17*B16</f>
        <v>74819.010000000009</v>
      </c>
      <c r="G17" s="32"/>
      <c r="H17" s="415"/>
      <c r="I17" s="14"/>
      <c r="J17" s="32"/>
    </row>
    <row r="18" spans="1:10" x14ac:dyDescent="0.2">
      <c r="C18" s="339">
        <f>+C17+C5</f>
        <v>1237605.05</v>
      </c>
      <c r="E18" s="15"/>
      <c r="G18" s="32"/>
      <c r="H18" s="415"/>
      <c r="I18" s="14"/>
      <c r="J18" s="32"/>
    </row>
    <row r="19" spans="1:10" x14ac:dyDescent="0.2">
      <c r="E19" s="15"/>
      <c r="G19" s="32"/>
      <c r="H19" s="415"/>
      <c r="I19" s="14"/>
      <c r="J19" s="32"/>
    </row>
    <row r="20" spans="1:10" x14ac:dyDescent="0.2">
      <c r="A20" s="32" t="s">
        <v>89</v>
      </c>
      <c r="G20" s="32"/>
      <c r="H20" s="415"/>
      <c r="I20" s="14"/>
      <c r="J20" s="32"/>
    </row>
    <row r="21" spans="1:10" x14ac:dyDescent="0.2">
      <c r="A21" s="2" t="s">
        <v>76</v>
      </c>
      <c r="G21" s="32"/>
      <c r="H21" s="415"/>
      <c r="I21" s="14"/>
      <c r="J21" s="32"/>
    </row>
    <row r="22" spans="1:10" x14ac:dyDescent="0.2"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A24" s="200">
        <v>37103</v>
      </c>
      <c r="C24" s="460">
        <v>275313.71999999997</v>
      </c>
      <c r="G24" s="32"/>
      <c r="H24" s="15"/>
      <c r="I24" s="14"/>
      <c r="J24" s="32"/>
    </row>
    <row r="25" spans="1:10" x14ac:dyDescent="0.2">
      <c r="F25" s="267"/>
      <c r="G25" s="32"/>
      <c r="H25" s="15"/>
      <c r="I25" s="32"/>
      <c r="J25" s="32"/>
    </row>
    <row r="26" spans="1:10" x14ac:dyDescent="0.2">
      <c r="A26" s="57">
        <v>37109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2.91</v>
      </c>
      <c r="C30" s="201">
        <f>+B30*B29</f>
        <v>0</v>
      </c>
    </row>
    <row r="31" spans="1:10" x14ac:dyDescent="0.2">
      <c r="C31" s="339">
        <f>+C30+C24</f>
        <v>275313.71999999997</v>
      </c>
      <c r="E31" s="15"/>
    </row>
    <row r="33" spans="1:9" x14ac:dyDescent="0.2">
      <c r="E33" s="272"/>
    </row>
    <row r="34" spans="1:9" x14ac:dyDescent="0.2">
      <c r="A34" s="32" t="s">
        <v>89</v>
      </c>
      <c r="E34" s="15"/>
    </row>
    <row r="35" spans="1:9" x14ac:dyDescent="0.2">
      <c r="A35" s="32" t="s">
        <v>77</v>
      </c>
      <c r="E35" s="32" t="s">
        <v>166</v>
      </c>
      <c r="F35" s="382">
        <v>24268</v>
      </c>
      <c r="G35" s="382">
        <v>24693</v>
      </c>
      <c r="H35" s="382">
        <v>24361</v>
      </c>
    </row>
    <row r="36" spans="1:9" x14ac:dyDescent="0.2">
      <c r="E36" s="49">
        <f>+A5</f>
        <v>37103</v>
      </c>
      <c r="F36" s="212">
        <v>223026</v>
      </c>
      <c r="G36" s="14">
        <v>117857</v>
      </c>
      <c r="H36" s="212">
        <v>138810</v>
      </c>
      <c r="I36" s="14"/>
    </row>
    <row r="37" spans="1:9" x14ac:dyDescent="0.2">
      <c r="E37" s="49">
        <f>+A7</f>
        <v>37112</v>
      </c>
      <c r="F37" s="380">
        <f>+B16</f>
        <v>25711</v>
      </c>
      <c r="G37" s="380">
        <f>+B29</f>
        <v>0</v>
      </c>
      <c r="H37" s="380">
        <f>+B44</f>
        <v>2563</v>
      </c>
      <c r="I37" s="14"/>
    </row>
    <row r="38" spans="1:9" x14ac:dyDescent="0.2">
      <c r="A38" s="49">
        <v>37103</v>
      </c>
      <c r="C38" s="460">
        <v>732710.21</v>
      </c>
      <c r="F38" s="14">
        <f>+F37+F36</f>
        <v>248737</v>
      </c>
      <c r="G38" s="14">
        <f>+G37+G36</f>
        <v>117857</v>
      </c>
      <c r="H38" s="14">
        <f>+H37+H36</f>
        <v>141373</v>
      </c>
      <c r="I38" s="14">
        <f>+H38+G38+F38</f>
        <v>507967</v>
      </c>
    </row>
    <row r="39" spans="1:9" x14ac:dyDescent="0.2">
      <c r="G39" s="32"/>
      <c r="H39" s="15"/>
      <c r="I39" s="32"/>
    </row>
    <row r="40" spans="1:9" x14ac:dyDescent="0.2">
      <c r="A40" s="249">
        <v>37111</v>
      </c>
      <c r="G40" s="32"/>
      <c r="H40" s="416">
        <v>21665</v>
      </c>
      <c r="I40" s="14">
        <v>36403</v>
      </c>
    </row>
    <row r="41" spans="1:9" x14ac:dyDescent="0.2">
      <c r="A41" s="253">
        <v>500241</v>
      </c>
      <c r="B41" s="14"/>
      <c r="G41" s="32"/>
      <c r="H41" s="416">
        <v>22664</v>
      </c>
      <c r="I41" s="14">
        <v>18932</v>
      </c>
    </row>
    <row r="42" spans="1:9" x14ac:dyDescent="0.2">
      <c r="A42" s="32">
        <v>500391</v>
      </c>
      <c r="B42" s="212">
        <v>2074</v>
      </c>
      <c r="G42" s="32"/>
      <c r="H42" s="416">
        <v>20248</v>
      </c>
      <c r="I42" s="14">
        <v>43064</v>
      </c>
    </row>
    <row r="43" spans="1:9" x14ac:dyDescent="0.2">
      <c r="A43" s="32">
        <v>500392</v>
      </c>
      <c r="B43" s="257">
        <v>489</v>
      </c>
      <c r="G43" s="32"/>
      <c r="H43" s="416">
        <v>25873</v>
      </c>
      <c r="I43" s="14">
        <v>-17</v>
      </c>
    </row>
    <row r="44" spans="1:9" x14ac:dyDescent="0.2">
      <c r="B44" s="14">
        <f>SUM(B41:B43)</f>
        <v>2563</v>
      </c>
      <c r="G44" s="32"/>
      <c r="H44" s="416">
        <v>26758</v>
      </c>
      <c r="I44" s="14">
        <v>-149</v>
      </c>
    </row>
    <row r="45" spans="1:9" x14ac:dyDescent="0.2">
      <c r="B45" s="201">
        <f>+B30</f>
        <v>2.91</v>
      </c>
      <c r="C45" s="201">
        <f>+B45*B44</f>
        <v>7458.33</v>
      </c>
      <c r="H45" s="416">
        <v>26372</v>
      </c>
      <c r="I45" s="14">
        <v>1467</v>
      </c>
    </row>
    <row r="46" spans="1:9" x14ac:dyDescent="0.2">
      <c r="C46" s="339">
        <f>+C45+C38</f>
        <v>740168.53999999992</v>
      </c>
      <c r="E46" s="206"/>
      <c r="H46" s="416">
        <v>26700</v>
      </c>
      <c r="I46" s="14">
        <v>1970</v>
      </c>
    </row>
    <row r="47" spans="1:9" x14ac:dyDescent="0.2">
      <c r="E47" s="216"/>
      <c r="H47" s="416">
        <v>26422</v>
      </c>
      <c r="I47" s="14">
        <v>3940</v>
      </c>
    </row>
    <row r="48" spans="1:9" x14ac:dyDescent="0.2">
      <c r="E48" s="206"/>
      <c r="H48" s="416">
        <v>26661</v>
      </c>
      <c r="I48" s="14">
        <v>28550</v>
      </c>
    </row>
    <row r="49" spans="1:9" x14ac:dyDescent="0.2">
      <c r="C49" s="324"/>
      <c r="E49" s="216"/>
      <c r="H49" s="416">
        <v>27291</v>
      </c>
      <c r="I49" s="14">
        <v>-3361</v>
      </c>
    </row>
    <row r="50" spans="1:9" x14ac:dyDescent="0.2">
      <c r="A50" s="32" t="s">
        <v>89</v>
      </c>
      <c r="C50" s="254"/>
      <c r="H50" s="416">
        <v>27137</v>
      </c>
      <c r="I50" s="14">
        <v>-8</v>
      </c>
    </row>
    <row r="51" spans="1:9" x14ac:dyDescent="0.2">
      <c r="A51" s="32">
        <v>21665</v>
      </c>
      <c r="B51" s="15" t="s">
        <v>142</v>
      </c>
      <c r="C51" s="459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">
      <c r="A52" s="32">
        <v>22664</v>
      </c>
      <c r="B52" s="15" t="s">
        <v>142</v>
      </c>
      <c r="C52" s="461">
        <v>23612.35</v>
      </c>
      <c r="D52" s="32" t="s">
        <v>124</v>
      </c>
      <c r="H52" s="417"/>
      <c r="I52" s="16">
        <f>SUM(I40:I51)</f>
        <v>129444</v>
      </c>
    </row>
    <row r="53" spans="1:9" x14ac:dyDescent="0.2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">
      <c r="A54" s="32">
        <v>25873</v>
      </c>
      <c r="C54" s="330">
        <v>-259</v>
      </c>
      <c r="D54" s="15"/>
      <c r="H54" s="15"/>
    </row>
    <row r="55" spans="1:9" x14ac:dyDescent="0.2">
      <c r="A55" s="32">
        <v>26758</v>
      </c>
      <c r="C55" s="330">
        <v>-596</v>
      </c>
      <c r="D55" s="15"/>
      <c r="H55" s="15"/>
    </row>
    <row r="56" spans="1:9" x14ac:dyDescent="0.2">
      <c r="A56" s="32">
        <v>26372</v>
      </c>
      <c r="C56" s="330">
        <v>2997.09</v>
      </c>
      <c r="D56" s="15"/>
      <c r="H56" s="15"/>
    </row>
    <row r="57" spans="1:9" x14ac:dyDescent="0.2">
      <c r="A57" s="32">
        <v>26700</v>
      </c>
      <c r="C57" s="330">
        <v>4077.9</v>
      </c>
      <c r="D57" s="15"/>
      <c r="H57" s="331"/>
    </row>
    <row r="58" spans="1:9" x14ac:dyDescent="0.2">
      <c r="A58" s="32">
        <v>26422</v>
      </c>
      <c r="C58" s="330">
        <v>8155.8</v>
      </c>
      <c r="D58" s="15"/>
      <c r="H58" s="47"/>
    </row>
    <row r="59" spans="1:9" x14ac:dyDescent="0.2">
      <c r="A59" s="32">
        <v>26661</v>
      </c>
      <c r="C59" s="330">
        <v>146862.35</v>
      </c>
      <c r="D59" s="15"/>
      <c r="H59" s="342"/>
      <c r="I59" s="32"/>
    </row>
    <row r="60" spans="1:9" x14ac:dyDescent="0.2">
      <c r="A60" s="32">
        <v>27291</v>
      </c>
      <c r="C60" s="330">
        <v>-17965</v>
      </c>
      <c r="D60" s="15"/>
    </row>
    <row r="61" spans="1:9" x14ac:dyDescent="0.2">
      <c r="A61" s="32">
        <v>27137</v>
      </c>
      <c r="C61" s="330">
        <v>-67.28</v>
      </c>
      <c r="D61" s="15"/>
    </row>
    <row r="62" spans="1:9" x14ac:dyDescent="0.2">
      <c r="A62" s="32">
        <v>27123</v>
      </c>
      <c r="C62" s="408">
        <v>-6425.19</v>
      </c>
      <c r="D62" s="15"/>
    </row>
    <row r="63" spans="1:9" x14ac:dyDescent="0.2">
      <c r="C63" s="331">
        <f>+C18+C31+C46+C51+C52+C53+C54+C55+C56+C57+C58+C59+C60+C61+C62</f>
        <v>2627991.4000000004</v>
      </c>
    </row>
    <row r="64" spans="1:9" x14ac:dyDescent="0.2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A16" sqref="A16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/>
      <c r="G8" s="11"/>
      <c r="H8" s="11">
        <f t="shared" si="0"/>
        <v>-582</v>
      </c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/>
      <c r="G9" s="11"/>
      <c r="H9" s="11">
        <f t="shared" si="0"/>
        <v>-730</v>
      </c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29"/>
      <c r="G10" s="11"/>
      <c r="H10" s="11">
        <f t="shared" si="0"/>
        <v>-1434</v>
      </c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/>
      <c r="G11" s="11"/>
      <c r="H11" s="11">
        <f t="shared" si="0"/>
        <v>-132</v>
      </c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82">
        <v>23995</v>
      </c>
      <c r="L33" s="382">
        <v>22051</v>
      </c>
      <c r="M33" s="382"/>
    </row>
    <row r="34" spans="1:14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212">
        <v>-178485</v>
      </c>
      <c r="L34" s="212">
        <v>-80532</v>
      </c>
      <c r="M34" s="14"/>
      <c r="N34" s="14"/>
    </row>
    <row r="35" spans="1:14" x14ac:dyDescent="0.2">
      <c r="A35" s="10"/>
      <c r="B35" s="11">
        <f t="shared" ref="B35:H35" si="1">SUM(B4:B34)</f>
        <v>11</v>
      </c>
      <c r="C35" s="11">
        <f t="shared" si="1"/>
        <v>0</v>
      </c>
      <c r="D35" s="11">
        <f t="shared" si="1"/>
        <v>179359</v>
      </c>
      <c r="E35" s="11">
        <f t="shared" si="1"/>
        <v>196896</v>
      </c>
      <c r="F35" s="11">
        <f t="shared" si="1"/>
        <v>0</v>
      </c>
      <c r="G35" s="11">
        <f t="shared" si="1"/>
        <v>0</v>
      </c>
      <c r="H35" s="11">
        <f t="shared" si="1"/>
        <v>17526</v>
      </c>
      <c r="I35" s="11"/>
      <c r="J35" s="49">
        <f>+A40</f>
        <v>37111</v>
      </c>
      <c r="K35" s="380">
        <f>+C36</f>
        <v>-11</v>
      </c>
      <c r="L35" s="380">
        <f>+G36</f>
        <v>17537</v>
      </c>
      <c r="M35" s="208"/>
      <c r="N35" s="14"/>
    </row>
    <row r="36" spans="1:14" x14ac:dyDescent="0.2">
      <c r="C36" s="25">
        <f>+C35-B35</f>
        <v>-11</v>
      </c>
      <c r="E36" s="25"/>
      <c r="G36" s="25">
        <f>+G35-F35+E35-D35</f>
        <v>17537</v>
      </c>
      <c r="H36" s="25"/>
      <c r="J36" s="32"/>
      <c r="K36" s="14">
        <f>+K35+K34</f>
        <v>-178496</v>
      </c>
      <c r="L36" s="14">
        <f>+L35+L34</f>
        <v>-62995</v>
      </c>
      <c r="M36" s="14">
        <f>+L36+K36</f>
        <v>-241491</v>
      </c>
      <c r="N36" s="14"/>
    </row>
    <row r="37" spans="1:14" x14ac:dyDescent="0.2">
      <c r="C37" s="329">
        <f>+summary!H5</f>
        <v>3.04</v>
      </c>
      <c r="E37" s="329"/>
      <c r="G37" s="104">
        <f>+C37</f>
        <v>3.04</v>
      </c>
      <c r="H37" s="329"/>
    </row>
    <row r="38" spans="1:14" x14ac:dyDescent="0.2">
      <c r="C38" s="138">
        <f>+C37*C36</f>
        <v>-33.44</v>
      </c>
      <c r="E38" s="138"/>
      <c r="G38" s="136">
        <f>+G37*G36</f>
        <v>53312.480000000003</v>
      </c>
      <c r="H38" s="138">
        <f>+G38+C38</f>
        <v>53279.040000000001</v>
      </c>
      <c r="L38" s="12">
        <v>22864</v>
      </c>
      <c r="M38" s="14">
        <v>-24566</v>
      </c>
    </row>
    <row r="39" spans="1:14" x14ac:dyDescent="0.2">
      <c r="A39" s="57">
        <v>37103</v>
      </c>
      <c r="B39" s="2" t="s">
        <v>46</v>
      </c>
      <c r="C39" s="370">
        <v>-1023166</v>
      </c>
      <c r="D39" s="338"/>
      <c r="E39" s="370"/>
      <c r="G39" s="455">
        <v>-496043.34</v>
      </c>
      <c r="H39" s="337">
        <f>+G39+C39</f>
        <v>-1519209.34</v>
      </c>
      <c r="I39" s="51"/>
      <c r="L39" s="12">
        <v>20379</v>
      </c>
      <c r="M39" s="14">
        <v>2979</v>
      </c>
    </row>
    <row r="40" spans="1:14" x14ac:dyDescent="0.2">
      <c r="A40" s="57">
        <v>37111</v>
      </c>
      <c r="B40" s="2" t="s">
        <v>46</v>
      </c>
      <c r="C40" s="330">
        <f>+C39+C38</f>
        <v>-1023199.44</v>
      </c>
      <c r="D40" s="259"/>
      <c r="E40" s="330"/>
      <c r="G40" s="330">
        <f>+G39+G38</f>
        <v>-442730.86000000004</v>
      </c>
      <c r="H40" s="330">
        <f>+H39+H38</f>
        <v>-1465930.3</v>
      </c>
      <c r="I40" s="131"/>
      <c r="J40" s="131"/>
      <c r="L40" s="12">
        <v>21459</v>
      </c>
      <c r="M40" s="14">
        <v>6776</v>
      </c>
    </row>
    <row r="41" spans="1:14" x14ac:dyDescent="0.2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">
      <c r="C43" s="250"/>
      <c r="D43" s="250"/>
      <c r="E43" s="12" t="s">
        <v>115</v>
      </c>
      <c r="H43" s="272"/>
      <c r="I43" s="250"/>
      <c r="L43" s="12">
        <v>24532</v>
      </c>
      <c r="M43" s="212">
        <v>17769</v>
      </c>
    </row>
    <row r="44" spans="1:14" x14ac:dyDescent="0.2">
      <c r="C44" s="250"/>
      <c r="D44" s="250"/>
      <c r="E44" s="12">
        <v>22864</v>
      </c>
      <c r="H44" s="460">
        <v>-58339.66</v>
      </c>
      <c r="I44" s="254" t="s">
        <v>49</v>
      </c>
      <c r="M44" s="14">
        <f>SUM(M36:M43)</f>
        <v>-175904</v>
      </c>
    </row>
    <row r="45" spans="1:14" x14ac:dyDescent="0.2">
      <c r="C45" s="250"/>
      <c r="D45" s="250"/>
      <c r="E45" s="12">
        <v>20379</v>
      </c>
      <c r="H45" s="460">
        <v>-51695.87</v>
      </c>
      <c r="I45" s="254" t="s">
        <v>126</v>
      </c>
      <c r="M45" s="14"/>
    </row>
    <row r="46" spans="1:14" x14ac:dyDescent="0.2">
      <c r="C46" s="250"/>
      <c r="D46" s="250"/>
      <c r="E46" s="12">
        <v>21459</v>
      </c>
      <c r="H46" s="372">
        <v>10570.56</v>
      </c>
      <c r="I46" s="250"/>
      <c r="M46" s="14"/>
    </row>
    <row r="47" spans="1:14" x14ac:dyDescent="0.2">
      <c r="C47" s="250"/>
      <c r="D47" s="250"/>
      <c r="E47" s="12">
        <v>26357</v>
      </c>
      <c r="H47" s="372">
        <v>44144.84</v>
      </c>
      <c r="I47" s="254" t="s">
        <v>127</v>
      </c>
    </row>
    <row r="48" spans="1:14" x14ac:dyDescent="0.2">
      <c r="C48" s="250"/>
      <c r="D48" s="250"/>
      <c r="E48" s="12">
        <v>21544</v>
      </c>
      <c r="H48" s="460">
        <v>61340.160000000003</v>
      </c>
      <c r="I48" s="254" t="s">
        <v>128</v>
      </c>
    </row>
    <row r="49" spans="3:13" x14ac:dyDescent="0.2">
      <c r="C49" s="250"/>
      <c r="D49" s="250"/>
      <c r="E49" s="12">
        <v>24532</v>
      </c>
      <c r="H49" s="371">
        <v>-762222.24</v>
      </c>
      <c r="I49" s="254" t="s">
        <v>125</v>
      </c>
    </row>
    <row r="50" spans="3:13" x14ac:dyDescent="0.2">
      <c r="C50" s="250"/>
      <c r="D50" s="250"/>
      <c r="H50" s="350">
        <f>SUM(H40:H49)</f>
        <v>-2222132.5099999998</v>
      </c>
      <c r="I50" s="250"/>
    </row>
    <row r="51" spans="3:13" x14ac:dyDescent="0.2">
      <c r="C51" s="250"/>
      <c r="D51" s="250"/>
      <c r="H51" s="250"/>
      <c r="I51" s="250"/>
    </row>
    <row r="52" spans="3:13" x14ac:dyDescent="0.2">
      <c r="E52" s="2" t="s">
        <v>144</v>
      </c>
      <c r="H52" s="138">
        <f>+Duke!C63</f>
        <v>2627991.4000000004</v>
      </c>
      <c r="M52" s="14">
        <f>+Duke!I52</f>
        <v>129444</v>
      </c>
    </row>
    <row r="54" spans="3:13" x14ac:dyDescent="0.2">
      <c r="H54" s="104">
        <f>+H52+H50</f>
        <v>405858.8900000006</v>
      </c>
      <c r="M54" s="16">
        <f>+M52+M44</f>
        <v>-46460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B39" sqref="B3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57300</v>
      </c>
      <c r="C39" s="11">
        <f t="shared" si="1"/>
        <v>48248</v>
      </c>
      <c r="D39" s="11">
        <f t="shared" si="1"/>
        <v>0</v>
      </c>
      <c r="E39" s="11">
        <f t="shared" si="1"/>
        <v>0</v>
      </c>
      <c r="F39" s="11">
        <f t="shared" si="1"/>
        <v>9199</v>
      </c>
      <c r="G39" s="11">
        <f t="shared" si="1"/>
        <v>9200</v>
      </c>
      <c r="H39" s="11">
        <f t="shared" si="1"/>
        <v>11649</v>
      </c>
      <c r="I39" s="11">
        <f t="shared" si="1"/>
        <v>10264</v>
      </c>
      <c r="J39" s="25">
        <f t="shared" si="1"/>
        <v>-10436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2.91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-30368.760000000002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37111</v>
      </c>
      <c r="C43" s="48"/>
      <c r="J43" s="138">
        <f>+J42+J41</f>
        <v>342473.12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166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37111</v>
      </c>
      <c r="B48" s="32"/>
      <c r="C48" s="32"/>
      <c r="D48" s="380">
        <f>+J39</f>
        <v>-10436</v>
      </c>
      <c r="L48"/>
    </row>
    <row r="49" spans="1:12" x14ac:dyDescent="0.2">
      <c r="A49" s="32"/>
      <c r="B49" s="32"/>
      <c r="C49" s="32"/>
      <c r="D49" s="14">
        <f>+D48+D47</f>
        <v>135969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D47" sqref="D47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94291</v>
      </c>
      <c r="C39" s="11">
        <f>SUM(C8:C38)</f>
        <v>91384</v>
      </c>
      <c r="D39" s="11">
        <f>SUM(D8:D38)</f>
        <v>0</v>
      </c>
      <c r="E39" s="11">
        <f>SUM(E8:E38)</f>
        <v>0</v>
      </c>
      <c r="F39" s="11">
        <f>SUM(F8:F38)</f>
        <v>-2907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2.91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-8459.3700000000008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37111</v>
      </c>
      <c r="C43" s="48"/>
      <c r="D43" s="48"/>
      <c r="E43" s="48"/>
      <c r="F43" s="110">
        <f>+F42+F41</f>
        <v>433717.15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166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37111</v>
      </c>
      <c r="B48" s="32"/>
      <c r="C48" s="32"/>
      <c r="D48" s="380">
        <f>+F39</f>
        <v>-2907</v>
      </c>
      <c r="E48" s="11"/>
    </row>
    <row r="49" spans="1:5" x14ac:dyDescent="0.2">
      <c r="A49" s="32"/>
      <c r="B49" s="32"/>
      <c r="C49" s="32"/>
      <c r="D49" s="14">
        <f>+D48+D47</f>
        <v>-238685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abSelected="1" topLeftCell="A35" workbookViewId="3">
      <selection activeCell="C33" sqref="C33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2.67</v>
      </c>
      <c r="I3" s="409">
        <f ca="1">NOW()</f>
        <v>41885.692920370369</v>
      </c>
    </row>
    <row r="4" spans="1:32" ht="15" customHeight="1" x14ac:dyDescent="0.2">
      <c r="A4" s="34" t="s">
        <v>154</v>
      </c>
      <c r="C4" s="34" t="s">
        <v>5</v>
      </c>
      <c r="G4" s="300" t="s">
        <v>31</v>
      </c>
      <c r="H4" s="301">
        <f>+'[1]0701'!$M$39</f>
        <v>2.91</v>
      </c>
    </row>
    <row r="5" spans="1:32" ht="15" customHeight="1" x14ac:dyDescent="0.2">
      <c r="B5" s="368"/>
      <c r="G5" s="299" t="s">
        <v>120</v>
      </c>
      <c r="H5" s="373">
        <f>+'[1]0701'!$H$39</f>
        <v>3.04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819412.32</v>
      </c>
      <c r="C8" s="285">
        <f>+williams!J40</f>
        <v>306896</v>
      </c>
      <c r="D8" s="398">
        <f>+williams!A40</f>
        <v>37112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6">
        <f>+Conoco!$F$41</f>
        <v>638804.25</v>
      </c>
      <c r="C9" s="285">
        <f>+B9/$H$4</f>
        <v>219520.36082474227</v>
      </c>
      <c r="D9" s="398">
        <f>+Conoco!A41</f>
        <v>37111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5" t="s">
        <v>90</v>
      </c>
      <c r="B10" s="376">
        <f>+NNG!$D$24</f>
        <v>525996.79999999993</v>
      </c>
      <c r="C10" s="285">
        <f>+B10/$H$4</f>
        <v>180754.91408934703</v>
      </c>
      <c r="D10" s="398">
        <f>+NNG!A24</f>
        <v>37111</v>
      </c>
      <c r="E10" s="206" t="s">
        <v>88</v>
      </c>
      <c r="F10" s="206" t="s">
        <v>103</v>
      </c>
      <c r="G10" s="32" t="s">
        <v>151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91</v>
      </c>
      <c r="B11" s="376">
        <f>+C11*$H$4</f>
        <v>529145.67000000004</v>
      </c>
      <c r="C11" s="285">
        <f>+NGPL!F38</f>
        <v>181837</v>
      </c>
      <c r="D11" s="399">
        <f>+NGPL!A38</f>
        <v>37111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163</v>
      </c>
      <c r="B12" s="376">
        <f>+PGETX!$H$39</f>
        <v>475932.45</v>
      </c>
      <c r="C12" s="285">
        <f>+B12/$H$4</f>
        <v>163550.67010309277</v>
      </c>
      <c r="D12" s="399">
        <f>+PGETX!E39</f>
        <v>37111</v>
      </c>
      <c r="E12" s="32" t="s">
        <v>88</v>
      </c>
      <c r="F12" s="32" t="s">
        <v>105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110</v>
      </c>
      <c r="B13" s="376">
        <f>+KN_Westar!F41</f>
        <v>471709.79</v>
      </c>
      <c r="C13" s="285">
        <f>+B13/$H$4</f>
        <v>162099.58419243986</v>
      </c>
      <c r="D13" s="399">
        <f>+KN_Westar!A41</f>
        <v>37112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131</v>
      </c>
      <c r="B14" s="376">
        <f>+DEFS!H54</f>
        <v>405858.8900000006</v>
      </c>
      <c r="C14" s="208">
        <f>+B14/$H$4</f>
        <v>139470.4089347081</v>
      </c>
      <c r="D14" s="399">
        <f>+DEFS!A40</f>
        <v>37111</v>
      </c>
      <c r="E14" s="32" t="s">
        <v>88</v>
      </c>
      <c r="F14" s="32" t="s">
        <v>103</v>
      </c>
      <c r="G14" s="32" t="s">
        <v>121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6">
        <f>+'Amoco Abo'!$F$43</f>
        <v>433717.15</v>
      </c>
      <c r="C15" s="285">
        <f>+B15/$H$4</f>
        <v>149043.69415807561</v>
      </c>
      <c r="D15" s="399">
        <f>+'Amoco Abo'!A43</f>
        <v>37111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97</v>
      </c>
      <c r="B16" s="376">
        <f>+C16*$H$4</f>
        <v>408741.51</v>
      </c>
      <c r="C16" s="285">
        <f>+Mojave!D40</f>
        <v>140461</v>
      </c>
      <c r="D16" s="399">
        <f>+Mojave!A40</f>
        <v>37111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113</v>
      </c>
      <c r="B17" s="376">
        <f>+CIG!$D$43</f>
        <v>394747.15</v>
      </c>
      <c r="C17" s="285">
        <f>+B17/$H$4</f>
        <v>135651.94158075601</v>
      </c>
      <c r="D17" s="399">
        <f>+CIG!A43</f>
        <v>37111</v>
      </c>
      <c r="E17" s="32" t="s">
        <v>88</v>
      </c>
      <c r="F17" s="32" t="s">
        <v>116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3" t="s">
        <v>24</v>
      </c>
      <c r="B18" s="377">
        <f>+C18*H3</f>
        <v>376990.64999999997</v>
      </c>
      <c r="C18" s="378">
        <f>+'Red C'!F43</f>
        <v>141195</v>
      </c>
      <c r="D18" s="398">
        <f>+'Red C'!B43</f>
        <v>37111</v>
      </c>
      <c r="E18" s="206" t="s">
        <v>87</v>
      </c>
      <c r="F18" s="32" t="s">
        <v>118</v>
      </c>
      <c r="G18" s="32" t="s">
        <v>159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375" t="s">
        <v>33</v>
      </c>
      <c r="B19" s="376">
        <f>+C19*$H$4</f>
        <v>358753.53</v>
      </c>
      <c r="C19" s="208">
        <f>+SoCal!F40</f>
        <v>123283</v>
      </c>
      <c r="D19" s="398">
        <f>+SoCal!A40</f>
        <v>37111</v>
      </c>
      <c r="E19" s="206" t="s">
        <v>87</v>
      </c>
      <c r="F19" s="206" t="s">
        <v>105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2</v>
      </c>
      <c r="B20" s="376">
        <f>+mewborne!$J$43</f>
        <v>342473.12</v>
      </c>
      <c r="C20" s="285">
        <f>+B20/$H$4</f>
        <v>117688.35738831614</v>
      </c>
      <c r="D20" s="399">
        <f>+mewborne!A43</f>
        <v>37111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76">
        <f>+C21*$H$3</f>
        <v>238679.31</v>
      </c>
      <c r="C21" s="285">
        <f>+Amoco!D40</f>
        <v>89393</v>
      </c>
      <c r="D21" s="399">
        <f>+Amoco!A40</f>
        <v>37111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34</v>
      </c>
      <c r="B22" s="376">
        <f>+'El Paso'!C39*summary!H4+'El Paso'!E39*summary!H3</f>
        <v>195684.27000000002</v>
      </c>
      <c r="C22" s="285">
        <f>+'El Paso'!H39</f>
        <v>67513</v>
      </c>
      <c r="D22" s="399">
        <f>+'El Paso'!A39</f>
        <v>37111</v>
      </c>
      <c r="E22" s="32" t="s">
        <v>87</v>
      </c>
      <c r="F22" s="32" t="s">
        <v>103</v>
      </c>
      <c r="G22" s="32" t="s">
        <v>122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76">
        <f>+PNM!$D$23</f>
        <v>-20039.960000000021</v>
      </c>
      <c r="C23" s="285">
        <f>+B23/$H$4</f>
        <v>-6886.5841924398692</v>
      </c>
      <c r="D23" s="399">
        <f>+PNM!A23</f>
        <v>37111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149</v>
      </c>
      <c r="B24" s="377">
        <f>+C24*$H$4</f>
        <v>187651.35</v>
      </c>
      <c r="C24" s="378">
        <f>+PEPL!D41</f>
        <v>64485</v>
      </c>
      <c r="D24" s="399">
        <f>+PEPL!A41</f>
        <v>37111</v>
      </c>
      <c r="E24" s="32" t="s">
        <v>87</v>
      </c>
      <c r="F24" s="32" t="s">
        <v>103</v>
      </c>
      <c r="G24" s="32" t="s">
        <v>148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106</v>
      </c>
      <c r="B25" s="376">
        <f>+EOG!J41</f>
        <v>174153.97</v>
      </c>
      <c r="C25" s="285">
        <f>+B25/$H$4</f>
        <v>59846.72508591065</v>
      </c>
      <c r="D25" s="398">
        <f>+EOG!A41</f>
        <v>37111</v>
      </c>
      <c r="E25" s="32" t="s">
        <v>88</v>
      </c>
      <c r="F25" s="32" t="s">
        <v>105</v>
      </c>
      <c r="G25" s="32" t="s">
        <v>157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136</v>
      </c>
      <c r="B26" s="376">
        <f>+SidR!D41</f>
        <v>157408.48000000001</v>
      </c>
      <c r="C26" s="285">
        <f>+B26/$H$4</f>
        <v>54092.261168384881</v>
      </c>
      <c r="D26" s="399">
        <f>+SidR!A41</f>
        <v>37111</v>
      </c>
      <c r="E26" s="32" t="s">
        <v>88</v>
      </c>
      <c r="F26" s="32" t="s">
        <v>105</v>
      </c>
      <c r="G26" s="32" t="s">
        <v>160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32</v>
      </c>
      <c r="B27" s="376">
        <f>+C27*$H$4</f>
        <v>128892.63</v>
      </c>
      <c r="C27" s="285">
        <f>+Lonestar!F42</f>
        <v>44293</v>
      </c>
      <c r="D27" s="398">
        <f>+Lonestar!B42</f>
        <v>37111</v>
      </c>
      <c r="E27" s="32" t="s">
        <v>87</v>
      </c>
      <c r="F27" s="32" t="s">
        <v>105</v>
      </c>
      <c r="G27" s="32" t="s">
        <v>161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7</v>
      </c>
      <c r="B28" s="376">
        <f>+C28*$H$4</f>
        <v>106660.23000000001</v>
      </c>
      <c r="C28" s="208">
        <f>+Oasis!D40</f>
        <v>36653</v>
      </c>
      <c r="D28" s="399">
        <f>+Oasis!B40</f>
        <v>37111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76">
        <f>+C29*$H$4</f>
        <v>74213.73000000001</v>
      </c>
      <c r="C29" s="208">
        <f>+'PG&amp;E'!D40</f>
        <v>25503</v>
      </c>
      <c r="D29" s="399">
        <f>+'PG&amp;E'!A40</f>
        <v>37111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75" t="s">
        <v>132</v>
      </c>
      <c r="B30" s="376">
        <f>+Calpine!D41</f>
        <v>6497.0899999999983</v>
      </c>
      <c r="C30" s="208">
        <f>+B30/$H$4</f>
        <v>2232.6769759450167</v>
      </c>
      <c r="D30" s="398">
        <f>+Calpine!A41</f>
        <v>37111</v>
      </c>
      <c r="E30" s="206" t="s">
        <v>88</v>
      </c>
      <c r="F30" s="206" t="s">
        <v>102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1</v>
      </c>
      <c r="B31" s="379">
        <f>+C31*$H$3</f>
        <v>33396.36</v>
      </c>
      <c r="C31" s="380">
        <f>+NW!$F$41</f>
        <v>12508</v>
      </c>
      <c r="D31" s="398">
        <f>+NW!B41</f>
        <v>37111</v>
      </c>
      <c r="E31" s="32" t="s">
        <v>87</v>
      </c>
      <c r="F31" s="32" t="s">
        <v>118</v>
      </c>
      <c r="G31" s="38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7465480.7400000021</v>
      </c>
      <c r="C32" s="69">
        <f>SUM(C8:C31)</f>
        <v>2611085.0103092785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8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75" t="s">
        <v>140</v>
      </c>
      <c r="B35" s="376">
        <f>+Citizens!D18</f>
        <v>-834454.55</v>
      </c>
      <c r="C35" s="208">
        <f>+B35/$H$4</f>
        <v>-286754.14089347079</v>
      </c>
      <c r="D35" s="398">
        <f>+Citizens!A18</f>
        <v>37111</v>
      </c>
      <c r="E35" s="206" t="s">
        <v>88</v>
      </c>
      <c r="F35" s="206" t="s">
        <v>102</v>
      </c>
      <c r="G35" s="38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3" t="s">
        <v>138</v>
      </c>
      <c r="B36" s="376">
        <f>+'NS Steel'!D41</f>
        <v>-415458.04000000004</v>
      </c>
      <c r="C36" s="208">
        <f>+B36/$H$4</f>
        <v>-142769.08591065294</v>
      </c>
      <c r="D36" s="399">
        <f>+'NS Steel'!A41</f>
        <v>37111</v>
      </c>
      <c r="E36" s="32" t="s">
        <v>88</v>
      </c>
      <c r="F36" s="32" t="s">
        <v>103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75" t="s">
        <v>82</v>
      </c>
      <c r="B37" s="376">
        <f>+Agave!$D$24</f>
        <v>-176524.29</v>
      </c>
      <c r="C37" s="208">
        <f>+B37/$H$4</f>
        <v>-60661.268041237112</v>
      </c>
      <c r="D37" s="398">
        <f>+Agave!A24</f>
        <v>37111</v>
      </c>
      <c r="E37" s="206" t="s">
        <v>88</v>
      </c>
      <c r="F37" s="206" t="s">
        <v>105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76">
        <f>+'Citizens-Griffith'!D41</f>
        <v>-218631.46</v>
      </c>
      <c r="C38" s="285">
        <f>+B38/$H$4</f>
        <v>-75131.08591065291</v>
      </c>
      <c r="D38" s="398">
        <f>+'Citizens-Griffith'!A41</f>
        <v>37111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3" t="s">
        <v>134</v>
      </c>
      <c r="B39" s="376">
        <f>+EPFS!D41</f>
        <v>-78138.260000000009</v>
      </c>
      <c r="C39" s="208">
        <f>+B39/$H$5</f>
        <v>-25703.375000000004</v>
      </c>
      <c r="D39" s="398">
        <f>+EPFS!A41</f>
        <v>37111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75" t="s">
        <v>98</v>
      </c>
      <c r="B40" s="376">
        <f>+burlington!D42</f>
        <v>39332.849999999991</v>
      </c>
      <c r="C40" s="285">
        <f>+B40/$H$3</f>
        <v>14731.404494382019</v>
      </c>
      <c r="D40" s="398">
        <f>+burlington!A42</f>
        <v>37111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112</v>
      </c>
      <c r="B41" s="376">
        <f>+Continental!F43</f>
        <v>-5216.57</v>
      </c>
      <c r="C41" s="208">
        <f>+B41/$H$4</f>
        <v>-1792.6357388316148</v>
      </c>
      <c r="D41" s="399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3" t="s">
        <v>74</v>
      </c>
      <c r="B42" s="429">
        <f>+transcol!$D$43</f>
        <v>-3824.6800000000003</v>
      </c>
      <c r="C42" s="293">
        <f>+B42/$H$4</f>
        <v>-1314.3230240549829</v>
      </c>
      <c r="D42" s="399">
        <f>+transcol!A43</f>
        <v>37111</v>
      </c>
      <c r="E42" s="32" t="s">
        <v>88</v>
      </c>
      <c r="F42" s="32" t="s">
        <v>118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SUM(B35:B42)</f>
        <v>-1692915</v>
      </c>
      <c r="C43" s="208">
        <f>SUM(C35:C42)</f>
        <v>-579394.51002451836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+B43+B32</f>
        <v>5772565.7400000021</v>
      </c>
      <c r="C45" s="385">
        <f>+C43+C32</f>
        <v>2031690.5002847603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-207875</v>
      </c>
      <c r="C7" s="80">
        <v>-107880</v>
      </c>
      <c r="D7" s="80">
        <f t="shared" si="0"/>
        <v>99995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v>248047</v>
      </c>
      <c r="C9" s="80">
        <v>61726</v>
      </c>
      <c r="D9" s="80">
        <f t="shared" si="0"/>
        <v>-186321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-61183</v>
      </c>
    </row>
    <row r="19" spans="1:5" x14ac:dyDescent="0.2">
      <c r="A19" s="32" t="s">
        <v>84</v>
      </c>
      <c r="B19" s="69"/>
      <c r="C19" s="69"/>
      <c r="D19" s="73">
        <f>+summary!H4</f>
        <v>2.91</v>
      </c>
    </row>
    <row r="20" spans="1:5" x14ac:dyDescent="0.2">
      <c r="B20" s="69"/>
      <c r="C20" s="69"/>
      <c r="D20" s="75">
        <f>+D19*D18</f>
        <v>-178042.53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37111</v>
      </c>
      <c r="B24" s="69"/>
      <c r="C24" s="69"/>
      <c r="D24" s="352">
        <f>+D22+D20</f>
        <v>525996.79999999993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37111</v>
      </c>
      <c r="D33" s="380">
        <f>+D18</f>
        <v>-61183</v>
      </c>
    </row>
    <row r="34" spans="1:4" x14ac:dyDescent="0.2">
      <c r="D34" s="14">
        <f>+D33+D32</f>
        <v>18853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13" workbookViewId="3">
      <selection activeCell="D28" sqref="D2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-19535</v>
      </c>
      <c r="C5" s="90">
        <v>-11416</v>
      </c>
      <c r="D5" s="90">
        <f t="shared" ref="D5:D13" si="0">+C5-B5</f>
        <v>8119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-856632</v>
      </c>
      <c r="C7" s="90">
        <v>-969494</v>
      </c>
      <c r="D7" s="90">
        <f t="shared" si="0"/>
        <v>-112862</v>
      </c>
      <c r="E7" s="285"/>
      <c r="F7" s="70"/>
    </row>
    <row r="8" spans="1:13" x14ac:dyDescent="0.2">
      <c r="A8" s="87">
        <v>58710</v>
      </c>
      <c r="B8" s="365">
        <v>-13460</v>
      </c>
      <c r="C8" s="90">
        <v>-352</v>
      </c>
      <c r="D8" s="90">
        <f t="shared" si="0"/>
        <v>13108</v>
      </c>
      <c r="E8" s="285"/>
      <c r="F8" s="70"/>
    </row>
    <row r="9" spans="1:13" x14ac:dyDescent="0.2">
      <c r="A9" s="87">
        <v>60921</v>
      </c>
      <c r="B9" s="319">
        <v>-724990</v>
      </c>
      <c r="C9" s="90">
        <v>-756488</v>
      </c>
      <c r="D9" s="90">
        <f t="shared" si="0"/>
        <v>-31498</v>
      </c>
      <c r="E9" s="285"/>
      <c r="F9" s="70"/>
    </row>
    <row r="10" spans="1:13" x14ac:dyDescent="0.2">
      <c r="A10" s="87">
        <v>78026</v>
      </c>
      <c r="B10" s="365"/>
      <c r="C10" s="90">
        <v>17700</v>
      </c>
      <c r="D10" s="90">
        <f t="shared" si="0"/>
        <v>17700</v>
      </c>
      <c r="E10" s="285"/>
      <c r="F10" s="283"/>
    </row>
    <row r="11" spans="1:13" x14ac:dyDescent="0.2">
      <c r="A11" s="87">
        <v>500084</v>
      </c>
      <c r="B11" s="365">
        <v>-4549</v>
      </c>
      <c r="C11" s="90">
        <v>-8000</v>
      </c>
      <c r="D11" s="90">
        <f t="shared" si="0"/>
        <v>-3451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-108873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2.91</v>
      </c>
      <c r="E18" s="287"/>
      <c r="F18" s="283"/>
    </row>
    <row r="19" spans="1:7" x14ac:dyDescent="0.2">
      <c r="A19" s="87"/>
      <c r="B19" s="88"/>
      <c r="C19" s="88"/>
      <c r="D19" s="96">
        <f>+D18*D17</f>
        <v>-316820.43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37111</v>
      </c>
      <c r="B23" s="88"/>
      <c r="C23" s="88"/>
      <c r="D23" s="334">
        <f>+D21+D19</f>
        <v>-20039.960000000021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166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f>+A23</f>
        <v>37111</v>
      </c>
      <c r="B29" s="32"/>
      <c r="C29" s="32"/>
      <c r="D29" s="380">
        <f>+D17</f>
        <v>-108873</v>
      </c>
    </row>
    <row r="30" spans="1:7" x14ac:dyDescent="0.2">
      <c r="A30" s="32"/>
      <c r="B30" s="32"/>
      <c r="C30" s="32"/>
      <c r="D30" s="14">
        <f>+D29+D28</f>
        <v>-41253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F38" sqref="F3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245575</v>
      </c>
      <c r="C34" s="297">
        <f>SUM(C3:C33)</f>
        <v>276870</v>
      </c>
      <c r="D34" s="14">
        <f>SUM(D3:D33)</f>
        <v>0</v>
      </c>
      <c r="E34" s="14">
        <f>SUM(E3:E33)</f>
        <v>0</v>
      </c>
      <c r="F34" s="14">
        <f>SUM(F3:F33)</f>
        <v>31295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37111</v>
      </c>
      <c r="B38" s="14"/>
      <c r="C38" s="14"/>
      <c r="D38" s="14"/>
      <c r="E38" s="14"/>
      <c r="F38" s="150">
        <f>+F37+F34</f>
        <v>181837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167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37111</v>
      </c>
      <c r="B44" s="32"/>
      <c r="C44" s="32"/>
      <c r="D44" s="410">
        <f>+F34*'by type'!J4</f>
        <v>91068.450000000012</v>
      </c>
      <c r="F44" s="304"/>
    </row>
    <row r="45" spans="1:6" x14ac:dyDescent="0.2">
      <c r="A45" s="32"/>
      <c r="B45" s="32"/>
      <c r="C45" s="32"/>
      <c r="D45" s="202">
        <f>+D44+D43</f>
        <v>476820.33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C35" sqref="C3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-165233</v>
      </c>
      <c r="C35" s="11">
        <f>SUM(C4:C34)</f>
        <v>-160575</v>
      </c>
      <c r="D35" s="11">
        <f>SUM(D4:D34)</f>
        <v>4658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37111</v>
      </c>
      <c r="D40" s="51">
        <f>+D38+D35</f>
        <v>140461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37111</v>
      </c>
      <c r="B46" s="32"/>
      <c r="C46" s="32"/>
      <c r="D46" s="410">
        <f>+D35*'by type'!J4</f>
        <v>13554.78</v>
      </c>
    </row>
    <row r="47" spans="1:4" x14ac:dyDescent="0.2">
      <c r="A47" s="32"/>
      <c r="B47" s="32"/>
      <c r="C47" s="32"/>
      <c r="D47" s="202">
        <f>+D46+D45</f>
        <v>95694.78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H34" sqref="H3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197878</v>
      </c>
      <c r="C35" s="11">
        <f t="shared" ref="C35:I35" si="1">SUM(C4:C34)</f>
        <v>210105</v>
      </c>
      <c r="D35" s="11">
        <f t="shared" si="1"/>
        <v>73987</v>
      </c>
      <c r="E35" s="11">
        <f t="shared" si="1"/>
        <v>69918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8267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2.91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24056.97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37111</v>
      </c>
      <c r="J41" s="337">
        <f>+J39+J37</f>
        <v>174153.97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37111</v>
      </c>
      <c r="B47" s="32"/>
      <c r="C47" s="32"/>
      <c r="D47" s="380">
        <f>+J35</f>
        <v>8267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-51755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/>
      <c r="E12" s="24"/>
      <c r="F12" s="24">
        <f t="shared" si="0"/>
        <v>-832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-84439</v>
      </c>
      <c r="C13" s="24">
        <v>-82502</v>
      </c>
      <c r="D13" s="24"/>
      <c r="E13" s="24"/>
      <c r="F13" s="24">
        <f t="shared" si="0"/>
        <v>1937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-116535</v>
      </c>
      <c r="C14" s="24">
        <v>-118726</v>
      </c>
      <c r="D14" s="24"/>
      <c r="E14" s="24"/>
      <c r="F14" s="24">
        <f t="shared" si="0"/>
        <v>-2191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-818684</v>
      </c>
      <c r="C37" s="24">
        <f>SUM(C6:C36)</f>
        <v>-818016</v>
      </c>
      <c r="D37" s="24">
        <f>SUM(D6:D36)</f>
        <v>0</v>
      </c>
      <c r="E37" s="24">
        <f>SUM(E6:E36)</f>
        <v>0</v>
      </c>
      <c r="F37" s="24">
        <f>SUM(F6:F36)</f>
        <v>668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2.91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1943.88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37112</v>
      </c>
      <c r="E41" s="14"/>
      <c r="F41" s="104">
        <f>+F40+F39</f>
        <v>471709.79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37112</v>
      </c>
      <c r="B47" s="32"/>
      <c r="C47" s="32"/>
      <c r="D47" s="380">
        <f>+F37</f>
        <v>668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29695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2.91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37109</v>
      </c>
      <c r="C43" s="48"/>
      <c r="F43" s="138">
        <f>+F42+F41</f>
        <v>-5216.57</v>
      </c>
    </row>
    <row r="47" spans="1:6" x14ac:dyDescent="0.2">
      <c r="A47" s="32" t="s">
        <v>166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37109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37267</v>
      </c>
      <c r="C39" s="11">
        <f>SUM(C8:C38)</f>
        <v>60632</v>
      </c>
      <c r="D39" s="25">
        <f>SUM(D8:D38)</f>
        <v>23365</v>
      </c>
    </row>
    <row r="40" spans="1:4" x14ac:dyDescent="0.2">
      <c r="A40" s="26"/>
      <c r="C40" s="14"/>
      <c r="D40" s="260">
        <f>+summary!H4</f>
        <v>2.91</v>
      </c>
    </row>
    <row r="41" spans="1:4" x14ac:dyDescent="0.2">
      <c r="D41" s="138">
        <f>+D40*D39</f>
        <v>67992.150000000009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37111</v>
      </c>
      <c r="C43" s="48"/>
      <c r="D43" s="138">
        <f>+D42+D41</f>
        <v>394747.15</v>
      </c>
    </row>
    <row r="46" spans="1:4" x14ac:dyDescent="0.2">
      <c r="A46" s="32" t="s">
        <v>166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37111</v>
      </c>
      <c r="B48" s="32"/>
      <c r="C48" s="32"/>
      <c r="D48" s="380">
        <f>+D39</f>
        <v>23365</v>
      </c>
    </row>
    <row r="49" spans="1:4" x14ac:dyDescent="0.2">
      <c r="A49" s="32"/>
      <c r="B49" s="32"/>
      <c r="C49" s="32"/>
      <c r="D49" s="14">
        <f>+D48+D47</f>
        <v>29654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D45" sqref="D4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-82227</v>
      </c>
      <c r="C13" s="11">
        <v>-80300</v>
      </c>
      <c r="D13" s="25">
        <f t="shared" si="0"/>
        <v>1927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-500892</v>
      </c>
      <c r="C37" s="11">
        <f>SUM(C6:C36)</f>
        <v>-506129</v>
      </c>
      <c r="D37" s="25">
        <f>SUM(D6:D36)</f>
        <v>-5237</v>
      </c>
    </row>
    <row r="38" spans="1:4" x14ac:dyDescent="0.2">
      <c r="A38" s="26"/>
      <c r="C38" s="14"/>
      <c r="D38" s="346">
        <f>+summary!H4</f>
        <v>2.91</v>
      </c>
    </row>
    <row r="39" spans="1:4" x14ac:dyDescent="0.2">
      <c r="D39" s="138">
        <f>+D38*D37</f>
        <v>-15239.67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37111</v>
      </c>
      <c r="C41" s="48"/>
      <c r="D41" s="138">
        <f>+D40+D39</f>
        <v>6497.0899999999983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37111</v>
      </c>
      <c r="B46" s="32"/>
      <c r="C46" s="32"/>
      <c r="D46" s="380">
        <f>+D37</f>
        <v>-5237</v>
      </c>
    </row>
    <row r="47" spans="1:4" x14ac:dyDescent="0.2">
      <c r="A47" s="32"/>
      <c r="B47" s="32"/>
      <c r="C47" s="32"/>
      <c r="D47" s="14">
        <f>+D46+D45</f>
        <v>103613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D45" sqref="D45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41256</v>
      </c>
      <c r="C13" s="11">
        <v>38499</v>
      </c>
      <c r="D13" s="25">
        <f t="shared" si="0"/>
        <v>-2757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299453</v>
      </c>
      <c r="C37" s="11">
        <f>SUM(C6:C36)</f>
        <v>286916</v>
      </c>
      <c r="D37" s="25">
        <f>SUM(D6:D36)</f>
        <v>-12537</v>
      </c>
    </row>
    <row r="38" spans="1:4" x14ac:dyDescent="0.2">
      <c r="A38" s="26"/>
      <c r="C38" s="14"/>
      <c r="D38" s="346">
        <f>+summary!H5</f>
        <v>3.04</v>
      </c>
    </row>
    <row r="39" spans="1:4" x14ac:dyDescent="0.2">
      <c r="D39" s="138">
        <f>+D38*D37</f>
        <v>-38112.480000000003</v>
      </c>
    </row>
    <row r="40" spans="1:4" x14ac:dyDescent="0.2">
      <c r="A40" s="57">
        <v>37103</v>
      </c>
      <c r="C40" s="15"/>
      <c r="D40" s="360">
        <v>-40025.78</v>
      </c>
    </row>
    <row r="41" spans="1:4" x14ac:dyDescent="0.2">
      <c r="A41" s="57">
        <v>37111</v>
      </c>
      <c r="C41" s="48"/>
      <c r="D41" s="138">
        <f>+D40+D39</f>
        <v>-78138.260000000009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-2443</v>
      </c>
    </row>
    <row r="46" spans="1:4" x14ac:dyDescent="0.2">
      <c r="A46" s="49">
        <f>+A41</f>
        <v>37111</v>
      </c>
      <c r="B46" s="32"/>
      <c r="C46" s="32"/>
      <c r="D46" s="380">
        <f>+D37</f>
        <v>-12537</v>
      </c>
    </row>
    <row r="47" spans="1:4" x14ac:dyDescent="0.2">
      <c r="A47" s="32"/>
      <c r="B47" s="32"/>
      <c r="C47" s="32"/>
      <c r="D47" s="14">
        <f>+D46+D45</f>
        <v>-14980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4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339467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2958362</v>
      </c>
      <c r="C35" s="11">
        <f t="shared" ref="C35:I35" si="1">SUM(C4:C34)</f>
        <v>3093744</v>
      </c>
      <c r="D35" s="11">
        <f t="shared" si="1"/>
        <v>649796</v>
      </c>
      <c r="E35" s="11">
        <f t="shared" si="1"/>
        <v>541382</v>
      </c>
      <c r="F35" s="11">
        <f t="shared" si="1"/>
        <v>573803</v>
      </c>
      <c r="G35" s="11">
        <f t="shared" si="1"/>
        <v>564774</v>
      </c>
      <c r="H35" s="11">
        <f t="shared" si="1"/>
        <v>1140709</v>
      </c>
      <c r="I35" s="11">
        <f t="shared" si="1"/>
        <v>1119398</v>
      </c>
      <c r="J35" s="11">
        <f>SUM(J4:J34)</f>
        <v>-3372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37112</v>
      </c>
      <c r="J40" s="51">
        <f>+J38+J35</f>
        <v>306896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37112</v>
      </c>
      <c r="B47" s="32"/>
      <c r="C47" s="32"/>
      <c r="D47" s="410">
        <f>+J35*'by type'!J3</f>
        <v>-9003.24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1370266.33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36" sqref="B36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487852</v>
      </c>
      <c r="C37" s="11">
        <f>SUM(C6:C36)</f>
        <v>484389</v>
      </c>
      <c r="D37" s="25">
        <f>SUM(D6:D36)</f>
        <v>-3463</v>
      </c>
    </row>
    <row r="38" spans="1:4" x14ac:dyDescent="0.2">
      <c r="A38" s="26"/>
      <c r="C38" s="14"/>
      <c r="D38" s="346">
        <f>+summary!H5</f>
        <v>3.04</v>
      </c>
    </row>
    <row r="39" spans="1:4" x14ac:dyDescent="0.2">
      <c r="D39" s="138">
        <f>+D38*D37</f>
        <v>-10527.52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37111</v>
      </c>
      <c r="C41" s="48"/>
      <c r="D41" s="138">
        <f>+D40+D39</f>
        <v>157408.48000000001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C37" sqref="C37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-11078</v>
      </c>
      <c r="C37" s="11">
        <f>SUM(C6:C36)</f>
        <v>-18368</v>
      </c>
      <c r="D37" s="25">
        <f>SUM(D6:D36)</f>
        <v>-7290</v>
      </c>
    </row>
    <row r="38" spans="1:4" x14ac:dyDescent="0.2">
      <c r="A38" s="26"/>
      <c r="C38" s="14"/>
      <c r="D38" s="346">
        <f>+summary!H4</f>
        <v>2.91</v>
      </c>
    </row>
    <row r="39" spans="1:4" x14ac:dyDescent="0.2">
      <c r="D39" s="138">
        <f>+D38*D37</f>
        <v>-21213.9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37111</v>
      </c>
      <c r="C41" s="48"/>
      <c r="D41" s="138">
        <f>+D40+D39</f>
        <v>-415458.04000000004</v>
      </c>
    </row>
    <row r="47" spans="1:4" x14ac:dyDescent="0.2">
      <c r="A47" s="32" t="s">
        <v>166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37111</v>
      </c>
      <c r="B49" s="32"/>
      <c r="C49" s="32"/>
      <c r="D49" s="380">
        <f>+D37</f>
        <v>-7290</v>
      </c>
    </row>
    <row r="50" spans="1:4" x14ac:dyDescent="0.2">
      <c r="A50" s="32"/>
      <c r="B50" s="32"/>
      <c r="C50" s="32"/>
      <c r="D50" s="14">
        <f>+D49+D48</f>
        <v>-75572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3" workbookViewId="3">
      <selection activeCell="C55" sqref="C5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-370563</v>
      </c>
      <c r="C37" s="11">
        <f>SUM(C6:C36)</f>
        <v>-325017</v>
      </c>
      <c r="D37" s="25">
        <f>SUM(D6:D36)</f>
        <v>45546</v>
      </c>
    </row>
    <row r="38" spans="1:4" x14ac:dyDescent="0.2">
      <c r="A38" s="26"/>
      <c r="C38" s="14"/>
      <c r="D38" s="346">
        <f>+summary!H4</f>
        <v>2.91</v>
      </c>
    </row>
    <row r="39" spans="1:4" x14ac:dyDescent="0.2">
      <c r="D39" s="138">
        <f>+D38*D37</f>
        <v>132538.86000000002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37111</v>
      </c>
      <c r="C41" s="48"/>
      <c r="D41" s="138">
        <f>+D40+D39</f>
        <v>-218631.46</v>
      </c>
    </row>
    <row r="42" spans="1:4" x14ac:dyDescent="0.2">
      <c r="D42" s="24"/>
    </row>
    <row r="45" spans="1:4" x14ac:dyDescent="0.2">
      <c r="A45" s="32" t="s">
        <v>166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37111</v>
      </c>
      <c r="B47" s="32"/>
      <c r="C47" s="32"/>
      <c r="D47" s="380">
        <f>+D37</f>
        <v>45546</v>
      </c>
    </row>
    <row r="48" spans="1:4" x14ac:dyDescent="0.2">
      <c r="A48" s="32"/>
      <c r="B48" s="32"/>
      <c r="C48" s="32"/>
      <c r="D48" s="14">
        <f>+D47+D46</f>
        <v>-104741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-8289</v>
      </c>
      <c r="C5" s="90">
        <v>-936</v>
      </c>
      <c r="D5" s="90">
        <f>+C5-B5</f>
        <v>7353</v>
      </c>
      <c r="E5" s="285"/>
      <c r="F5" s="283"/>
    </row>
    <row r="6" spans="1:13" x14ac:dyDescent="0.2">
      <c r="A6" s="87">
        <v>500046</v>
      </c>
      <c r="B6" s="90">
        <v>-168</v>
      </c>
      <c r="C6" s="90"/>
      <c r="D6" s="90">
        <f t="shared" ref="D6:D11" si="0">+C6-B6</f>
        <v>168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7521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2.91</v>
      </c>
      <c r="E13" s="287"/>
      <c r="F13" s="283"/>
    </row>
    <row r="14" spans="1:13" x14ac:dyDescent="0.2">
      <c r="A14" s="87"/>
      <c r="B14" s="88"/>
      <c r="C14" s="88"/>
      <c r="D14" s="96">
        <f>+D13*D12</f>
        <v>21886.11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37111</v>
      </c>
      <c r="B18" s="88"/>
      <c r="C18" s="88"/>
      <c r="D18" s="334">
        <f>+D16+D14</f>
        <v>-834454.55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166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37111</v>
      </c>
      <c r="B23" s="32"/>
      <c r="C23" s="32"/>
      <c r="D23" s="380">
        <f>+D12</f>
        <v>7521</v>
      </c>
    </row>
    <row r="24" spans="1:7" x14ac:dyDescent="0.2">
      <c r="A24" s="32"/>
      <c r="B24" s="32"/>
      <c r="C24" s="32"/>
      <c r="D24" s="14">
        <f>+D23+D22</f>
        <v>-180232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D45" sqref="D45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-11840</v>
      </c>
      <c r="D37" s="25">
        <f>SUM(D6:D36)</f>
        <v>-11840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37111</v>
      </c>
      <c r="C41" s="48"/>
      <c r="D41" s="25">
        <f>+D40+D37</f>
        <v>64485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37111</v>
      </c>
      <c r="B46" s="32"/>
      <c r="C46" s="32"/>
      <c r="D46" s="410">
        <f>+D37*'by type'!J4</f>
        <v>-34454.400000000001</v>
      </c>
    </row>
    <row r="47" spans="1:4" x14ac:dyDescent="0.2">
      <c r="A47" s="32"/>
      <c r="B47" s="32"/>
      <c r="C47" s="32"/>
      <c r="D47" s="202">
        <f>+D46+D45</f>
        <v>306765.89999999997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1039247</v>
      </c>
      <c r="C38" s="11">
        <f>SUM(C7:C37)</f>
        <v>1067702</v>
      </c>
      <c r="D38" s="11">
        <f>SUM(D7:D37)</f>
        <v>28455</v>
      </c>
    </row>
    <row r="39" spans="1:4" x14ac:dyDescent="0.2">
      <c r="A39" s="26"/>
      <c r="C39" s="14"/>
      <c r="D39" s="106">
        <f>+summary!H3</f>
        <v>2.67</v>
      </c>
    </row>
    <row r="40" spans="1:4" x14ac:dyDescent="0.2">
      <c r="D40" s="138">
        <f>+D39*D38</f>
        <v>75974.849999999991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37111</v>
      </c>
      <c r="D42" s="337">
        <f>+D41+D40</f>
        <v>39332.849999999991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8" workbookViewId="3">
      <selection activeCell="B12" sqref="B1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-354027</v>
      </c>
      <c r="C36" s="44">
        <f>SUM(C5:C35)</f>
        <v>-79500</v>
      </c>
      <c r="D36" s="43">
        <f>SUM(D5:D35)</f>
        <v>-90</v>
      </c>
      <c r="E36" s="44">
        <f>SUM(E5:E35)</f>
        <v>-266663</v>
      </c>
      <c r="F36" s="11">
        <f>SUM(F5:F35)</f>
        <v>7954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-274527</v>
      </c>
      <c r="D37" s="24"/>
      <c r="E37" s="24">
        <f>+D36-E36</f>
        <v>266573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37111</v>
      </c>
      <c r="C42" s="14"/>
      <c r="D42" s="50"/>
      <c r="E42" s="50"/>
      <c r="F42" s="51">
        <f>+F41+F36</f>
        <v>44293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167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37111</v>
      </c>
      <c r="B48" s="32"/>
      <c r="C48" s="32"/>
      <c r="D48" s="410">
        <f>+F36*'by type'!J4</f>
        <v>23146.14</v>
      </c>
    </row>
    <row r="49" spans="1:4" x14ac:dyDescent="0.2">
      <c r="A49" s="32"/>
      <c r="B49" s="32"/>
      <c r="C49" s="32"/>
      <c r="D49" s="202">
        <f>+D48+D47</f>
        <v>-6822.27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6" workbookViewId="3">
      <selection activeCell="C12" sqref="C1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-1428567</v>
      </c>
      <c r="C35" s="11">
        <f>SUM(C4:C34)</f>
        <v>-1427964</v>
      </c>
      <c r="D35" s="11">
        <f>SUM(D4:D34)</f>
        <v>603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37111</v>
      </c>
      <c r="D40" s="24">
        <f>+D38+D35</f>
        <v>25503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167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37111</v>
      </c>
      <c r="B46" s="32"/>
      <c r="C46" s="32"/>
      <c r="D46" s="410">
        <f>+D35*'by type'!J4</f>
        <v>1754.73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-154328.65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D45" sqref="D45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-5937648</v>
      </c>
      <c r="C35" s="11">
        <f>SUM(C4:C34)</f>
        <v>-5962303</v>
      </c>
      <c r="D35" s="11">
        <f>SUM(D4:D34)</f>
        <v>-182836</v>
      </c>
      <c r="E35" s="11">
        <f>SUM(E4:E34)</f>
        <v>-180000</v>
      </c>
      <c r="F35" s="11">
        <f>SUM(F4:F34)</f>
        <v>-21819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37111</v>
      </c>
      <c r="F40" s="51">
        <f>+F38+F35</f>
        <v>123283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37111</v>
      </c>
      <c r="B46" s="32"/>
      <c r="C46" s="32"/>
      <c r="D46" s="410">
        <f>+F35*'by type'!J4</f>
        <v>-63493.29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384920.61000000004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4" sqref="E1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-144923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1028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-1129542</v>
      </c>
      <c r="C35" s="44">
        <f t="shared" si="1"/>
        <v>-840483</v>
      </c>
      <c r="D35" s="11">
        <f t="shared" si="1"/>
        <v>-332107</v>
      </c>
      <c r="E35" s="44">
        <f t="shared" si="1"/>
        <v>-615978</v>
      </c>
      <c r="F35" s="11">
        <f t="shared" si="1"/>
        <v>0</v>
      </c>
      <c r="G35" s="11">
        <f t="shared" si="1"/>
        <v>0</v>
      </c>
      <c r="H35" s="11">
        <f t="shared" si="1"/>
        <v>5188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15097.08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37111</v>
      </c>
      <c r="F39" s="47"/>
      <c r="G39" s="47"/>
      <c r="H39" s="137">
        <f>+H38+H37</f>
        <v>475932.45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37111</v>
      </c>
      <c r="E47" s="380">
        <f>+H35</f>
        <v>5188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116424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C41" sqref="C4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-2126452</v>
      </c>
      <c r="E36" s="11">
        <f t="shared" si="15"/>
        <v>-2150804</v>
      </c>
      <c r="F36" s="11">
        <f t="shared" si="15"/>
        <v>0</v>
      </c>
      <c r="G36" s="11">
        <f t="shared" si="15"/>
        <v>0</v>
      </c>
      <c r="H36" s="11">
        <f t="shared" si="15"/>
        <v>-24352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-24352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37111</v>
      </c>
      <c r="B39" s="2" t="s">
        <v>46</v>
      </c>
      <c r="C39" s="131">
        <f>+C38+C37</f>
        <v>64269</v>
      </c>
      <c r="D39" s="259"/>
      <c r="E39" s="131">
        <f>+E38+E37</f>
        <v>3244</v>
      </c>
      <c r="F39" s="259"/>
      <c r="G39" s="131"/>
      <c r="H39" s="131">
        <f>+H38+H36</f>
        <v>67513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37111</v>
      </c>
      <c r="B45" s="32"/>
      <c r="C45" s="47">
        <f>+C37*summary!H4</f>
        <v>0</v>
      </c>
      <c r="D45" s="207"/>
      <c r="E45" s="412">
        <f>+E37*summary!H3</f>
        <v>-65019.839999999997</v>
      </c>
      <c r="F45" s="47">
        <f>+E45+C45</f>
        <v>-65019.839999999997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1121716.78</v>
      </c>
      <c r="F46" s="47">
        <f>+E46+C46</f>
        <v>-461244.22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37" sqref="C37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892869</v>
      </c>
      <c r="C37" s="11">
        <f>SUM(C6:C36)</f>
        <v>927379</v>
      </c>
      <c r="D37" s="11">
        <f>SUM(D6:D36)</f>
        <v>34510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37111</v>
      </c>
      <c r="C40" s="48"/>
      <c r="D40" s="25">
        <f>+D39+D37</f>
        <v>89393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37111</v>
      </c>
      <c r="B46" s="32"/>
      <c r="C46" s="32"/>
      <c r="D46" s="410">
        <f>+D37*'by type'!J3</f>
        <v>92141.7</v>
      </c>
    </row>
    <row r="47" spans="1:16" x14ac:dyDescent="0.2">
      <c r="A47" s="32"/>
      <c r="B47" s="32"/>
      <c r="C47" s="32"/>
      <c r="D47" s="202">
        <f>+D46+D45</f>
        <v>503893.23000000004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2001-08-10T20:50:03Z</cp:lastPrinted>
  <dcterms:created xsi:type="dcterms:W3CDTF">2000-03-28T16:52:23Z</dcterms:created>
  <dcterms:modified xsi:type="dcterms:W3CDTF">2014-09-03T14:37:49Z</dcterms:modified>
</cp:coreProperties>
</file>