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 s="1"/>
  <c r="B65" i="80" s="1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48" i="69" s="1"/>
  <c r="D49" i="69" s="1"/>
  <c r="D20" i="80" s="1"/>
  <c r="A47" i="69"/>
  <c r="A48" i="69"/>
  <c r="J3" i="80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8" i="80"/>
  <c r="F57" i="80"/>
  <c r="F58" i="80"/>
  <c r="F59" i="80"/>
  <c r="F63" i="80"/>
  <c r="F64" i="80"/>
  <c r="F65" i="80"/>
  <c r="F66" i="80"/>
  <c r="F67" i="80"/>
  <c r="F71" i="80"/>
  <c r="F72" i="80"/>
  <c r="B73" i="80"/>
  <c r="F73" i="80"/>
  <c r="F74" i="80"/>
  <c r="D6" i="74"/>
  <c r="D7" i="74"/>
  <c r="D8" i="74"/>
  <c r="D9" i="74"/>
  <c r="D37" i="74" s="1"/>
  <c r="D46" i="74" s="1"/>
  <c r="D47" i="74" s="1"/>
  <c r="D12" i="80" s="1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D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A47" i="72"/>
  <c r="A48" i="72"/>
  <c r="D5" i="78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 s="1"/>
  <c r="F5" i="13"/>
  <c r="I5" i="13"/>
  <c r="J5" i="13"/>
  <c r="K5" i="13"/>
  <c r="M5" i="13" s="1"/>
  <c r="N5" i="13"/>
  <c r="F6" i="13"/>
  <c r="I6" i="13"/>
  <c r="J6" i="13"/>
  <c r="N6" i="13"/>
  <c r="F7" i="13"/>
  <c r="I7" i="13"/>
  <c r="J7" i="13"/>
  <c r="K7" i="13" s="1"/>
  <c r="M7" i="13" s="1"/>
  <c r="N7" i="13"/>
  <c r="F8" i="13"/>
  <c r="I8" i="13"/>
  <c r="J8" i="13"/>
  <c r="K8" i="13"/>
  <c r="M8" i="13"/>
  <c r="N8" i="13"/>
  <c r="N10" i="13" s="1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 s="1"/>
  <c r="F35" i="13"/>
  <c r="D47" i="13" s="1"/>
  <c r="D48" i="13" s="1"/>
  <c r="D25" i="80" s="1"/>
  <c r="C36" i="13"/>
  <c r="F40" i="13"/>
  <c r="A46" i="13"/>
  <c r="A47" i="13"/>
  <c r="F8" i="71"/>
  <c r="F39" i="71" s="1"/>
  <c r="D49" i="71" s="1"/>
  <c r="D50" i="71" s="1"/>
  <c r="D35" i="80" s="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D35" i="73"/>
  <c r="E35" i="73"/>
  <c r="H35" i="73"/>
  <c r="I35" i="73"/>
  <c r="I36" i="73" s="1"/>
  <c r="E36" i="73"/>
  <c r="F39" i="73"/>
  <c r="B9" i="20"/>
  <c r="B11" i="20"/>
  <c r="B12" i="20"/>
  <c r="B13" i="20"/>
  <c r="B14" i="20"/>
  <c r="B15" i="20"/>
  <c r="B16" i="20"/>
  <c r="E16" i="20"/>
  <c r="B17" i="20"/>
  <c r="F38" i="20" s="1"/>
  <c r="F39" i="20" s="1"/>
  <c r="B30" i="20"/>
  <c r="E37" i="20"/>
  <c r="E38" i="20"/>
  <c r="G38" i="20"/>
  <c r="G39" i="20"/>
  <c r="H39" i="20"/>
  <c r="B45" i="20"/>
  <c r="H38" i="20" s="1"/>
  <c r="D5" i="11"/>
  <c r="H5" i="11"/>
  <c r="D6" i="11"/>
  <c r="H6" i="11" s="1"/>
  <c r="D7" i="11"/>
  <c r="H7" i="11" s="1"/>
  <c r="D8" i="11"/>
  <c r="H8" i="11" s="1"/>
  <c r="AB8" i="11"/>
  <c r="AC8" i="11"/>
  <c r="AF8" i="11"/>
  <c r="AI8" i="11"/>
  <c r="AL8" i="11"/>
  <c r="AM8" i="11"/>
  <c r="AN8" i="11"/>
  <c r="AO8" i="11"/>
  <c r="AP8" i="11"/>
  <c r="D9" i="11"/>
  <c r="H9" i="11" s="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 s="1"/>
  <c r="AC12" i="11"/>
  <c r="AF12" i="11"/>
  <c r="AI12" i="11"/>
  <c r="AL12" i="11"/>
  <c r="AM12" i="11"/>
  <c r="AN12" i="11"/>
  <c r="AO12" i="11"/>
  <c r="AP12" i="11"/>
  <c r="D13" i="11"/>
  <c r="H13" i="11" s="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 s="1"/>
  <c r="AF16" i="11"/>
  <c r="AI16" i="11"/>
  <c r="AL16" i="11"/>
  <c r="AM16" i="11"/>
  <c r="AN16" i="11"/>
  <c r="AO16" i="11"/>
  <c r="AP16" i="11"/>
  <c r="D17" i="11"/>
  <c r="H17" i="11" s="1"/>
  <c r="AC17" i="11"/>
  <c r="AF17" i="11"/>
  <c r="AI17" i="11"/>
  <c r="AL17" i="11"/>
  <c r="AM17" i="11"/>
  <c r="AN17" i="11"/>
  <c r="AO17" i="11"/>
  <c r="AP17" i="11"/>
  <c r="D18" i="11"/>
  <c r="H18" i="11" s="1"/>
  <c r="AC18" i="11"/>
  <c r="AF18" i="11"/>
  <c r="AI18" i="11"/>
  <c r="AL18" i="11"/>
  <c r="AM18" i="11"/>
  <c r="AN18" i="11"/>
  <c r="AO18" i="11"/>
  <c r="AP18" i="11"/>
  <c r="D19" i="11"/>
  <c r="H19" i="11" s="1"/>
  <c r="AC19" i="11"/>
  <c r="AF19" i="11"/>
  <c r="AI19" i="11"/>
  <c r="AL19" i="11"/>
  <c r="AM19" i="11"/>
  <c r="AN19" i="11"/>
  <c r="AO19" i="11"/>
  <c r="AP19" i="11"/>
  <c r="D20" i="11"/>
  <c r="H20" i="11" s="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 s="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M48" i="11"/>
  <c r="AN48" i="11"/>
  <c r="AO48" i="11"/>
  <c r="AP48" i="11"/>
  <c r="J4" i="70"/>
  <c r="J35" i="70" s="1"/>
  <c r="D47" i="70" s="1"/>
  <c r="D48" i="70" s="1"/>
  <c r="D33" i="8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6" i="5"/>
  <c r="E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34" i="67" s="1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0" i="65"/>
  <c r="D11" i="65"/>
  <c r="D12" i="65"/>
  <c r="D13" i="65"/>
  <c r="D14" i="65"/>
  <c r="D18" i="65"/>
  <c r="A32" i="65"/>
  <c r="A33" i="65"/>
  <c r="D33" i="65"/>
  <c r="D34" i="65" s="1"/>
  <c r="D24" i="80" s="1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 s="1"/>
  <c r="D19" i="77"/>
  <c r="K19" i="77"/>
  <c r="M19" i="77" s="1"/>
  <c r="D20" i="77"/>
  <c r="K20" i="77"/>
  <c r="M20" i="77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F6" i="7"/>
  <c r="Z6" i="7"/>
  <c r="AD6" i="7"/>
  <c r="AF6" i="7" s="1"/>
  <c r="F7" i="7"/>
  <c r="Z7" i="7"/>
  <c r="AD7" i="7" s="1"/>
  <c r="AF7" i="7"/>
  <c r="F8" i="7"/>
  <c r="Z8" i="7"/>
  <c r="AD8" i="7"/>
  <c r="AF8" i="7" s="1"/>
  <c r="F9" i="7"/>
  <c r="Z9" i="7"/>
  <c r="AD9" i="7"/>
  <c r="AF9" i="7"/>
  <c r="F10" i="7"/>
  <c r="Z10" i="7"/>
  <c r="AD10" i="7" s="1"/>
  <c r="AF10" i="7" s="1"/>
  <c r="F11" i="7"/>
  <c r="Z11" i="7"/>
  <c r="AD11" i="7"/>
  <c r="AF11" i="7" s="1"/>
  <c r="F12" i="7"/>
  <c r="Z12" i="7"/>
  <c r="AD12" i="7" s="1"/>
  <c r="AF12" i="7"/>
  <c r="F13" i="7"/>
  <c r="Z13" i="7"/>
  <c r="AD13" i="7" s="1"/>
  <c r="AF13" i="7" s="1"/>
  <c r="F14" i="7"/>
  <c r="Z14" i="7"/>
  <c r="AD14" i="7"/>
  <c r="AF14" i="7" s="1"/>
  <c r="F15" i="7"/>
  <c r="Z15" i="7"/>
  <c r="AD15" i="7"/>
  <c r="AF15" i="7" s="1"/>
  <c r="F16" i="7"/>
  <c r="Z16" i="7"/>
  <c r="AD16" i="7" s="1"/>
  <c r="AF16" i="7"/>
  <c r="F17" i="7"/>
  <c r="Z17" i="7"/>
  <c r="AD17" i="7"/>
  <c r="AF17" i="7"/>
  <c r="F18" i="7"/>
  <c r="AI18" i="7"/>
  <c r="F19" i="7"/>
  <c r="Z19" i="7"/>
  <c r="AD19" i="7"/>
  <c r="AF19" i="7"/>
  <c r="AH19" i="7" s="1"/>
  <c r="AG19" i="7"/>
  <c r="AG20" i="7" s="1"/>
  <c r="AG21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/>
  <c r="C27" i="63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A45" i="28"/>
  <c r="A46" i="28"/>
  <c r="H4" i="9"/>
  <c r="H5" i="9"/>
  <c r="H6" i="9"/>
  <c r="H7" i="9"/>
  <c r="H8" i="9"/>
  <c r="H9" i="9"/>
  <c r="N9" i="9"/>
  <c r="P9" i="9"/>
  <c r="H10" i="9"/>
  <c r="N10" i="9"/>
  <c r="P10" i="9" s="1"/>
  <c r="P16" i="9" s="1"/>
  <c r="H11" i="9"/>
  <c r="N11" i="9"/>
  <c r="P11" i="9"/>
  <c r="H12" i="9"/>
  <c r="L12" i="9"/>
  <c r="N12" i="9"/>
  <c r="P12" i="9"/>
  <c r="H13" i="9"/>
  <c r="N13" i="9"/>
  <c r="P13" i="9" s="1"/>
  <c r="H14" i="9"/>
  <c r="L14" i="9"/>
  <c r="N14" i="9"/>
  <c r="P14" i="9" s="1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B47" i="9"/>
  <c r="D5" i="64"/>
  <c r="D6" i="64"/>
  <c r="D7" i="64"/>
  <c r="D8" i="64"/>
  <c r="D9" i="64"/>
  <c r="D10" i="64"/>
  <c r="D11" i="64"/>
  <c r="D12" i="64"/>
  <c r="D17" i="64" s="1"/>
  <c r="D29" i="64" s="1"/>
  <c r="D30" i="64" s="1"/>
  <c r="D32" i="80" s="1"/>
  <c r="D13" i="64"/>
  <c r="A28" i="64"/>
  <c r="F8" i="15"/>
  <c r="AF8" i="15"/>
  <c r="AJ8" i="15"/>
  <c r="AJ39" i="15" s="1"/>
  <c r="AJ45" i="15" s="1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F39" i="15" s="1"/>
  <c r="AF45" i="15" s="1"/>
  <c r="AJ20" i="15"/>
  <c r="AN20" i="15"/>
  <c r="AR20" i="15"/>
  <c r="AV20" i="15"/>
  <c r="F21" i="15"/>
  <c r="AF21" i="15"/>
  <c r="AJ21" i="15"/>
  <c r="AN21" i="15"/>
  <c r="AQ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L39" i="15"/>
  <c r="AM39" i="15"/>
  <c r="AP39" i="15"/>
  <c r="AT39" i="15"/>
  <c r="AU39" i="15"/>
  <c r="F43" i="15"/>
  <c r="A50" i="15"/>
  <c r="A51" i="15"/>
  <c r="AH52" i="15"/>
  <c r="AH54" i="15" s="1"/>
  <c r="AH56" i="15" s="1"/>
  <c r="AH57" i="15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33" i="15" s="1"/>
  <c r="C133" i="15" s="1"/>
  <c r="F128" i="15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B174" i="15" s="1"/>
  <c r="B176" i="15" s="1"/>
  <c r="F169" i="15"/>
  <c r="F170" i="15"/>
  <c r="F171" i="15"/>
  <c r="F172" i="15"/>
  <c r="F173" i="15"/>
  <c r="C174" i="15"/>
  <c r="C176" i="15" s="1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D40" i="69" s="1"/>
  <c r="D42" i="69" s="1"/>
  <c r="B20" i="80" s="1"/>
  <c r="I3" i="63"/>
  <c r="H4" i="63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C21" i="63"/>
  <c r="B21" i="63" s="1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P5" i="2"/>
  <c r="J6" i="2"/>
  <c r="P6" i="2"/>
  <c r="R6" i="2" s="1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J15" i="2"/>
  <c r="J16" i="2"/>
  <c r="J17" i="2"/>
  <c r="P17" i="2"/>
  <c r="R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 s="1"/>
  <c r="D18" i="8" l="1"/>
  <c r="D30" i="8" s="1"/>
  <c r="D31" i="8" s="1"/>
  <c r="D37" i="80" s="1"/>
  <c r="D39" i="19"/>
  <c r="D49" i="19" s="1"/>
  <c r="D50" i="19" s="1"/>
  <c r="D19" i="80" s="1"/>
  <c r="D21" i="80" s="1"/>
  <c r="H35" i="9"/>
  <c r="E47" i="9" s="1"/>
  <c r="E48" i="9" s="1"/>
  <c r="D31" i="80" s="1"/>
  <c r="F38" i="67"/>
  <c r="I39" i="20"/>
  <c r="I56" i="20" s="1"/>
  <c r="M51" i="73" s="1"/>
  <c r="AI19" i="7"/>
  <c r="F35" i="6"/>
  <c r="B27" i="63"/>
  <c r="R5" i="2"/>
  <c r="R22" i="2" s="1"/>
  <c r="P22" i="2"/>
  <c r="J5" i="80"/>
  <c r="J50" i="80" s="1"/>
  <c r="D38" i="76"/>
  <c r="D39" i="76" s="1"/>
  <c r="D41" i="76" s="1"/>
  <c r="C37" i="73"/>
  <c r="D38" i="75"/>
  <c r="AH20" i="7"/>
  <c r="M23" i="77"/>
  <c r="AP27" i="11"/>
  <c r="AF27" i="11"/>
  <c r="J48" i="80"/>
  <c r="D51" i="15"/>
  <c r="D52" i="15" s="1"/>
  <c r="D64" i="80" s="1"/>
  <c r="D37" i="81"/>
  <c r="F36" i="7"/>
  <c r="B64" i="80"/>
  <c r="C64" i="80" s="1"/>
  <c r="C18" i="63"/>
  <c r="B18" i="63" s="1"/>
  <c r="J4" i="80"/>
  <c r="C37" i="13"/>
  <c r="F38" i="22"/>
  <c r="D38" i="74"/>
  <c r="D39" i="74" s="1"/>
  <c r="D41" i="74" s="1"/>
  <c r="D19" i="65"/>
  <c r="D20" i="65" s="1"/>
  <c r="D24" i="65" s="1"/>
  <c r="F40" i="18"/>
  <c r="F41" i="18" s="1"/>
  <c r="F43" i="18" s="1"/>
  <c r="D13" i="78"/>
  <c r="D38" i="79"/>
  <c r="F40" i="71"/>
  <c r="F41" i="71" s="1"/>
  <c r="F43" i="71" s="1"/>
  <c r="D19" i="8"/>
  <c r="D20" i="8" s="1"/>
  <c r="D24" i="8" s="1"/>
  <c r="J36" i="70"/>
  <c r="J37" i="70" s="1"/>
  <c r="J41" i="70" s="1"/>
  <c r="J40" i="17"/>
  <c r="D18" i="64"/>
  <c r="D19" i="64" s="1"/>
  <c r="D23" i="64" s="1"/>
  <c r="B31" i="20"/>
  <c r="H36" i="9"/>
  <c r="D40" i="19"/>
  <c r="D41" i="19" s="1"/>
  <c r="D43" i="19" s="1"/>
  <c r="D38" i="77"/>
  <c r="D39" i="77" s="1"/>
  <c r="D41" i="77" s="1"/>
  <c r="C45" i="11"/>
  <c r="C46" i="11" s="1"/>
  <c r="C39" i="11"/>
  <c r="F35" i="73"/>
  <c r="J35" i="2"/>
  <c r="AR21" i="15"/>
  <c r="AQ39" i="15"/>
  <c r="AV39" i="15"/>
  <c r="AN39" i="15"/>
  <c r="D35" i="68"/>
  <c r="D39" i="72"/>
  <c r="D48" i="72" s="1"/>
  <c r="D49" i="72" s="1"/>
  <c r="D29" i="80" s="1"/>
  <c r="F39" i="18"/>
  <c r="D48" i="18" s="1"/>
  <c r="D49" i="18" s="1"/>
  <c r="D26" i="80" s="1"/>
  <c r="C20" i="80"/>
  <c r="E20" i="80" s="1"/>
  <c r="F92" i="15"/>
  <c r="F101" i="15" s="1"/>
  <c r="C101" i="15" s="1"/>
  <c r="B101" i="15"/>
  <c r="D40" i="28"/>
  <c r="D46" i="28"/>
  <c r="D47" i="28" s="1"/>
  <c r="D59" i="80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L48" i="11"/>
  <c r="H36" i="11"/>
  <c r="H39" i="11" s="1"/>
  <c r="M13" i="13"/>
  <c r="D37" i="76"/>
  <c r="D47" i="76" s="1"/>
  <c r="D48" i="76" s="1"/>
  <c r="D34" i="80" s="1"/>
  <c r="F176" i="15"/>
  <c r="D37" i="75"/>
  <c r="D46" i="75" s="1"/>
  <c r="D47" i="75" s="1"/>
  <c r="D36" i="80" s="1"/>
  <c r="D36" i="11"/>
  <c r="E37" i="11" s="1"/>
  <c r="B32" i="63"/>
  <c r="C32" i="63" s="1"/>
  <c r="D37" i="77"/>
  <c r="D49" i="77" s="1"/>
  <c r="D50" i="77" s="1"/>
  <c r="D14" i="80" s="1"/>
  <c r="D37" i="79"/>
  <c r="D47" i="79" s="1"/>
  <c r="D48" i="79" s="1"/>
  <c r="D13" i="80" s="1"/>
  <c r="D16" i="80" s="1"/>
  <c r="J35" i="73"/>
  <c r="J36" i="73" s="1"/>
  <c r="K36" i="73" s="1"/>
  <c r="K49" i="73" s="1"/>
  <c r="F36" i="73"/>
  <c r="C65" i="80"/>
  <c r="E65" i="80" s="1"/>
  <c r="D12" i="78"/>
  <c r="D23" i="78" s="1"/>
  <c r="D24" i="78" s="1"/>
  <c r="D15" i="80" s="1"/>
  <c r="J39" i="17"/>
  <c r="D48" i="17" s="1"/>
  <c r="D49" i="17" s="1"/>
  <c r="D30" i="80" s="1"/>
  <c r="K6" i="13"/>
  <c r="M6" i="13" s="1"/>
  <c r="N11" i="13" s="1"/>
  <c r="D46" i="12"/>
  <c r="D47" i="12" s="1"/>
  <c r="D65" i="80" s="1"/>
  <c r="AR39" i="15"/>
  <c r="AR45" i="15" s="1"/>
  <c r="F36" i="5"/>
  <c r="F37" i="22"/>
  <c r="D47" i="22" s="1"/>
  <c r="D48" i="22" s="1"/>
  <c r="D27" i="80" s="1"/>
  <c r="AH6" i="7" l="1"/>
  <c r="AI5" i="7"/>
  <c r="B37" i="80"/>
  <c r="C37" i="80" s="1"/>
  <c r="E37" i="80" s="1"/>
  <c r="B40" i="63"/>
  <c r="C40" i="63" s="1"/>
  <c r="B33" i="63"/>
  <c r="C33" i="63" s="1"/>
  <c r="B34" i="80"/>
  <c r="C34" i="80" s="1"/>
  <c r="E34" i="80" s="1"/>
  <c r="AN45" i="15"/>
  <c r="B102" i="15"/>
  <c r="C28" i="63"/>
  <c r="B28" i="63" s="1"/>
  <c r="B59" i="80"/>
  <c r="C59" i="80" s="1"/>
  <c r="E59" i="80" s="1"/>
  <c r="B19" i="80"/>
  <c r="B31" i="63"/>
  <c r="C31" i="63" s="1"/>
  <c r="D39" i="79"/>
  <c r="D41" i="79" s="1"/>
  <c r="D48" i="5"/>
  <c r="D49" i="5" s="1"/>
  <c r="D74" i="80" s="1"/>
  <c r="F42" i="5"/>
  <c r="H37" i="9"/>
  <c r="H39" i="9" s="1"/>
  <c r="D14" i="78"/>
  <c r="D18" i="78" s="1"/>
  <c r="D46" i="68"/>
  <c r="D47" i="68" s="1"/>
  <c r="D57" i="80" s="1"/>
  <c r="D40" i="68"/>
  <c r="C38" i="13"/>
  <c r="C41" i="13" s="1"/>
  <c r="E37" i="13"/>
  <c r="E38" i="13" s="1"/>
  <c r="B71" i="80"/>
  <c r="C17" i="63"/>
  <c r="B17" i="63" s="1"/>
  <c r="B38" i="63"/>
  <c r="C38" i="63" s="1"/>
  <c r="B14" i="80"/>
  <c r="C14" i="80" s="1"/>
  <c r="E14" i="80" s="1"/>
  <c r="J49" i="80"/>
  <c r="D46" i="16"/>
  <c r="D47" i="16" s="1"/>
  <c r="D73" i="80" s="1"/>
  <c r="C73" i="80"/>
  <c r="E73" i="80" s="1"/>
  <c r="AR48" i="15"/>
  <c r="AR51" i="15"/>
  <c r="B14" i="63"/>
  <c r="C14" i="63" s="1"/>
  <c r="B26" i="80"/>
  <c r="C26" i="80" s="1"/>
  <c r="E26" i="80" s="1"/>
  <c r="C30" i="63"/>
  <c r="B66" i="80"/>
  <c r="J40" i="2"/>
  <c r="D47" i="2"/>
  <c r="D48" i="2" s="1"/>
  <c r="D63" i="80" s="1"/>
  <c r="B32" i="80"/>
  <c r="C32" i="80" s="1"/>
  <c r="E32" i="80" s="1"/>
  <c r="B25" i="63"/>
  <c r="C25" i="63" s="1"/>
  <c r="B24" i="80"/>
  <c r="B16" i="63"/>
  <c r="C16" i="63" s="1"/>
  <c r="E64" i="80"/>
  <c r="AI20" i="7"/>
  <c r="AH21" i="7"/>
  <c r="AI21" i="7" s="1"/>
  <c r="D46" i="6"/>
  <c r="D47" i="6" s="1"/>
  <c r="D58" i="80" s="1"/>
  <c r="F40" i="6"/>
  <c r="K13" i="13"/>
  <c r="J41" i="17"/>
  <c r="J43" i="17" s="1"/>
  <c r="B12" i="80"/>
  <c r="B26" i="63"/>
  <c r="C26" i="63" s="1"/>
  <c r="F41" i="7"/>
  <c r="E48" i="7"/>
  <c r="E49" i="7" s="1"/>
  <c r="D67" i="80" s="1"/>
  <c r="D39" i="75"/>
  <c r="D41" i="75" s="1"/>
  <c r="E39" i="11"/>
  <c r="C66" i="80" s="1"/>
  <c r="E45" i="11"/>
  <c r="B35" i="80"/>
  <c r="C35" i="80" s="1"/>
  <c r="E35" i="80" s="1"/>
  <c r="B42" i="63"/>
  <c r="C42" i="63" s="1"/>
  <c r="B18" i="20"/>
  <c r="C18" i="20" s="1"/>
  <c r="C19" i="20" s="1"/>
  <c r="B46" i="20"/>
  <c r="C46" i="20" s="1"/>
  <c r="C47" i="20" s="1"/>
  <c r="C31" i="20"/>
  <c r="C32" i="20" s="1"/>
  <c r="D44" i="67"/>
  <c r="D45" i="67" s="1"/>
  <c r="D71" i="80" s="1"/>
  <c r="D75" i="80" s="1"/>
  <c r="B30" i="63"/>
  <c r="B29" i="63"/>
  <c r="C29" i="63" s="1"/>
  <c r="B33" i="80"/>
  <c r="C33" i="80" s="1"/>
  <c r="E33" i="80" s="1"/>
  <c r="F39" i="22"/>
  <c r="F41" i="22" s="1"/>
  <c r="D41" i="81"/>
  <c r="D46" i="81"/>
  <c r="D47" i="81" s="1"/>
  <c r="D72" i="80" s="1"/>
  <c r="E37" i="73"/>
  <c r="E38" i="73" s="1"/>
  <c r="C38" i="73"/>
  <c r="C40" i="73" s="1"/>
  <c r="M53" i="73"/>
  <c r="D28" i="80" s="1"/>
  <c r="D38" i="80" s="1"/>
  <c r="D41" i="72"/>
  <c r="D43" i="72" s="1"/>
  <c r="D40" i="80" l="1"/>
  <c r="B74" i="80"/>
  <c r="C74" i="80" s="1"/>
  <c r="E74" i="80" s="1"/>
  <c r="C24" i="63"/>
  <c r="B24" i="63" s="1"/>
  <c r="E41" i="13"/>
  <c r="F41" i="13" s="1"/>
  <c r="F38" i="13"/>
  <c r="B13" i="80"/>
  <c r="C13" i="80" s="1"/>
  <c r="E13" i="80" s="1"/>
  <c r="B39" i="63"/>
  <c r="C39" i="63" s="1"/>
  <c r="C56" i="20"/>
  <c r="F51" i="73" s="1"/>
  <c r="C22" i="63"/>
  <c r="B22" i="63" s="1"/>
  <c r="B67" i="80"/>
  <c r="C67" i="80" s="1"/>
  <c r="E67" i="80" s="1"/>
  <c r="B63" i="80"/>
  <c r="C8" i="63"/>
  <c r="B57" i="80"/>
  <c r="C15" i="63"/>
  <c r="B15" i="63" s="1"/>
  <c r="E66" i="80"/>
  <c r="B58" i="80"/>
  <c r="C58" i="80" s="1"/>
  <c r="E58" i="80" s="1"/>
  <c r="C10" i="63"/>
  <c r="B10" i="63" s="1"/>
  <c r="F38" i="73"/>
  <c r="E40" i="73"/>
  <c r="F40" i="73" s="1"/>
  <c r="F49" i="73" s="1"/>
  <c r="D60" i="80"/>
  <c r="D77" i="80" s="1"/>
  <c r="C19" i="80"/>
  <c r="B21" i="80"/>
  <c r="B27" i="80"/>
  <c r="C27" i="80" s="1"/>
  <c r="E27" i="80" s="1"/>
  <c r="B12" i="63"/>
  <c r="C12" i="63" s="1"/>
  <c r="C12" i="80"/>
  <c r="B15" i="80"/>
  <c r="C15" i="80" s="1"/>
  <c r="E15" i="80" s="1"/>
  <c r="B37" i="63"/>
  <c r="B19" i="63"/>
  <c r="C19" i="63" s="1"/>
  <c r="B30" i="80"/>
  <c r="C30" i="80" s="1"/>
  <c r="E30" i="80" s="1"/>
  <c r="B11" i="63"/>
  <c r="C11" i="63" s="1"/>
  <c r="B31" i="80"/>
  <c r="C31" i="80" s="1"/>
  <c r="E31" i="80" s="1"/>
  <c r="AH7" i="7"/>
  <c r="AI6" i="7"/>
  <c r="C71" i="80"/>
  <c r="B75" i="80"/>
  <c r="B41" i="63"/>
  <c r="C41" i="63" s="1"/>
  <c r="B36" i="80"/>
  <c r="C36" i="80" s="1"/>
  <c r="E36" i="80" s="1"/>
  <c r="B72" i="80"/>
  <c r="C72" i="80" s="1"/>
  <c r="E72" i="80" s="1"/>
  <c r="C23" i="63"/>
  <c r="B23" i="63" s="1"/>
  <c r="B13" i="63"/>
  <c r="C13" i="63" s="1"/>
  <c r="B29" i="80"/>
  <c r="C29" i="80" s="1"/>
  <c r="E29" i="80" s="1"/>
  <c r="F45" i="11"/>
  <c r="E46" i="11"/>
  <c r="F46" i="11" s="1"/>
  <c r="D66" i="80" s="1"/>
  <c r="D68" i="80" s="1"/>
  <c r="C24" i="80"/>
  <c r="F37" i="73"/>
  <c r="B103" i="15"/>
  <c r="B105" i="15" s="1"/>
  <c r="F105" i="15" s="1"/>
  <c r="F102" i="15"/>
  <c r="F103" i="15" s="1"/>
  <c r="C103" i="15" s="1"/>
  <c r="C75" i="80" l="1"/>
  <c r="E71" i="80"/>
  <c r="E75" i="80" s="1"/>
  <c r="B60" i="80"/>
  <c r="B77" i="80" s="1"/>
  <c r="C57" i="80"/>
  <c r="B16" i="80"/>
  <c r="B8" i="63"/>
  <c r="B43" i="63"/>
  <c r="C37" i="63"/>
  <c r="C43" i="63" s="1"/>
  <c r="B9" i="63"/>
  <c r="C9" i="63" s="1"/>
  <c r="B25" i="80"/>
  <c r="E19" i="80"/>
  <c r="E21" i="80" s="1"/>
  <c r="C21" i="80"/>
  <c r="AH8" i="7"/>
  <c r="AI7" i="7"/>
  <c r="C16" i="80"/>
  <c r="E12" i="80"/>
  <c r="C63" i="80"/>
  <c r="B68" i="80"/>
  <c r="E24" i="80"/>
  <c r="F53" i="73"/>
  <c r="AI8" i="7" l="1"/>
  <c r="AH9" i="7"/>
  <c r="B34" i="63"/>
  <c r="B45" i="63" s="1"/>
  <c r="C60" i="80"/>
  <c r="C77" i="80" s="1"/>
  <c r="E57" i="80"/>
  <c r="C68" i="80"/>
  <c r="E63" i="80"/>
  <c r="E68" i="80" s="1"/>
  <c r="C25" i="80"/>
  <c r="B38" i="80"/>
  <c r="E16" i="80"/>
  <c r="B28" i="80"/>
  <c r="C28" i="80" s="1"/>
  <c r="E28" i="80" s="1"/>
  <c r="B20" i="63"/>
  <c r="C20" i="63" s="1"/>
  <c r="C34" i="63" s="1"/>
  <c r="C45" i="63" s="1"/>
  <c r="E60" i="80" l="1"/>
  <c r="E77" i="80" s="1"/>
  <c r="AI9" i="7"/>
  <c r="AH10" i="7"/>
  <c r="B40" i="80"/>
  <c r="B80" i="80" s="1"/>
  <c r="E25" i="80"/>
  <c r="C38" i="80"/>
  <c r="C40" i="80"/>
  <c r="B81" i="80" s="1"/>
  <c r="AH11" i="7" l="1"/>
  <c r="AI10" i="7"/>
  <c r="E38" i="80"/>
  <c r="E40" i="80"/>
  <c r="AI11" i="7" l="1"/>
  <c r="AH12" i="7"/>
  <c r="AH13" i="7" l="1"/>
  <c r="AI12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<sst xmlns="http://schemas.openxmlformats.org/spreadsheetml/2006/main" count="663" uniqueCount="202">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</sst>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2.69</v>
          </cell>
          <cell r="M39">
            <v>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opLeftCell="A46" workbookViewId="2">
      <selection activeCell="G50" sqref="G50"/>
    </sheetView>
    <sheetView topLeftCell="A22" workbookViewId="3">
      <selection activeCell="A24" sqref="A24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2.69</v>
      </c>
      <c r="K3" s="440">
        <f ca="1">NOW()</f>
        <v>41885.69311724537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2.88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2.98</v>
      </c>
      <c r="K5" s="32"/>
    </row>
    <row r="6" spans="1:32" ht="12" customHeight="1" x14ac:dyDescent="0.2"/>
    <row r="7" spans="1:32" ht="12.95" customHeight="1" x14ac:dyDescent="0.2">
      <c r="A7" s="438" t="s">
        <v>179</v>
      </c>
      <c r="B7" s="439"/>
      <c r="AD7" s="32"/>
      <c r="AE7" s="32"/>
      <c r="AF7" s="32"/>
    </row>
    <row r="8" spans="1:32" ht="15.95" customHeight="1" outlineLevel="2" x14ac:dyDescent="0.2">
      <c r="A8" s="32"/>
      <c r="B8" s="47"/>
      <c r="C8" s="436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7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124051.63999999998</v>
      </c>
      <c r="C12" s="402">
        <f>+B12/$J$4</f>
        <v>43073.486111111109</v>
      </c>
      <c r="D12" s="14">
        <f>+Calpine!D47</f>
        <v>144376</v>
      </c>
      <c r="E12" s="70">
        <f>+C12-D12</f>
        <v>-101302.51388888889</v>
      </c>
      <c r="F12" s="397">
        <f>+Calpine!A41</f>
        <v>37125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-198867.28</v>
      </c>
      <c r="C13" s="401">
        <f>+B13/$J$4</f>
        <v>-69051.138888888891</v>
      </c>
      <c r="D13" s="14">
        <f>+'Citizens-Griffith'!D48</f>
        <v>-97404</v>
      </c>
      <c r="E13" s="70">
        <f>+C13-D13</f>
        <v>28352.861111111109</v>
      </c>
      <c r="F13" s="397">
        <f>+'Citizens-Griffith'!A41</f>
        <v>37125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-434915.5</v>
      </c>
      <c r="C14" s="401">
        <f>+B14/$J$4</f>
        <v>-151012.32638888891</v>
      </c>
      <c r="D14" s="14">
        <f>+'NS Steel'!D50</f>
        <v>-82404</v>
      </c>
      <c r="E14" s="70">
        <f>+C14-D14</f>
        <v>-68608.326388888905</v>
      </c>
      <c r="F14" s="398">
        <f>+'NS Steel'!A41</f>
        <v>37125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-796281.14</v>
      </c>
      <c r="C15" s="403">
        <f>+B15/$J$4</f>
        <v>-276486.50694444444</v>
      </c>
      <c r="D15" s="379">
        <f>+Citizens!D24</f>
        <v>-166899</v>
      </c>
      <c r="E15" s="72">
        <f>+C15-D15</f>
        <v>-109587.50694444444</v>
      </c>
      <c r="F15" s="397">
        <f>+Citizens!A18</f>
        <v>37125</v>
      </c>
      <c r="G15" s="205"/>
      <c r="H15" s="206" t="s">
        <v>102</v>
      </c>
      <c r="I15" s="477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-1306012.28</v>
      </c>
      <c r="C16" s="431">
        <f>SUBTOTAL(9,C12:C15)</f>
        <v>-453476.48611111112</v>
      </c>
      <c r="D16" s="432">
        <f>SUBTOTAL(9,D12:D15)</f>
        <v>-202331</v>
      </c>
      <c r="E16" s="433">
        <f>SUBTOTAL(9,E12:E15)</f>
        <v>-251145.48611111112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5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14091.86</v>
      </c>
      <c r="C19" s="401">
        <f>+B19/$J$4</f>
        <v>4893.0069444444453</v>
      </c>
      <c r="D19" s="14">
        <f>+transcol!D50</f>
        <v>-46083</v>
      </c>
      <c r="E19" s="70">
        <f>+C19-D19</f>
        <v>50976.006944444445</v>
      </c>
      <c r="F19" s="398">
        <f>+transcol!A43</f>
        <v>37126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6836.4700000000012</v>
      </c>
      <c r="C20" s="405">
        <f>+B20/$J$3</f>
        <v>2541.4386617100376</v>
      </c>
      <c r="D20" s="379">
        <f>+burlington!D49</f>
        <v>1205</v>
      </c>
      <c r="E20" s="72">
        <f>+C20-D20</f>
        <v>1336.4386617100376</v>
      </c>
      <c r="F20" s="397">
        <f>+burlington!A42</f>
        <v>37126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20928.330000000002</v>
      </c>
      <c r="C21" s="422">
        <f>SUBTOTAL(9,C19:C20)</f>
        <v>7434.4456061544824</v>
      </c>
      <c r="D21" s="432">
        <f>SUBTOTAL(9,D19:D20)</f>
        <v>-44878</v>
      </c>
      <c r="E21" s="433">
        <f>SUBTOTAL(9,E19:E20)</f>
        <v>52312.445606154484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G23" s="7"/>
    </row>
    <row r="24" spans="1:20" ht="15.95" customHeight="1" outlineLevel="2" x14ac:dyDescent="0.2">
      <c r="A24" s="206" t="s">
        <v>90</v>
      </c>
      <c r="B24" s="375">
        <f>+NNG!$D$24</f>
        <v>399539.81</v>
      </c>
      <c r="C24" s="401">
        <f t="shared" ref="C24:C35" si="0">+B24/$J$4</f>
        <v>138729.10069444444</v>
      </c>
      <c r="D24" s="14">
        <f>+NNG!D34</f>
        <v>-25693</v>
      </c>
      <c r="E24" s="70">
        <f t="shared" ref="E24:E37" si="1">+C24-D24</f>
        <v>164422.10069444444</v>
      </c>
      <c r="F24" s="397">
        <f>+NNG!A24</f>
        <v>37125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571534.59000000008</v>
      </c>
      <c r="C25" s="401">
        <f t="shared" si="0"/>
        <v>198449.51041666672</v>
      </c>
      <c r="D25" s="14">
        <f>+Conoco!D48</f>
        <v>80845</v>
      </c>
      <c r="E25" s="70">
        <f t="shared" si="1"/>
        <v>117604.51041666672</v>
      </c>
      <c r="F25" s="397">
        <f>+Conoco!A41</f>
        <v>37125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427140.04000000004</v>
      </c>
      <c r="C26" s="401">
        <f t="shared" si="0"/>
        <v>148312.51388888891</v>
      </c>
      <c r="D26" s="14">
        <f>+'Amoco Abo'!D49</f>
        <v>-240999</v>
      </c>
      <c r="E26" s="70">
        <f t="shared" si="1"/>
        <v>389311.51388888888</v>
      </c>
      <c r="F26" s="398">
        <f>+'Amoco Abo'!A43</f>
        <v>37125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457776.47</v>
      </c>
      <c r="C27" s="401">
        <f t="shared" si="0"/>
        <v>158950.16319444444</v>
      </c>
      <c r="D27" s="14">
        <f>+KN_Westar!D48</f>
        <v>24864</v>
      </c>
      <c r="E27" s="70">
        <f t="shared" si="1"/>
        <v>134086.16319444444</v>
      </c>
      <c r="F27" s="398">
        <f>+KN_Westar!A41</f>
        <v>37125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289177.11000000034</v>
      </c>
      <c r="C28" s="402">
        <f t="shared" si="0"/>
        <v>100408.71875000012</v>
      </c>
      <c r="D28" s="14">
        <f>+DEFS!M53</f>
        <v>440000</v>
      </c>
      <c r="E28" s="70">
        <f t="shared" si="1"/>
        <v>-339591.28124999988</v>
      </c>
      <c r="F28" s="398">
        <f>+DEFS!A40</f>
        <v>37125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428914.36</v>
      </c>
      <c r="C29" s="401">
        <f t="shared" si="0"/>
        <v>148928.59722222222</v>
      </c>
      <c r="D29" s="14">
        <f>+CIG!D49</f>
        <v>41761</v>
      </c>
      <c r="E29" s="70">
        <f t="shared" si="1"/>
        <v>107167.59722222222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331505.24</v>
      </c>
      <c r="C30" s="401">
        <f t="shared" si="0"/>
        <v>115105.98611111111</v>
      </c>
      <c r="D30" s="14">
        <f>+mewborne!D49</f>
        <v>132052</v>
      </c>
      <c r="E30" s="70">
        <f t="shared" si="1"/>
        <v>-16946.013888888891</v>
      </c>
      <c r="F30" s="398">
        <f>+mewborne!A43</f>
        <v>37125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478734.57</v>
      </c>
      <c r="C31" s="401">
        <f t="shared" si="0"/>
        <v>166227.28125</v>
      </c>
      <c r="D31" s="14">
        <f>+PGETX!E48</f>
        <v>117451</v>
      </c>
      <c r="E31" s="70">
        <f t="shared" si="1"/>
        <v>48776.28125</v>
      </c>
      <c r="F31" s="398">
        <f>+PGETX!E39</f>
        <v>37125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163534.38999999998</v>
      </c>
      <c r="C32" s="401">
        <f t="shared" si="0"/>
        <v>56782.774305555555</v>
      </c>
      <c r="D32" s="14">
        <f>+PNM!D30</f>
        <v>21354</v>
      </c>
      <c r="E32" s="70">
        <f t="shared" si="1"/>
        <v>35428.774305555555</v>
      </c>
      <c r="F32" s="398">
        <f>+PNM!A23</f>
        <v>37123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74249.320000000007</v>
      </c>
      <c r="C33" s="401">
        <f t="shared" si="0"/>
        <v>25781.013888888891</v>
      </c>
      <c r="D33" s="14">
        <f>+EOG!D48</f>
        <v>-86358</v>
      </c>
      <c r="E33" s="70">
        <f t="shared" si="1"/>
        <v>112139.01388888889</v>
      </c>
      <c r="F33" s="397">
        <f>+EOG!A41</f>
        <v>37123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3224.36</v>
      </c>
      <c r="C34" s="401">
        <f t="shared" si="0"/>
        <v>1119.5694444444446</v>
      </c>
      <c r="D34" s="14">
        <f>+SidR!D48</f>
        <v>54445</v>
      </c>
      <c r="E34" s="70">
        <f t="shared" si="1"/>
        <v>-53325.430555555555</v>
      </c>
      <c r="F34" s="398">
        <f>+SidR!A41</f>
        <v>37126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-1811.3090277777778</v>
      </c>
      <c r="D35" s="14">
        <f>+Continental!D50</f>
        <v>-17302</v>
      </c>
      <c r="E35" s="70">
        <f t="shared" si="1"/>
        <v>15490.690972222223</v>
      </c>
      <c r="F35" s="398">
        <f>+Continental!A43</f>
        <v>37123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-117969.70000000001</v>
      </c>
      <c r="C36" s="402">
        <f>+B36/$J$5</f>
        <v>-39587.147651006715</v>
      </c>
      <c r="D36" s="14">
        <f>+EPFS!D47</f>
        <v>-28899</v>
      </c>
      <c r="E36" s="70">
        <f t="shared" si="1"/>
        <v>-10688.147651006715</v>
      </c>
      <c r="F36" s="397">
        <f>+EPFS!A41</f>
        <v>37125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-159048.03</v>
      </c>
      <c r="C37" s="403">
        <f>+B37/$J$4</f>
        <v>-55225.010416666672</v>
      </c>
      <c r="D37" s="379">
        <f>+Agave!D31</f>
        <v>-91212</v>
      </c>
      <c r="E37" s="72">
        <f t="shared" si="1"/>
        <v>35986.989583333328</v>
      </c>
      <c r="F37" s="397">
        <f>+Agave!A24</f>
        <v>37123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3343095.96</v>
      </c>
      <c r="C38" s="431">
        <f>SUBTOTAL(9,C24:C37)</f>
        <v>1162171.7620712158</v>
      </c>
      <c r="D38" s="432">
        <f>SUBTOTAL(9,D24:D37)</f>
        <v>422309</v>
      </c>
      <c r="E38" s="433">
        <f>SUBTOTAL(9,E24:E37)</f>
        <v>739862.76207121578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2058012.0100000005</v>
      </c>
      <c r="C40" s="431">
        <f>SUBTOTAL(9,C12:C37)</f>
        <v>716129.72156625905</v>
      </c>
      <c r="D40" s="432">
        <f>SUBTOTAL(9,D12:D37)</f>
        <v>175100</v>
      </c>
      <c r="E40" s="433">
        <f>SUBTOTAL(9,E12:E37)</f>
        <v>541029.72156625916</v>
      </c>
      <c r="F40" s="397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4"/>
      <c r="B41" s="375"/>
      <c r="C41" s="402"/>
      <c r="D41" s="208"/>
      <c r="E41" s="283"/>
      <c r="F41" s="397"/>
      <c r="G41" s="206"/>
      <c r="H41" s="32"/>
      <c r="I41" s="206"/>
      <c r="J41" s="32"/>
      <c r="K41" s="32"/>
      <c r="L41" s="32"/>
    </row>
    <row r="42" spans="1:12" ht="14.1" customHeight="1" x14ac:dyDescent="0.2">
      <c r="A42" s="428"/>
      <c r="B42" s="429"/>
      <c r="C42" s="430"/>
      <c r="D42" s="304"/>
      <c r="E42" s="304"/>
      <c r="F42" s="304"/>
    </row>
    <row r="43" spans="1:12" ht="12.95" customHeight="1" x14ac:dyDescent="0.2">
      <c r="A43" s="206"/>
      <c r="B43" s="375"/>
      <c r="C43" s="401"/>
      <c r="D43" s="401"/>
      <c r="E43" s="401"/>
      <c r="F43" s="382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145</v>
      </c>
      <c r="D47" s="7"/>
      <c r="I47" s="416" t="s">
        <v>81</v>
      </c>
      <c r="J47" s="419"/>
      <c r="K47" s="32"/>
    </row>
    <row r="48" spans="1:12" ht="13.5" customHeight="1" outlineLevel="2" x14ac:dyDescent="0.2">
      <c r="D48" s="7"/>
      <c r="I48" s="417" t="s">
        <v>30</v>
      </c>
      <c r="J48" s="420">
        <f>+J3</f>
        <v>2.69</v>
      </c>
      <c r="K48" s="440">
        <f ca="1">NOW()</f>
        <v>41885.69311724537</v>
      </c>
    </row>
    <row r="49" spans="1:19" ht="13.5" customHeight="1" outlineLevel="2" x14ac:dyDescent="0.2">
      <c r="A49" s="34" t="s">
        <v>152</v>
      </c>
      <c r="C49" s="34" t="s">
        <v>5</v>
      </c>
      <c r="D49" s="7"/>
      <c r="I49" s="418" t="s">
        <v>31</v>
      </c>
      <c r="J49" s="420">
        <f>+J4</f>
        <v>2.88</v>
      </c>
      <c r="K49" s="32"/>
    </row>
    <row r="50" spans="1:19" ht="13.5" customHeight="1" outlineLevel="1" x14ac:dyDescent="0.2">
      <c r="D50" s="7"/>
      <c r="I50" s="417" t="s">
        <v>120</v>
      </c>
      <c r="J50" s="420">
        <f>+J5</f>
        <v>2.98</v>
      </c>
      <c r="K50" s="32"/>
    </row>
    <row r="51" spans="1:19" ht="13.5" customHeight="1" outlineLevel="2" x14ac:dyDescent="0.2"/>
    <row r="52" spans="1:19" ht="13.5" customHeight="1" outlineLevel="2" x14ac:dyDescent="0.2">
      <c r="A52" s="438" t="s">
        <v>180</v>
      </c>
      <c r="B52" s="439"/>
    </row>
    <row r="53" spans="1:19" ht="13.5" customHeight="1" outlineLevel="2" x14ac:dyDescent="0.2">
      <c r="A53" s="32"/>
      <c r="C53" s="441" t="s">
        <v>166</v>
      </c>
      <c r="D53" s="12" t="s">
        <v>183</v>
      </c>
      <c r="E53" s="12" t="s">
        <v>185</v>
      </c>
      <c r="F53" s="2" t="s">
        <v>155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399" t="s">
        <v>92</v>
      </c>
      <c r="B54" s="437" t="s">
        <v>0</v>
      </c>
      <c r="C54" s="411" t="s">
        <v>182</v>
      </c>
      <c r="D54" s="39" t="s">
        <v>184</v>
      </c>
      <c r="E54" s="39" t="s">
        <v>186</v>
      </c>
      <c r="F54" s="39" t="s">
        <v>153</v>
      </c>
      <c r="G54" s="423" t="s">
        <v>159</v>
      </c>
      <c r="H54" s="400" t="s">
        <v>104</v>
      </c>
      <c r="I54" s="399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399" t="s">
        <v>169</v>
      </c>
      <c r="B56" s="296"/>
      <c r="C56" s="252"/>
    </row>
    <row r="57" spans="1:19" ht="13.5" customHeight="1" outlineLevel="2" x14ac:dyDescent="0.2">
      <c r="A57" s="32" t="s">
        <v>97</v>
      </c>
      <c r="B57" s="401">
        <f>+Mojave!D40</f>
        <v>147090</v>
      </c>
      <c r="C57" s="375">
        <f>+B57*$J$4</f>
        <v>423619.2</v>
      </c>
      <c r="D57" s="47">
        <f>+Mojave!D47</f>
        <v>114646.56</v>
      </c>
      <c r="E57" s="47">
        <f>+C57-D57</f>
        <v>308972.64</v>
      </c>
      <c r="F57" s="398">
        <f>+Mojave!A40</f>
        <v>37125</v>
      </c>
      <c r="H57" s="32" t="s">
        <v>103</v>
      </c>
      <c r="I57" s="32" t="s">
        <v>189</v>
      </c>
      <c r="J57" s="32"/>
      <c r="K57" s="32"/>
    </row>
    <row r="58" spans="1:19" ht="15" customHeight="1" outlineLevel="2" x14ac:dyDescent="0.2">
      <c r="A58" s="32" t="s">
        <v>33</v>
      </c>
      <c r="B58" s="402">
        <f>+SoCal!F40</f>
        <v>177575</v>
      </c>
      <c r="C58" s="375">
        <f>+B58*$J$4</f>
        <v>511416</v>
      </c>
      <c r="D58" s="47">
        <f>+SoCal!D47</f>
        <v>541936.14</v>
      </c>
      <c r="E58" s="47">
        <f>+C58-D58</f>
        <v>-30520.140000000014</v>
      </c>
      <c r="F58" s="398">
        <f>+SoCal!A40</f>
        <v>37125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3">
        <f>+'PG&amp;E'!D40</f>
        <v>27663</v>
      </c>
      <c r="C59" s="378">
        <f>+B59*$J$4</f>
        <v>79669.440000000002</v>
      </c>
      <c r="D59" s="378">
        <f>+'PG&amp;E'!D47</f>
        <v>-148125.94</v>
      </c>
      <c r="E59" s="378">
        <f>+C59-D59</f>
        <v>227795.38</v>
      </c>
      <c r="F59" s="398">
        <f>+'PG&amp;E'!A40</f>
        <v>37125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170</v>
      </c>
      <c r="B60" s="431">
        <f>SUBTOTAL(9,B57:B59)</f>
        <v>352328</v>
      </c>
      <c r="C60" s="421">
        <f>SUBTOTAL(9,C57:C59)</f>
        <v>1014704.6399999999</v>
      </c>
      <c r="D60" s="421">
        <f>SUBTOTAL(9,D57:D59)</f>
        <v>508456.75999999995</v>
      </c>
      <c r="E60" s="421">
        <f>SUBTOTAL(9,E57:E59)</f>
        <v>506247.88</v>
      </c>
      <c r="F60" s="398"/>
      <c r="G60" s="205"/>
      <c r="H60" s="32"/>
      <c r="I60" s="32"/>
      <c r="J60" s="32"/>
      <c r="K60" s="32"/>
    </row>
    <row r="61" spans="1:19" ht="12.95" customHeight="1" x14ac:dyDescent="0.2">
      <c r="B61" s="296"/>
      <c r="C61" s="252"/>
      <c r="G61" s="205"/>
    </row>
    <row r="62" spans="1:19" ht="15" customHeight="1" x14ac:dyDescent="0.2">
      <c r="A62" s="399" t="s">
        <v>59</v>
      </c>
      <c r="B62" s="296"/>
      <c r="C62" s="252"/>
      <c r="G62" s="205"/>
    </row>
    <row r="63" spans="1:19" x14ac:dyDescent="0.2">
      <c r="A63" s="206" t="s">
        <v>29</v>
      </c>
      <c r="B63" s="401">
        <f>+williams!J40</f>
        <v>293835</v>
      </c>
      <c r="C63" s="375">
        <f>+B63*$J$3</f>
        <v>790416.15</v>
      </c>
      <c r="D63" s="47">
        <f>+williams!D48</f>
        <v>1335064.8</v>
      </c>
      <c r="E63" s="47">
        <f>+C63-D63</f>
        <v>-544648.65</v>
      </c>
      <c r="F63" s="397">
        <f>+williams!A40</f>
        <v>37126</v>
      </c>
      <c r="G63" s="205" t="s">
        <v>161</v>
      </c>
      <c r="H63" s="206" t="s">
        <v>151</v>
      </c>
      <c r="I63" s="32" t="s">
        <v>192</v>
      </c>
      <c r="J63" s="32"/>
      <c r="K63" s="32"/>
    </row>
    <row r="64" spans="1:19" x14ac:dyDescent="0.2">
      <c r="A64" s="32" t="s">
        <v>24</v>
      </c>
      <c r="B64" s="401">
        <f>+'Red C'!F43</f>
        <v>138201</v>
      </c>
      <c r="C64" s="376">
        <f>+B64*J3</f>
        <v>371760.69</v>
      </c>
      <c r="D64" s="202">
        <f>+'Red C'!D52</f>
        <v>665804.4</v>
      </c>
      <c r="E64" s="47">
        <f>+C64-D64</f>
        <v>-294043.71000000002</v>
      </c>
      <c r="F64" s="397">
        <f>+'Red C'!B43</f>
        <v>37126</v>
      </c>
      <c r="G64" s="205" t="s">
        <v>161</v>
      </c>
      <c r="H64" s="32" t="s">
        <v>118</v>
      </c>
      <c r="I64" s="32" t="s">
        <v>190</v>
      </c>
      <c r="J64" s="32"/>
      <c r="K64" s="32"/>
    </row>
    <row r="65" spans="1:12" x14ac:dyDescent="0.2">
      <c r="A65" s="32" t="s">
        <v>6</v>
      </c>
      <c r="B65" s="401">
        <f>+Amoco!D40</f>
        <v>102520</v>
      </c>
      <c r="C65" s="375">
        <f>+B65*$J$3</f>
        <v>275778.8</v>
      </c>
      <c r="D65" s="47">
        <f>+Amoco!D47</f>
        <v>539895.06000000006</v>
      </c>
      <c r="E65" s="47">
        <f>+C65-D65</f>
        <v>-264116.26000000007</v>
      </c>
      <c r="F65" s="398">
        <f>+Amoco!A40</f>
        <v>37126</v>
      </c>
      <c r="G65" s="205" t="s">
        <v>161</v>
      </c>
      <c r="H65" s="32" t="s">
        <v>118</v>
      </c>
      <c r="I65" s="32" t="s">
        <v>191</v>
      </c>
      <c r="J65" s="32"/>
      <c r="K65" s="32"/>
    </row>
    <row r="66" spans="1:12" x14ac:dyDescent="0.2">
      <c r="A66" s="32" t="s">
        <v>34</v>
      </c>
      <c r="B66" s="401">
        <f>+'El Paso'!H39</f>
        <v>9936</v>
      </c>
      <c r="C66" s="375">
        <f>+'El Paso'!E39*summary!H3+'El Paso'!C39*summary!H4</f>
        <v>38917.48000000001</v>
      </c>
      <c r="D66" s="47">
        <f>+'El Paso'!F46</f>
        <v>-616634.85999999987</v>
      </c>
      <c r="E66" s="47">
        <f>+C66-D66</f>
        <v>655552.33999999985</v>
      </c>
      <c r="F66" s="398">
        <f>+'El Paso'!A39</f>
        <v>37125</v>
      </c>
      <c r="G66" s="478"/>
      <c r="H66" s="32" t="s">
        <v>103</v>
      </c>
      <c r="I66" s="32" t="s">
        <v>193</v>
      </c>
      <c r="J66" s="32"/>
      <c r="K66" s="32"/>
    </row>
    <row r="67" spans="1:12" x14ac:dyDescent="0.2">
      <c r="A67" s="32" t="s">
        <v>1</v>
      </c>
      <c r="B67" s="403">
        <f>+NW!$F$41</f>
        <v>76004</v>
      </c>
      <c r="C67" s="378">
        <f>+B67*$J$3</f>
        <v>204450.76</v>
      </c>
      <c r="D67" s="378">
        <f>+NW!E49</f>
        <v>-297066.58</v>
      </c>
      <c r="E67" s="378">
        <f>+C67-D67</f>
        <v>501517.34</v>
      </c>
      <c r="F67" s="397">
        <f>+NW!B41</f>
        <v>37125</v>
      </c>
      <c r="G67" s="205" t="s">
        <v>161</v>
      </c>
      <c r="H67" s="32" t="s">
        <v>118</v>
      </c>
      <c r="I67" s="32"/>
      <c r="J67" s="32"/>
      <c r="K67" s="32"/>
    </row>
    <row r="68" spans="1:12" x14ac:dyDescent="0.2">
      <c r="A68" s="32" t="s">
        <v>171</v>
      </c>
      <c r="B68" s="431">
        <f>SUBTOTAL(9,B63:B67)</f>
        <v>620496</v>
      </c>
      <c r="C68" s="421">
        <f>SUBTOTAL(9,C63:C67)</f>
        <v>1681323.8800000001</v>
      </c>
      <c r="D68" s="421">
        <f>SUBTOTAL(9,D63:D67)</f>
        <v>1627062.8200000003</v>
      </c>
      <c r="E68" s="421">
        <f>SUBTOTAL(9,E63:E67)</f>
        <v>54261.059999999765</v>
      </c>
      <c r="F68" s="397"/>
      <c r="G68" s="205"/>
      <c r="H68" s="32"/>
      <c r="I68" s="32"/>
      <c r="J68" s="32"/>
      <c r="K68" s="32"/>
    </row>
    <row r="69" spans="1:12" x14ac:dyDescent="0.2">
      <c r="B69" s="296"/>
      <c r="C69" s="252"/>
      <c r="G69" s="205"/>
    </row>
    <row r="70" spans="1:12" x14ac:dyDescent="0.2">
      <c r="A70" s="399" t="s">
        <v>173</v>
      </c>
      <c r="B70" s="296"/>
      <c r="C70" s="252"/>
      <c r="G70" s="205"/>
    </row>
    <row r="71" spans="1:12" x14ac:dyDescent="0.2">
      <c r="A71" s="32" t="s">
        <v>91</v>
      </c>
      <c r="B71" s="401">
        <f>+NGPL!F38</f>
        <v>137813</v>
      </c>
      <c r="C71" s="375">
        <f>+B71*$J$4</f>
        <v>396901.44</v>
      </c>
      <c r="D71" s="47">
        <f>+NGPL!D45</f>
        <v>349092.36</v>
      </c>
      <c r="E71" s="47">
        <f>+C71-D71</f>
        <v>47809.080000000016</v>
      </c>
      <c r="F71" s="398">
        <f>+NGPL!A38</f>
        <v>37125</v>
      </c>
      <c r="G71" s="205"/>
      <c r="H71" s="32" t="s">
        <v>118</v>
      </c>
      <c r="I71" s="32"/>
      <c r="J71" s="32"/>
      <c r="K71" s="32"/>
    </row>
    <row r="72" spans="1:12" x14ac:dyDescent="0.2">
      <c r="A72" s="32" t="s">
        <v>148</v>
      </c>
      <c r="B72" s="401">
        <f>+PEPL!D41</f>
        <v>64490</v>
      </c>
      <c r="C72" s="376">
        <f>+B72*$J$4</f>
        <v>185731.19999999998</v>
      </c>
      <c r="D72" s="47">
        <f>+PEPL!D47</f>
        <v>307135.5</v>
      </c>
      <c r="E72" s="47">
        <f>+C72-D72</f>
        <v>-121404.30000000002</v>
      </c>
      <c r="F72" s="398">
        <f>+PEPL!A41</f>
        <v>37125</v>
      </c>
      <c r="H72" s="32" t="s">
        <v>103</v>
      </c>
      <c r="I72" s="32" t="s">
        <v>147</v>
      </c>
      <c r="J72" s="32"/>
      <c r="K72" s="32"/>
    </row>
    <row r="73" spans="1:12" x14ac:dyDescent="0.2">
      <c r="A73" s="32" t="s">
        <v>7</v>
      </c>
      <c r="B73" s="402">
        <f>+Oasis!D40</f>
        <v>42849</v>
      </c>
      <c r="C73" s="375">
        <f>+B73*$J$4</f>
        <v>123405.12</v>
      </c>
      <c r="D73" s="47">
        <f>+Oasis!D47</f>
        <v>-264884.75</v>
      </c>
      <c r="E73" s="47">
        <f>+C73-D73</f>
        <v>388289.87</v>
      </c>
      <c r="F73" s="398">
        <f>+Oasis!B40</f>
        <v>37125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5">
        <f>+Lonestar!F42</f>
        <v>62105</v>
      </c>
      <c r="C74" s="378">
        <f>+B74*$J$4</f>
        <v>178862.4</v>
      </c>
      <c r="D74" s="378">
        <f>+Lonestar!D49</f>
        <v>44237.67</v>
      </c>
      <c r="E74" s="378">
        <f>+C74-D74</f>
        <v>134624.72999999998</v>
      </c>
      <c r="F74" s="397">
        <f>+Lonestar!B42</f>
        <v>37123</v>
      </c>
      <c r="H74" s="32" t="s">
        <v>105</v>
      </c>
      <c r="I74" s="32"/>
      <c r="J74" s="32"/>
      <c r="K74" s="32"/>
    </row>
    <row r="75" spans="1:12" x14ac:dyDescent="0.2">
      <c r="A75" s="2" t="s">
        <v>174</v>
      </c>
      <c r="B75" s="422">
        <f>SUBTOTAL(9,B71:B74)</f>
        <v>307257</v>
      </c>
      <c r="C75" s="421">
        <f>SUBTOTAL(9,C71:C74)</f>
        <v>884900.16</v>
      </c>
      <c r="D75" s="421">
        <f>SUBTOTAL(9,D71:D74)</f>
        <v>435580.77999999997</v>
      </c>
      <c r="E75" s="421">
        <f>SUBTOTAL(9,E71:E74)</f>
        <v>449319.38</v>
      </c>
      <c r="F75" s="397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181</v>
      </c>
      <c r="B77" s="422">
        <f>SUBTOTAL(9,B57:B74)</f>
        <v>1280081</v>
      </c>
      <c r="C77" s="421">
        <f>SUBTOTAL(9,C57:C74)</f>
        <v>3580928.6799999997</v>
      </c>
      <c r="D77" s="421">
        <f>SUBTOTAL(9,D57:D74)</f>
        <v>2571100.36</v>
      </c>
      <c r="E77" s="421">
        <f>SUBTOTAL(9,E57:E74)</f>
        <v>1009828.3199999997</v>
      </c>
      <c r="F77" s="397"/>
      <c r="H77" s="32"/>
      <c r="I77" s="32"/>
      <c r="J77" s="32"/>
      <c r="K77" s="32"/>
    </row>
    <row r="78" spans="1:12" x14ac:dyDescent="0.2">
      <c r="A78" s="32"/>
      <c r="B78" s="375"/>
      <c r="C78" s="402"/>
      <c r="D78" s="375"/>
      <c r="E78" s="375"/>
      <c r="F78" s="397"/>
      <c r="H78" s="32"/>
      <c r="I78" s="32"/>
      <c r="J78" s="32"/>
      <c r="K78" s="32"/>
    </row>
    <row r="79" spans="1:12" x14ac:dyDescent="0.2">
      <c r="A79" s="32"/>
      <c r="B79" s="378"/>
      <c r="C79" s="401"/>
      <c r="D79" s="304"/>
      <c r="E79" s="304"/>
      <c r="F79" s="397"/>
      <c r="G79" s="32"/>
      <c r="I79" s="32"/>
      <c r="J79" s="32"/>
      <c r="K79" s="32"/>
      <c r="L79" s="32"/>
    </row>
    <row r="80" spans="1:12" ht="13.5" thickBot="1" x14ac:dyDescent="0.25">
      <c r="A80" s="2" t="s">
        <v>187</v>
      </c>
      <c r="B80" s="434">
        <f>+C77+B40</f>
        <v>5638940.6900000004</v>
      </c>
      <c r="C80" s="208"/>
      <c r="D80" s="375"/>
      <c r="E80" s="375"/>
      <c r="F80" s="382"/>
      <c r="H80" s="32"/>
      <c r="I80" s="32"/>
      <c r="J80" s="32"/>
      <c r="K80" s="32"/>
    </row>
    <row r="81" spans="1:10" ht="13.5" thickTop="1" x14ac:dyDescent="0.2">
      <c r="A81" s="2" t="s">
        <v>188</v>
      </c>
      <c r="B81" s="14">
        <f>+B77+C40</f>
        <v>1996210.7215662589</v>
      </c>
      <c r="C81" s="404"/>
      <c r="D81" s="304"/>
      <c r="E81" s="304"/>
      <c r="F81" s="382"/>
      <c r="G81" s="32"/>
      <c r="H81" s="32"/>
      <c r="I81" s="32"/>
      <c r="J81" s="32"/>
    </row>
    <row r="82" spans="1:10" x14ac:dyDescent="0.2">
      <c r="A82" s="32"/>
      <c r="B82" s="47"/>
      <c r="C82" s="406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5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2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>
        <v>12904</v>
      </c>
      <c r="E30" s="150">
        <v>12532</v>
      </c>
      <c r="F30" s="11">
        <f t="shared" si="5"/>
        <v>-372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3061321</v>
      </c>
      <c r="C39" s="150">
        <f>SUM(C8:C38)</f>
        <v>3051670</v>
      </c>
      <c r="D39" s="150">
        <f>SUM(D8:D38)</f>
        <v>279497</v>
      </c>
      <c r="E39" s="150">
        <f>SUM(E8:E38)</f>
        <v>280216</v>
      </c>
      <c r="F39" s="11">
        <f t="shared" si="5"/>
        <v>-8932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9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37126</v>
      </c>
      <c r="C43" s="142"/>
      <c r="D43" s="142"/>
      <c r="E43" s="142"/>
      <c r="F43" s="150">
        <f>+F42+F39</f>
        <v>138201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3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37126</v>
      </c>
      <c r="B51" s="32"/>
      <c r="C51" s="32"/>
      <c r="D51" s="408">
        <f>+F39*'by type'!J3</f>
        <v>-24027.079999999998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665804.4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31" workbookViewId="3">
      <selection activeCell="C53" sqref="C5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-1246928</v>
      </c>
      <c r="C36" s="24">
        <f>SUM(C5:C35)</f>
        <v>-1239058</v>
      </c>
      <c r="D36" s="24">
        <f t="shared" si="0"/>
        <v>7870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2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37125</v>
      </c>
      <c r="C40" s="24"/>
      <c r="D40" s="195">
        <f>+D36+D38</f>
        <v>42849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3">
        <v>-287550.34999999998</v>
      </c>
    </row>
    <row r="46" spans="1:65" x14ac:dyDescent="0.2">
      <c r="A46" s="49">
        <f>+B40</f>
        <v>37125</v>
      </c>
      <c r="B46" s="32"/>
      <c r="C46" s="32"/>
      <c r="D46" s="408">
        <f>+D36*'by type'!J4</f>
        <v>22665.599999999999</v>
      </c>
    </row>
    <row r="47" spans="1:65" x14ac:dyDescent="0.2">
      <c r="A47" s="32"/>
      <c r="B47" s="32"/>
      <c r="C47" s="32"/>
      <c r="D47" s="202">
        <f>+D46+D45</f>
        <v>-264884.75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6" sqref="B16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668837</v>
      </c>
      <c r="C5" s="90">
        <v>693216</v>
      </c>
      <c r="D5" s="90">
        <f>+C5-B5</f>
        <v>24379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638438</v>
      </c>
      <c r="C7" s="90">
        <v>624149</v>
      </c>
      <c r="D7" s="90">
        <f t="shared" si="0"/>
        <v>-14289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865941</v>
      </c>
      <c r="C8" s="90">
        <v>907355</v>
      </c>
      <c r="D8" s="90">
        <f t="shared" si="0"/>
        <v>41414</v>
      </c>
      <c r="E8" s="285"/>
      <c r="F8" s="283"/>
    </row>
    <row r="9" spans="1:13" x14ac:dyDescent="0.2">
      <c r="A9" s="87">
        <v>500293</v>
      </c>
      <c r="B9" s="90">
        <v>291642</v>
      </c>
      <c r="C9" s="90">
        <v>403802</v>
      </c>
      <c r="D9" s="90">
        <f t="shared" si="0"/>
        <v>112160</v>
      </c>
      <c r="E9" s="285"/>
      <c r="F9" s="283"/>
    </row>
    <row r="10" spans="1:13" x14ac:dyDescent="0.2">
      <c r="A10" s="87">
        <v>500302</v>
      </c>
      <c r="B10" s="319"/>
      <c r="C10" s="319">
        <v>7520</v>
      </c>
      <c r="D10" s="90">
        <f t="shared" si="0"/>
        <v>7520</v>
      </c>
      <c r="E10" s="285"/>
      <c r="F10" s="283"/>
    </row>
    <row r="11" spans="1:13" x14ac:dyDescent="0.2">
      <c r="A11" s="87">
        <v>500303</v>
      </c>
      <c r="B11" s="319">
        <v>178952</v>
      </c>
      <c r="C11" s="90">
        <v>223036</v>
      </c>
      <c r="D11" s="90">
        <f t="shared" si="0"/>
        <v>44084</v>
      </c>
      <c r="E11" s="285"/>
      <c r="F11" s="283"/>
    </row>
    <row r="12" spans="1:13" x14ac:dyDescent="0.2">
      <c r="A12" s="91">
        <v>500305</v>
      </c>
      <c r="B12" s="319">
        <v>678495</v>
      </c>
      <c r="C12" s="90">
        <v>887358</v>
      </c>
      <c r="D12" s="90">
        <f t="shared" si="0"/>
        <v>208863</v>
      </c>
      <c r="E12" s="286"/>
      <c r="F12" s="283"/>
    </row>
    <row r="13" spans="1:13" x14ac:dyDescent="0.2">
      <c r="A13" s="87">
        <v>500307</v>
      </c>
      <c r="B13" s="319">
        <v>81127</v>
      </c>
      <c r="C13" s="90">
        <v>89314</v>
      </c>
      <c r="D13" s="90">
        <f t="shared" si="0"/>
        <v>8187</v>
      </c>
      <c r="E13" s="285"/>
      <c r="F13" s="283"/>
    </row>
    <row r="14" spans="1:13" x14ac:dyDescent="0.2">
      <c r="A14" s="87">
        <v>500313</v>
      </c>
      <c r="B14" s="90"/>
      <c r="C14" s="319">
        <v>1991</v>
      </c>
      <c r="D14" s="90">
        <f t="shared" si="0"/>
        <v>1991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454450</v>
      </c>
      <c r="C16" s="90"/>
      <c r="D16" s="90">
        <f t="shared" si="0"/>
        <v>-454450</v>
      </c>
      <c r="E16" s="285"/>
      <c r="F16" s="283"/>
    </row>
    <row r="17" spans="1:6" x14ac:dyDescent="0.2">
      <c r="A17" s="87">
        <v>500657</v>
      </c>
      <c r="B17" s="335">
        <v>99274</v>
      </c>
      <c r="C17" s="88">
        <v>109949</v>
      </c>
      <c r="D17" s="94">
        <f t="shared" si="0"/>
        <v>10675</v>
      </c>
      <c r="E17" s="285"/>
      <c r="F17" s="283"/>
    </row>
    <row r="18" spans="1:6" x14ac:dyDescent="0.2">
      <c r="A18" s="87"/>
      <c r="B18" s="88"/>
      <c r="C18" s="88"/>
      <c r="D18" s="88">
        <f>SUM(D5:D17)</f>
        <v>-9466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2.88</v>
      </c>
      <c r="E19" s="287"/>
      <c r="F19" s="283"/>
    </row>
    <row r="20" spans="1:6" x14ac:dyDescent="0.2">
      <c r="A20" s="87"/>
      <c r="B20" s="88"/>
      <c r="C20" s="88"/>
      <c r="D20" s="96">
        <f>+D19*D18</f>
        <v>-27262.079999999998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5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37123</v>
      </c>
      <c r="B24" s="88"/>
      <c r="C24" s="88"/>
      <c r="D24" s="334">
        <f>+D22+D20</f>
        <v>-159048.03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37123</v>
      </c>
      <c r="B30" s="32"/>
      <c r="C30" s="32"/>
      <c r="D30" s="379">
        <f>+D18</f>
        <v>-9466</v>
      </c>
    </row>
    <row r="31" spans="1:6" x14ac:dyDescent="0.2">
      <c r="A31" s="32"/>
      <c r="B31" s="32"/>
      <c r="C31" s="32"/>
      <c r="D31" s="14">
        <f>+D30+D29</f>
        <v>-91212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26" sqref="E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4" t="s">
        <v>40</v>
      </c>
      <c r="I3" s="4" t="s">
        <v>20</v>
      </c>
      <c r="J3" s="4" t="s">
        <v>21</v>
      </c>
      <c r="K3" s="46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4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4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4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4"/>
      <c r="I12" s="24"/>
      <c r="J12" s="24"/>
      <c r="K12" s="110"/>
      <c r="L12" s="466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6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763596</v>
      </c>
      <c r="C35" s="11">
        <f>SUM(C4:C34)</f>
        <v>728027</v>
      </c>
      <c r="D35" s="11">
        <f>SUM(D4:D34)</f>
        <v>663202</v>
      </c>
      <c r="E35" s="11">
        <f>SUM(E4:E34)</f>
        <v>684485</v>
      </c>
      <c r="F35" s="11">
        <f>+E35-D35+C35-B35</f>
        <v>-14286</v>
      </c>
    </row>
    <row r="36" spans="1:7" x14ac:dyDescent="0.2">
      <c r="A36" s="45"/>
      <c r="C36" s="14">
        <f>+C35-B35</f>
        <v>-35569</v>
      </c>
      <c r="D36" s="14"/>
      <c r="E36" s="14">
        <f>+E35-D35</f>
        <v>21283</v>
      </c>
      <c r="F36" s="47"/>
    </row>
    <row r="37" spans="1:7" x14ac:dyDescent="0.2">
      <c r="C37" s="15">
        <f>+summary!H4</f>
        <v>2.88</v>
      </c>
      <c r="D37" s="15"/>
      <c r="E37" s="15">
        <f>+C37</f>
        <v>2.88</v>
      </c>
      <c r="F37" s="24"/>
    </row>
    <row r="38" spans="1:7" x14ac:dyDescent="0.2">
      <c r="C38" s="48">
        <f>+C37*C36</f>
        <v>-102438.72</v>
      </c>
      <c r="D38" s="47"/>
      <c r="E38" s="48">
        <f>+E37*E36</f>
        <v>61295.040000000001</v>
      </c>
      <c r="F38" s="46">
        <f>+E38+C38</f>
        <v>-41143.68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4">
        <v>612678.27</v>
      </c>
      <c r="D40" s="111"/>
      <c r="E40" s="454">
        <v>0</v>
      </c>
      <c r="F40" s="352">
        <f>+E40+C40</f>
        <v>612678.27</v>
      </c>
      <c r="G40" s="25"/>
    </row>
    <row r="41" spans="1:7" x14ac:dyDescent="0.2">
      <c r="A41" s="57">
        <v>37125</v>
      </c>
      <c r="C41" s="106">
        <f>+C40+C38</f>
        <v>510239.55000000005</v>
      </c>
      <c r="D41" s="106"/>
      <c r="E41" s="106">
        <f>+E40+E38</f>
        <v>61295.040000000001</v>
      </c>
      <c r="F41" s="106">
        <f>+E41+C41</f>
        <v>571534.59000000008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37125</v>
      </c>
      <c r="D47" s="379">
        <f>+F35</f>
        <v>-14286</v>
      </c>
      <c r="E47" s="11"/>
      <c r="F47" s="11"/>
      <c r="G47" s="25"/>
    </row>
    <row r="48" spans="1:7" x14ac:dyDescent="0.2">
      <c r="D48" s="14">
        <f>+D47+D46</f>
        <v>80845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8" workbookViewId="3">
      <selection activeCell="E16" sqref="E1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4190168</v>
      </c>
      <c r="C36" s="11">
        <f>SUM(C5:C35)</f>
        <v>4548070</v>
      </c>
      <c r="D36" s="11">
        <f>SUM(D5:D35)</f>
        <v>0</v>
      </c>
      <c r="E36" s="11">
        <f>SUM(E5:E35)</f>
        <v>-287008</v>
      </c>
      <c r="F36" s="11">
        <f>SUM(F5:F35)</f>
        <v>70894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4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37125</v>
      </c>
      <c r="F41" s="353">
        <f>+F39+F36</f>
        <v>76004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3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37125</v>
      </c>
      <c r="C48" s="32"/>
      <c r="D48" s="32"/>
      <c r="E48" s="408">
        <f>+F36*'by type'!J3</f>
        <v>190704.86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-297066.58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6" workbookViewId="3">
      <selection activeCell="A58" sqref="A5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2064970</v>
      </c>
      <c r="C39" s="11">
        <f>SUM(C8:C38)</f>
        <v>2062362</v>
      </c>
      <c r="D39" s="11">
        <f>SUM(D8:D38)</f>
        <v>-2608</v>
      </c>
      <c r="E39" s="10"/>
      <c r="F39" s="11"/>
      <c r="G39" s="11"/>
      <c r="H39" s="11"/>
    </row>
    <row r="40" spans="1:8" x14ac:dyDescent="0.2">
      <c r="A40" s="26"/>
      <c r="D40" s="75">
        <f>+summary!H4</f>
        <v>2.88</v>
      </c>
      <c r="E40" s="26"/>
      <c r="H40" s="75"/>
    </row>
    <row r="41" spans="1:8" x14ac:dyDescent="0.2">
      <c r="D41" s="197">
        <f>+D40*D39</f>
        <v>-7511.04</v>
      </c>
      <c r="F41" s="252"/>
      <c r="H41" s="197"/>
    </row>
    <row r="42" spans="1:8" x14ac:dyDescent="0.2">
      <c r="A42" s="57">
        <v>37103</v>
      </c>
      <c r="D42" s="459">
        <v>21602.9</v>
      </c>
      <c r="E42" s="57"/>
      <c r="H42" s="197"/>
    </row>
    <row r="43" spans="1:8" x14ac:dyDescent="0.2">
      <c r="A43" s="57">
        <v>37126</v>
      </c>
      <c r="D43" s="198">
        <f>+D42+D41</f>
        <v>14091.86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37126</v>
      </c>
      <c r="B49" s="32"/>
      <c r="C49" s="32"/>
      <c r="D49" s="379">
        <f>+D39</f>
        <v>-2608</v>
      </c>
    </row>
    <row r="50" spans="1:4" x14ac:dyDescent="0.2">
      <c r="A50" s="32"/>
      <c r="B50" s="32"/>
      <c r="C50" s="32"/>
      <c r="D50" s="14">
        <f>+D49+D48</f>
        <v>-46083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7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37125</v>
      </c>
      <c r="J7" s="32"/>
    </row>
    <row r="8" spans="1:10" x14ac:dyDescent="0.2">
      <c r="A8" s="253">
        <v>60874</v>
      </c>
      <c r="B8" s="361">
        <v>3689</v>
      </c>
      <c r="J8" s="32"/>
    </row>
    <row r="9" spans="1:10" x14ac:dyDescent="0.2">
      <c r="A9" s="253">
        <v>78169</v>
      </c>
      <c r="B9" s="361">
        <f>145339-123471</f>
        <v>21868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13200-11740</f>
        <v>1460</v>
      </c>
      <c r="J12" s="32"/>
    </row>
    <row r="13" spans="1:10" x14ac:dyDescent="0.2">
      <c r="A13" s="253">
        <v>500254</v>
      </c>
      <c r="B13" s="332">
        <f>1980-2808</f>
        <v>-828</v>
      </c>
      <c r="J13" s="32"/>
    </row>
    <row r="14" spans="1:10" x14ac:dyDescent="0.2">
      <c r="A14" s="32">
        <v>500255</v>
      </c>
      <c r="B14" s="332">
        <f>12100-13198</f>
        <v>-1098</v>
      </c>
      <c r="E14" s="32">
        <v>4840.7299999999996</v>
      </c>
      <c r="J14" s="32"/>
    </row>
    <row r="15" spans="1:10" x14ac:dyDescent="0.2">
      <c r="A15" s="32">
        <v>500262</v>
      </c>
      <c r="B15" s="332">
        <f>8800-5417</f>
        <v>3383</v>
      </c>
      <c r="E15" s="32">
        <v>67.239999999999995</v>
      </c>
      <c r="J15" s="32"/>
    </row>
    <row r="16" spans="1:10" x14ac:dyDescent="0.2">
      <c r="A16" s="290">
        <v>500267</v>
      </c>
      <c r="B16" s="362">
        <f>1307464-1279841</f>
        <v>27623</v>
      </c>
      <c r="E16" s="32">
        <f>+E14-E15</f>
        <v>4773.49</v>
      </c>
      <c r="J16" s="32"/>
    </row>
    <row r="17" spans="1:10" x14ac:dyDescent="0.2">
      <c r="B17" s="14">
        <f>SUM(B8:B16)</f>
        <v>54510</v>
      </c>
      <c r="J17" s="32"/>
    </row>
    <row r="18" spans="1:10" x14ac:dyDescent="0.2">
      <c r="B18" s="15">
        <f>+B31</f>
        <v>2.88</v>
      </c>
      <c r="C18" s="201">
        <f>+B18*B17</f>
        <v>156988.79999999999</v>
      </c>
      <c r="G18" s="32"/>
      <c r="H18" s="413"/>
      <c r="I18" s="14"/>
      <c r="J18" s="32"/>
    </row>
    <row r="19" spans="1:10" x14ac:dyDescent="0.2">
      <c r="C19" s="339">
        <f>+C18+C5</f>
        <v>1319774.8400000001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7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37125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2.88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37125</v>
      </c>
      <c r="F38" s="379">
        <f>+B17</f>
        <v>54510</v>
      </c>
      <c r="G38" s="379">
        <f>+B30</f>
        <v>0</v>
      </c>
      <c r="H38" s="379">
        <f>+B45</f>
        <v>6917</v>
      </c>
      <c r="I38" s="14"/>
    </row>
    <row r="39" spans="1:9" x14ac:dyDescent="0.2">
      <c r="A39" s="49">
        <v>37103</v>
      </c>
      <c r="C39" s="457">
        <v>732710.21</v>
      </c>
      <c r="F39" s="14">
        <f>+F38+F37</f>
        <v>277536</v>
      </c>
      <c r="G39" s="14">
        <f>+G38+G37</f>
        <v>117857</v>
      </c>
      <c r="H39" s="14">
        <f>+H38+H37</f>
        <v>145727</v>
      </c>
      <c r="I39" s="14">
        <f>+H39+G39+F39</f>
        <v>541120</v>
      </c>
    </row>
    <row r="40" spans="1:9" x14ac:dyDescent="0.2">
      <c r="G40" s="32"/>
      <c r="H40" s="15"/>
      <c r="I40" s="32"/>
    </row>
    <row r="41" spans="1:9" x14ac:dyDescent="0.2">
      <c r="A41" s="249">
        <v>37125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5676</v>
      </c>
      <c r="G43" s="32"/>
      <c r="H43" s="414"/>
      <c r="I43" s="14"/>
    </row>
    <row r="44" spans="1:9" x14ac:dyDescent="0.2">
      <c r="A44" s="32">
        <v>500392</v>
      </c>
      <c r="B44" s="257">
        <v>1241</v>
      </c>
      <c r="G44" s="32"/>
      <c r="H44" s="414"/>
      <c r="I44" s="14"/>
    </row>
    <row r="45" spans="1:9" x14ac:dyDescent="0.2">
      <c r="B45" s="14">
        <f>SUM(B42:B44)</f>
        <v>6917</v>
      </c>
      <c r="G45" s="32"/>
      <c r="H45" s="414"/>
      <c r="I45" s="14"/>
    </row>
    <row r="46" spans="1:9" x14ac:dyDescent="0.2">
      <c r="B46" s="201">
        <f>+B31</f>
        <v>2.88</v>
      </c>
      <c r="C46" s="201">
        <f>+B46*B45</f>
        <v>19920.96</v>
      </c>
      <c r="H46" s="414"/>
      <c r="I46" s="14"/>
    </row>
    <row r="47" spans="1:9" x14ac:dyDescent="0.2">
      <c r="C47" s="339">
        <f>+C46+C39</f>
        <v>752631.16999999993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6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80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9"/>
    </row>
    <row r="56" spans="1:9" x14ac:dyDescent="0.2">
      <c r="C56" s="331">
        <f>+C53+C52+C47+C32+C19</f>
        <v>2444781.2400000002</v>
      </c>
      <c r="I56" s="14">
        <f>SUM(I39:I53)</f>
        <v>596455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D35" workbookViewId="3">
      <selection activeCell="E48" sqref="E48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489272</v>
      </c>
      <c r="E35" s="11">
        <f>SUM(E4:E34)</f>
        <v>533057</v>
      </c>
      <c r="F35" s="11">
        <f>SUM(F4:F34)</f>
        <v>43751</v>
      </c>
      <c r="G35" s="11"/>
      <c r="H35" s="49">
        <f>+A40</f>
        <v>37125</v>
      </c>
      <c r="I35" s="379">
        <f>+C36</f>
        <v>-34</v>
      </c>
      <c r="J35" s="379">
        <f>+E36</f>
        <v>43785</v>
      </c>
      <c r="K35" s="208"/>
      <c r="L35" s="14"/>
    </row>
    <row r="36" spans="1:13" x14ac:dyDescent="0.2">
      <c r="C36" s="25">
        <f>+C35-B35</f>
        <v>-34</v>
      </c>
      <c r="E36" s="25">
        <f>+E35-D35</f>
        <v>43785</v>
      </c>
      <c r="F36" s="25">
        <f>+E36+C36</f>
        <v>43751</v>
      </c>
      <c r="H36" s="32"/>
      <c r="I36" s="14">
        <f>+I35+I34</f>
        <v>-178519</v>
      </c>
      <c r="J36" s="14">
        <f>+J35+J34</f>
        <v>-36747</v>
      </c>
      <c r="K36" s="14">
        <f>+J36+I36</f>
        <v>-215266</v>
      </c>
      <c r="L36" s="14"/>
    </row>
    <row r="37" spans="1:13" x14ac:dyDescent="0.2">
      <c r="C37" s="329">
        <f>+summary!H5</f>
        <v>2.98</v>
      </c>
      <c r="E37" s="104">
        <f>+C37</f>
        <v>2.98</v>
      </c>
      <c r="F37" s="138">
        <f>+F36*E37</f>
        <v>130377.98</v>
      </c>
    </row>
    <row r="38" spans="1:13" x14ac:dyDescent="0.2">
      <c r="C38" s="138">
        <f>+C37*C36</f>
        <v>-101.32</v>
      </c>
      <c r="E38" s="136">
        <f>+E37*E36</f>
        <v>130479.3</v>
      </c>
      <c r="F38" s="138">
        <f>+E38+C38</f>
        <v>130377.98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52">
        <v>-496043.34</v>
      </c>
      <c r="F39" s="337">
        <f>+E39+C39</f>
        <v>-1519209.34</v>
      </c>
    </row>
    <row r="40" spans="1:13" x14ac:dyDescent="0.2">
      <c r="A40" s="57">
        <v>37125</v>
      </c>
      <c r="B40" s="2" t="s">
        <v>46</v>
      </c>
      <c r="C40" s="330">
        <f>+C39+C38</f>
        <v>-1023267.32</v>
      </c>
      <c r="D40" s="259"/>
      <c r="E40" s="330">
        <f>+E39+E38</f>
        <v>-365564.04000000004</v>
      </c>
      <c r="F40" s="330">
        <f>+E40+C40</f>
        <v>-1388831.3599999999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7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8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-2155604.13</v>
      </c>
      <c r="G49" s="250"/>
      <c r="K49" s="14">
        <f>SUM(K36:K48)</f>
        <v>-156455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2444781.2400000002</v>
      </c>
      <c r="M51" s="14">
        <f>+Duke!I56</f>
        <v>596455</v>
      </c>
    </row>
    <row r="53" spans="3:13" x14ac:dyDescent="0.2">
      <c r="F53" s="104">
        <f>+F51+F49</f>
        <v>289177.11000000034</v>
      </c>
      <c r="M53" s="16">
        <f>+M51+K49</f>
        <v>440000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F30" sqref="F30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149977</v>
      </c>
      <c r="C39" s="11">
        <f t="shared" si="1"/>
        <v>136664</v>
      </c>
      <c r="D39" s="11">
        <f t="shared" si="1"/>
        <v>0</v>
      </c>
      <c r="E39" s="11">
        <f t="shared" si="1"/>
        <v>0</v>
      </c>
      <c r="F39" s="11">
        <f t="shared" si="1"/>
        <v>23403</v>
      </c>
      <c r="G39" s="11">
        <f t="shared" si="1"/>
        <v>25300</v>
      </c>
      <c r="H39" s="11">
        <f t="shared" si="1"/>
        <v>31163</v>
      </c>
      <c r="I39" s="11">
        <f t="shared" si="1"/>
        <v>28226</v>
      </c>
      <c r="J39" s="25">
        <f t="shared" si="1"/>
        <v>-14353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-41336.639999999999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37125</v>
      </c>
      <c r="C43" s="48"/>
      <c r="J43" s="138">
        <f>+J42+J41</f>
        <v>331505.24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37125</v>
      </c>
      <c r="B48" s="32"/>
      <c r="C48" s="32"/>
      <c r="D48" s="379">
        <f>+J39</f>
        <v>-14353</v>
      </c>
      <c r="L48"/>
    </row>
    <row r="49" spans="1:12" x14ac:dyDescent="0.2">
      <c r="A49" s="32"/>
      <c r="B49" s="32"/>
      <c r="C49" s="32"/>
      <c r="D49" s="14">
        <f>+D48+D47</f>
        <v>132052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0" sqref="D30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258809</v>
      </c>
      <c r="C39" s="11">
        <f>SUM(C8:C38)</f>
        <v>253016</v>
      </c>
      <c r="D39" s="11">
        <f>SUM(D8:D38)</f>
        <v>-572</v>
      </c>
      <c r="E39" s="11">
        <f>SUM(E8:E38)</f>
        <v>0</v>
      </c>
      <c r="F39" s="11">
        <f>SUM(F8:F38)</f>
        <v>-5221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-15036.48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3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37125</v>
      </c>
      <c r="C43" s="48"/>
      <c r="D43" s="48"/>
      <c r="E43" s="48"/>
      <c r="F43" s="110">
        <f>+F42+F41</f>
        <v>427140.04000000004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37125</v>
      </c>
      <c r="B48" s="32"/>
      <c r="C48" s="32"/>
      <c r="D48" s="379">
        <f>+F39</f>
        <v>-5221</v>
      </c>
      <c r="E48" s="11"/>
    </row>
    <row r="49" spans="1:5" x14ac:dyDescent="0.2">
      <c r="A49" s="32"/>
      <c r="B49" s="32"/>
      <c r="C49" s="32"/>
      <c r="D49" s="14">
        <f>+D48+D47</f>
        <v>-240999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topLeftCell="A29" workbookViewId="3">
      <selection activeCell="E1" sqref="E1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2.69</v>
      </c>
      <c r="I3" s="407">
        <f ca="1">NOW()</f>
        <v>41885.69311724537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2.88</v>
      </c>
    </row>
    <row r="5" spans="1:32" ht="15" customHeight="1" x14ac:dyDescent="0.2">
      <c r="B5" s="367"/>
      <c r="G5" s="299" t="s">
        <v>120</v>
      </c>
      <c r="H5" s="372">
        <f>+'[1]0701'!$H$39</f>
        <v>2.98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790416.15</v>
      </c>
      <c r="C8" s="285">
        <f>+williams!J40</f>
        <v>293835</v>
      </c>
      <c r="D8" s="397">
        <f>+williams!A40</f>
        <v>37126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571534.59000000008</v>
      </c>
      <c r="C9" s="285">
        <f t="shared" ref="C9:C16" si="0">+B9/$H$4</f>
        <v>198449.51041666672</v>
      </c>
      <c r="D9" s="397">
        <f>+Conoco!A41</f>
        <v>37125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4" t="s">
        <v>33</v>
      </c>
      <c r="B10" s="375">
        <f>+C10*$H$4</f>
        <v>511416</v>
      </c>
      <c r="C10" s="208">
        <f>+SoCal!F40</f>
        <v>177575</v>
      </c>
      <c r="D10" s="397">
        <f>+SoCal!A40</f>
        <v>37125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154</v>
      </c>
      <c r="B11" s="375">
        <f>+PGETX!$H$39</f>
        <v>478734.57</v>
      </c>
      <c r="C11" s="285">
        <f t="shared" si="0"/>
        <v>166227.28125</v>
      </c>
      <c r="D11" s="398">
        <f>+PGETX!E39</f>
        <v>37125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5">
        <f>+KN_Westar!F41</f>
        <v>457776.47</v>
      </c>
      <c r="C12" s="285">
        <f t="shared" si="0"/>
        <v>158950.16319444444</v>
      </c>
      <c r="D12" s="398">
        <f>+KN_Westar!A41</f>
        <v>37125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5">
        <f>+CIG!$D$43</f>
        <v>428914.36</v>
      </c>
      <c r="C13" s="285">
        <f t="shared" si="0"/>
        <v>148928.59722222222</v>
      </c>
      <c r="D13" s="398">
        <f>+CIG!A43</f>
        <v>37125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5">
        <f>+'Amoco Abo'!$F$43</f>
        <v>427140.04000000004</v>
      </c>
      <c r="C14" s="285">
        <f t="shared" si="0"/>
        <v>148312.51388888891</v>
      </c>
      <c r="D14" s="398">
        <f>+'Amoco Abo'!A43</f>
        <v>37125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97</v>
      </c>
      <c r="B15" s="375">
        <f>+C15*$H$4</f>
        <v>423619.2</v>
      </c>
      <c r="C15" s="285">
        <f>+Mojave!D40</f>
        <v>147090</v>
      </c>
      <c r="D15" s="398">
        <f>+Mojave!A40</f>
        <v>37125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74" t="s">
        <v>90</v>
      </c>
      <c r="B16" s="375">
        <f>+NNG!$D$24</f>
        <v>399539.81</v>
      </c>
      <c r="C16" s="285">
        <f t="shared" si="0"/>
        <v>138729.10069444444</v>
      </c>
      <c r="D16" s="397">
        <f>+NNG!A24</f>
        <v>37125</v>
      </c>
      <c r="E16" s="206" t="s">
        <v>88</v>
      </c>
      <c r="F16" s="206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91</v>
      </c>
      <c r="B17" s="375">
        <f>+C17*$H$4</f>
        <v>396901.44</v>
      </c>
      <c r="C17" s="285">
        <f>+NGPL!F38</f>
        <v>137813</v>
      </c>
      <c r="D17" s="398">
        <f>+NGPL!A38</f>
        <v>37125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24</v>
      </c>
      <c r="B18" s="461">
        <f>+C18*$H$3</f>
        <v>371760.69</v>
      </c>
      <c r="C18" s="377">
        <f>+'Red C'!F43</f>
        <v>138201</v>
      </c>
      <c r="D18" s="397">
        <f>+'Red C'!B43</f>
        <v>37126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</v>
      </c>
      <c r="B19" s="375">
        <f>+mewborne!$J$43</f>
        <v>331505.24</v>
      </c>
      <c r="C19" s="285">
        <f>+B19/$H$4</f>
        <v>115105.98611111111</v>
      </c>
      <c r="D19" s="398">
        <f>+mewborne!A43</f>
        <v>37125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289177.11000000034</v>
      </c>
      <c r="C20" s="208">
        <f>+B20/$H$4</f>
        <v>100408.71875000012</v>
      </c>
      <c r="D20" s="398">
        <f>+DEFS!A40</f>
        <v>37125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275778.8</v>
      </c>
      <c r="C21" s="285">
        <f>+Amoco!D40</f>
        <v>102520</v>
      </c>
      <c r="D21" s="398">
        <f>+Amoco!A40</f>
        <v>37126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</v>
      </c>
      <c r="B22" s="375">
        <f>+C22*$H$3</f>
        <v>204450.76</v>
      </c>
      <c r="C22" s="208">
        <f>+NW!$F$41</f>
        <v>76004</v>
      </c>
      <c r="D22" s="397">
        <f>+NW!B41</f>
        <v>37125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148</v>
      </c>
      <c r="B23" s="376">
        <f>+C23*$H$4</f>
        <v>185731.19999999998</v>
      </c>
      <c r="C23" s="377">
        <f>+PEPL!D41</f>
        <v>64490</v>
      </c>
      <c r="D23" s="398">
        <f>+PEPL!A41</f>
        <v>37125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32</v>
      </c>
      <c r="B24" s="375">
        <f>+C24*$H$4</f>
        <v>178862.4</v>
      </c>
      <c r="C24" s="285">
        <f>+Lonestar!F42</f>
        <v>62105</v>
      </c>
      <c r="D24" s="397">
        <f>+Lonestar!B42</f>
        <v>37123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163534.38999999998</v>
      </c>
      <c r="C25" s="285">
        <f>+B25/$H$4</f>
        <v>56782.774305555555</v>
      </c>
      <c r="D25" s="398">
        <f>+PNM!A23</f>
        <v>37123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374" t="s">
        <v>132</v>
      </c>
      <c r="B26" s="375">
        <f>+Calpine!D41</f>
        <v>124051.63999999998</v>
      </c>
      <c r="C26" s="208">
        <f>+B26/$H$4</f>
        <v>43073.486111111109</v>
      </c>
      <c r="D26" s="397">
        <f>+Calpine!A41</f>
        <v>37125</v>
      </c>
      <c r="E26" s="206" t="s">
        <v>88</v>
      </c>
      <c r="F26" s="206" t="s">
        <v>102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7</v>
      </c>
      <c r="B27" s="375">
        <f>+C27*$H$4</f>
        <v>123405.12</v>
      </c>
      <c r="C27" s="208">
        <f>+Oasis!D40</f>
        <v>42849</v>
      </c>
      <c r="D27" s="398">
        <f>+Oasis!B40</f>
        <v>37125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117</v>
      </c>
      <c r="B28" s="375">
        <f>+C28*$H$4</f>
        <v>79669.440000000002</v>
      </c>
      <c r="C28" s="208">
        <f>+'PG&amp;E'!D40</f>
        <v>27663</v>
      </c>
      <c r="D28" s="398">
        <f>+'PG&amp;E'!A40</f>
        <v>37125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106</v>
      </c>
      <c r="B29" s="375">
        <f>+EOG!J41</f>
        <v>74249.320000000007</v>
      </c>
      <c r="C29" s="285">
        <f>+B29/$H$4</f>
        <v>25781.013888888891</v>
      </c>
      <c r="D29" s="397">
        <f>+EOG!A41</f>
        <v>37123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253" t="s">
        <v>34</v>
      </c>
      <c r="B30" s="375">
        <f>+'El Paso'!C39*summary!H4+'El Paso'!E39*summary!H3</f>
        <v>38917.48000000001</v>
      </c>
      <c r="C30" s="285">
        <f>+'El Paso'!H39</f>
        <v>9936</v>
      </c>
      <c r="D30" s="398">
        <f>+'El Paso'!A39</f>
        <v>37125</v>
      </c>
      <c r="E30" s="32" t="s">
        <v>87</v>
      </c>
      <c r="F30" s="32" t="s">
        <v>103</v>
      </c>
      <c r="G30" s="32" t="s">
        <v>122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374" t="s">
        <v>74</v>
      </c>
      <c r="B31" s="376">
        <f>+transcol!$D$43</f>
        <v>14091.86</v>
      </c>
      <c r="C31" s="377">
        <f>+B31/$H$4</f>
        <v>4893.0069444444453</v>
      </c>
      <c r="D31" s="397">
        <f>+transcol!A43</f>
        <v>37126</v>
      </c>
      <c r="E31" s="206" t="s">
        <v>88</v>
      </c>
      <c r="F31" s="206" t="s">
        <v>118</v>
      </c>
      <c r="G31" s="304"/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374" t="s">
        <v>98</v>
      </c>
      <c r="B32" s="375">
        <f>+burlington!D42</f>
        <v>6836.4700000000012</v>
      </c>
      <c r="C32" s="285">
        <f>+B32/$H$3</f>
        <v>2541.4386617100376</v>
      </c>
      <c r="D32" s="397">
        <f>+burlington!A42</f>
        <v>37126</v>
      </c>
      <c r="E32" s="206" t="s">
        <v>88</v>
      </c>
      <c r="F32" s="32" t="s">
        <v>116</v>
      </c>
      <c r="G32" s="32" t="s">
        <v>150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253" t="s">
        <v>136</v>
      </c>
      <c r="B33" s="378">
        <f>+SidR!D41</f>
        <v>3224.36</v>
      </c>
      <c r="C33" s="71">
        <f>+B33/$H$4</f>
        <v>1119.5694444444446</v>
      </c>
      <c r="D33" s="398">
        <f>+SidR!A41</f>
        <v>37126</v>
      </c>
      <c r="E33" s="32" t="s">
        <v>88</v>
      </c>
      <c r="F33" s="32" t="s">
        <v>105</v>
      </c>
      <c r="G33" s="32" t="s">
        <v>168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7351238.9100000029</v>
      </c>
      <c r="C34" s="69">
        <f>SUM(C8:C33)</f>
        <v>2589384.1608839324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-796281.14</v>
      </c>
      <c r="C37" s="208">
        <f>+B37/$H$4</f>
        <v>-276486.50694444444</v>
      </c>
      <c r="D37" s="397">
        <f>+Citizens!A18</f>
        <v>37125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-434915.5</v>
      </c>
      <c r="C38" s="208">
        <f>+B38/$H$4</f>
        <v>-151012.32638888891</v>
      </c>
      <c r="D38" s="398">
        <f>+'NS Steel'!A41</f>
        <v>37125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-198867.28</v>
      </c>
      <c r="C39" s="285">
        <f>+B39/$H$4</f>
        <v>-69051.138888888891</v>
      </c>
      <c r="D39" s="397">
        <f>+'Citizens-Griffith'!A41</f>
        <v>37125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4" t="s">
        <v>82</v>
      </c>
      <c r="B40" s="375">
        <f>+Agave!$D$24</f>
        <v>-159048.03</v>
      </c>
      <c r="C40" s="208">
        <f>+B40/$H$4</f>
        <v>-55225.010416666672</v>
      </c>
      <c r="D40" s="397">
        <f>+Agave!A24</f>
        <v>37123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5">
        <f>+EPFS!D41</f>
        <v>-117969.70000000001</v>
      </c>
      <c r="C41" s="208">
        <f>+B41/$H$5</f>
        <v>-39587.147651006715</v>
      </c>
      <c r="D41" s="397">
        <f>+EPFS!A41</f>
        <v>37125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-1811.3090277777778</v>
      </c>
      <c r="D42" s="398">
        <f>+Continental!A43</f>
        <v>37123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-1712298.2200000002</v>
      </c>
      <c r="C43" s="208">
        <f>SUM(C37:C42)</f>
        <v>-593173.43931767333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5638940.6900000032</v>
      </c>
      <c r="C45" s="384">
        <f>+C43+C34</f>
        <v>1996210.7215662589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9" sqref="B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-600626</v>
      </c>
      <c r="C7" s="80">
        <v>-295084</v>
      </c>
      <c r="D7" s="80">
        <f t="shared" si="0"/>
        <v>305542</v>
      </c>
    </row>
    <row r="8" spans="1:8" x14ac:dyDescent="0.2">
      <c r="A8" s="32">
        <v>60667</v>
      </c>
      <c r="B8" s="323">
        <v>-427042</v>
      </c>
      <c r="C8" s="80"/>
      <c r="D8" s="80">
        <f t="shared" si="0"/>
        <v>427042</v>
      </c>
      <c r="H8" s="254"/>
    </row>
    <row r="9" spans="1:8" x14ac:dyDescent="0.2">
      <c r="A9" s="32">
        <v>60749</v>
      </c>
      <c r="B9" s="323">
        <v>948128</v>
      </c>
      <c r="C9" s="80">
        <v>82875</v>
      </c>
      <c r="D9" s="80">
        <f t="shared" si="0"/>
        <v>-865253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-105729</v>
      </c>
    </row>
    <row r="19" spans="1:5" x14ac:dyDescent="0.2">
      <c r="A19" s="32" t="s">
        <v>84</v>
      </c>
      <c r="B19" s="69"/>
      <c r="C19" s="69"/>
      <c r="D19" s="73">
        <f>+summary!H4</f>
        <v>2.88</v>
      </c>
    </row>
    <row r="20" spans="1:5" x14ac:dyDescent="0.2">
      <c r="B20" s="69"/>
      <c r="C20" s="69"/>
      <c r="D20" s="75">
        <f>+D19*D18</f>
        <v>-304499.51999999996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0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37125</v>
      </c>
      <c r="B24" s="69"/>
      <c r="C24" s="69"/>
      <c r="D24" s="351">
        <f>+D22+D20</f>
        <v>399539.81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37125</v>
      </c>
      <c r="D33" s="379">
        <f>+D18</f>
        <v>-105729</v>
      </c>
    </row>
    <row r="34" spans="1:4" x14ac:dyDescent="0.2">
      <c r="D34" s="14">
        <f>+D33+D32</f>
        <v>-25693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-42230</v>
      </c>
      <c r="C5" s="90">
        <v>-24184</v>
      </c>
      <c r="D5" s="90">
        <f t="shared" ref="D5:D13" si="0">+C5-B5</f>
        <v>18046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-2225733</v>
      </c>
      <c r="C7" s="90">
        <v>-2341738</v>
      </c>
      <c r="D7" s="90">
        <f t="shared" si="0"/>
        <v>-116005</v>
      </c>
      <c r="E7" s="285"/>
      <c r="F7" s="70"/>
    </row>
    <row r="8" spans="1:13" x14ac:dyDescent="0.2">
      <c r="A8" s="87">
        <v>58710</v>
      </c>
      <c r="B8" s="364">
        <v>-21848</v>
      </c>
      <c r="C8" s="90">
        <v>-880</v>
      </c>
      <c r="D8" s="90">
        <f t="shared" si="0"/>
        <v>20968</v>
      </c>
      <c r="E8" s="285"/>
      <c r="F8" s="70"/>
    </row>
    <row r="9" spans="1:13" x14ac:dyDescent="0.2">
      <c r="A9" s="87">
        <v>60921</v>
      </c>
      <c r="B9" s="319">
        <v>1940904</v>
      </c>
      <c r="C9" s="90">
        <v>1927353</v>
      </c>
      <c r="D9" s="90">
        <f t="shared" si="0"/>
        <v>-13551</v>
      </c>
      <c r="E9" s="285"/>
      <c r="F9" s="70"/>
    </row>
    <row r="10" spans="1:13" x14ac:dyDescent="0.2">
      <c r="A10" s="87">
        <v>78026</v>
      </c>
      <c r="B10" s="364"/>
      <c r="C10" s="90">
        <v>48100</v>
      </c>
      <c r="D10" s="90">
        <f t="shared" si="0"/>
        <v>48100</v>
      </c>
      <c r="E10" s="285"/>
      <c r="F10" s="283"/>
    </row>
    <row r="11" spans="1:13" x14ac:dyDescent="0.2">
      <c r="A11" s="87">
        <v>500084</v>
      </c>
      <c r="B11" s="364">
        <v>-16165</v>
      </c>
      <c r="C11" s="90">
        <v>-20000</v>
      </c>
      <c r="D11" s="90">
        <f t="shared" si="0"/>
        <v>-3835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-46266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2.88</v>
      </c>
      <c r="E18" s="287"/>
      <c r="F18" s="283"/>
    </row>
    <row r="19" spans="1:7" x14ac:dyDescent="0.2">
      <c r="A19" s="87"/>
      <c r="B19" s="88"/>
      <c r="C19" s="88"/>
      <c r="D19" s="96">
        <f>+D18*D17</f>
        <v>-133246.07999999999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5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37123</v>
      </c>
      <c r="B23" s="88"/>
      <c r="C23" s="88"/>
      <c r="D23" s="334">
        <f>+D21+D19</f>
        <v>163534.38999999998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-46266</v>
      </c>
    </row>
    <row r="30" spans="1:7" x14ac:dyDescent="0.2">
      <c r="A30" s="32"/>
      <c r="B30" s="32"/>
      <c r="C30" s="32"/>
      <c r="D30" s="14">
        <f>+D29+D28</f>
        <v>21354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48" sqref="C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977576</v>
      </c>
      <c r="C34" s="297">
        <f>SUM(C3:C33)</f>
        <v>963882</v>
      </c>
      <c r="D34" s="14">
        <f>SUM(D3:D33)</f>
        <v>-965</v>
      </c>
      <c r="E34" s="14">
        <f>SUM(E3:E33)</f>
        <v>0</v>
      </c>
      <c r="F34" s="14">
        <f>SUM(F3:F33)</f>
        <v>-12729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9">
        <f>120271+30271</f>
        <v>150542</v>
      </c>
    </row>
    <row r="38" spans="1:6" x14ac:dyDescent="0.2">
      <c r="A38" s="263">
        <v>37125</v>
      </c>
      <c r="B38" s="14"/>
      <c r="C38" s="14"/>
      <c r="D38" s="14"/>
      <c r="E38" s="14"/>
      <c r="F38" s="150">
        <f>+F37+F34</f>
        <v>137813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3">
        <f>201367.37+184384.51</f>
        <v>385751.88</v>
      </c>
      <c r="F43" s="304"/>
    </row>
    <row r="44" spans="1:6" x14ac:dyDescent="0.2">
      <c r="A44" s="49">
        <f>+A38</f>
        <v>37125</v>
      </c>
      <c r="B44" s="32"/>
      <c r="C44" s="32"/>
      <c r="D44" s="408">
        <f>+F34*'by type'!J4</f>
        <v>-36659.519999999997</v>
      </c>
      <c r="F44" s="304"/>
    </row>
    <row r="45" spans="1:6" x14ac:dyDescent="0.2">
      <c r="A45" s="32"/>
      <c r="B45" s="32"/>
      <c r="C45" s="32"/>
      <c r="D45" s="202">
        <f>+D44+D43</f>
        <v>349092.36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6" sqref="C2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-468501</v>
      </c>
      <c r="C35" s="11">
        <f>SUM(C4:C34)</f>
        <v>-457214</v>
      </c>
      <c r="D35" s="11">
        <f>SUM(D4:D34)</f>
        <v>11287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37125</v>
      </c>
      <c r="D40" s="51">
        <f>+D38+D35</f>
        <v>147090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37125</v>
      </c>
      <c r="B46" s="32"/>
      <c r="C46" s="32"/>
      <c r="D46" s="408">
        <f>+D35*'by type'!J4</f>
        <v>32506.559999999998</v>
      </c>
    </row>
    <row r="47" spans="1:4" x14ac:dyDescent="0.2">
      <c r="A47" s="32"/>
      <c r="B47" s="32"/>
      <c r="C47" s="32"/>
      <c r="D47" s="202">
        <f>+D46+D45</f>
        <v>114646.56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D24" sqref="D2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469735</v>
      </c>
      <c r="C35" s="11">
        <f t="shared" ref="C35:I35" si="1">SUM(C4:C34)</f>
        <v>464143</v>
      </c>
      <c r="D35" s="11">
        <f t="shared" si="1"/>
        <v>182629</v>
      </c>
      <c r="E35" s="11">
        <f t="shared" si="1"/>
        <v>161776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-26336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-75847.679999999993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2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37123</v>
      </c>
      <c r="J41" s="337">
        <f>+J39+J37</f>
        <v>74249.320000000007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37123</v>
      </c>
      <c r="B47" s="32"/>
      <c r="C47" s="32"/>
      <c r="D47" s="379">
        <f>+J35</f>
        <v>-26336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-86358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B39" sqref="B3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-59879</v>
      </c>
      <c r="C27" s="24">
        <v>-59332</v>
      </c>
      <c r="D27" s="24"/>
      <c r="E27" s="24"/>
      <c r="F27" s="24">
        <f t="shared" si="0"/>
        <v>547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-1724282</v>
      </c>
      <c r="C37" s="24">
        <f>SUM(C6:C36)</f>
        <v>-1728189</v>
      </c>
      <c r="D37" s="24">
        <f>SUM(D6:D36)</f>
        <v>-46652</v>
      </c>
      <c r="E37" s="24">
        <f>SUM(E6:E36)</f>
        <v>-46908</v>
      </c>
      <c r="F37" s="24">
        <f>SUM(F6:F36)</f>
        <v>-4163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-11989.439999999999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51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37125</v>
      </c>
      <c r="E41" s="14"/>
      <c r="F41" s="104">
        <f>+F40+F39</f>
        <v>457776.47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37125</v>
      </c>
      <c r="B47" s="32"/>
      <c r="C47" s="32"/>
      <c r="D47" s="379">
        <f>+F37</f>
        <v>-4163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24864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2.88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37123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37123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">
      <c r="A40" s="26"/>
      <c r="C40" s="14"/>
      <c r="D40" s="260">
        <f>+summary!H4</f>
        <v>2.88</v>
      </c>
    </row>
    <row r="41" spans="1:4" x14ac:dyDescent="0.2">
      <c r="D41" s="138">
        <f>+D40*D39</f>
        <v>102159.36</v>
      </c>
    </row>
    <row r="42" spans="1:4" x14ac:dyDescent="0.2">
      <c r="A42" s="57">
        <v>37103</v>
      </c>
      <c r="C42" s="15"/>
      <c r="D42" s="368">
        <v>326755</v>
      </c>
    </row>
    <row r="43" spans="1:4" x14ac:dyDescent="0.2">
      <c r="A43" s="57">
        <v>37125</v>
      </c>
      <c r="C43" s="48"/>
      <c r="D43" s="138">
        <f>+D42+D41</f>
        <v>428914.36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37125</v>
      </c>
      <c r="B48" s="32"/>
      <c r="C48" s="32"/>
      <c r="D48" s="379">
        <f>+D39</f>
        <v>35472</v>
      </c>
    </row>
    <row r="49" spans="1:4" x14ac:dyDescent="0.2">
      <c r="A49" s="32"/>
      <c r="B49" s="32"/>
      <c r="C49" s="32"/>
      <c r="D49" s="14">
        <f>+D48+D47</f>
        <v>41761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3" workbookViewId="3">
      <selection activeCell="C28" sqref="C2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-1494318</v>
      </c>
      <c r="C37" s="11">
        <f>SUM(C6:C36)</f>
        <v>-1458792</v>
      </c>
      <c r="D37" s="25">
        <f>SUM(D6:D36)</f>
        <v>35526</v>
      </c>
    </row>
    <row r="38" spans="1:4" x14ac:dyDescent="0.2">
      <c r="A38" s="26"/>
      <c r="C38" s="14"/>
      <c r="D38" s="345">
        <f>+summary!H4</f>
        <v>2.88</v>
      </c>
    </row>
    <row r="39" spans="1:4" x14ac:dyDescent="0.2">
      <c r="D39" s="138">
        <f>+D38*D37</f>
        <v>102314.87999999999</v>
      </c>
    </row>
    <row r="40" spans="1:4" x14ac:dyDescent="0.2">
      <c r="A40" s="57">
        <v>37103</v>
      </c>
      <c r="C40" s="15"/>
      <c r="D40" s="460">
        <v>21736.76</v>
      </c>
    </row>
    <row r="41" spans="1:4" x14ac:dyDescent="0.2">
      <c r="A41" s="57">
        <v>37125</v>
      </c>
      <c r="C41" s="48"/>
      <c r="D41" s="138">
        <f>+D40+D39</f>
        <v>124051.63999999998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37125</v>
      </c>
      <c r="B46" s="32"/>
      <c r="C46" s="32"/>
      <c r="D46" s="379">
        <f>+D37</f>
        <v>35526</v>
      </c>
    </row>
    <row r="47" spans="1:4" x14ac:dyDescent="0.2">
      <c r="A47" s="32"/>
      <c r="B47" s="32"/>
      <c r="C47" s="32"/>
      <c r="D47" s="14">
        <f>+D46+D45</f>
        <v>144376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4" workbookViewId="3">
      <selection activeCell="C56" sqref="C56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42092</v>
      </c>
      <c r="C26" s="11">
        <v>36760</v>
      </c>
      <c r="D26" s="25">
        <f t="shared" si="0"/>
        <v>-5332</v>
      </c>
    </row>
    <row r="27" spans="1:4" x14ac:dyDescent="0.2">
      <c r="A27" s="10">
        <v>22</v>
      </c>
      <c r="B27" s="11">
        <v>41126</v>
      </c>
      <c r="C27" s="11">
        <v>35000</v>
      </c>
      <c r="D27" s="25">
        <f t="shared" si="0"/>
        <v>-6126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835267</v>
      </c>
      <c r="C37" s="11">
        <f>SUM(C6:C36)</f>
        <v>808472</v>
      </c>
      <c r="D37" s="25">
        <f>SUM(D6:D36)</f>
        <v>-26795</v>
      </c>
    </row>
    <row r="38" spans="1:4" x14ac:dyDescent="0.2">
      <c r="A38" s="26"/>
      <c r="C38" s="14"/>
      <c r="D38" s="345">
        <f>+summary!H5</f>
        <v>2.98</v>
      </c>
    </row>
    <row r="39" spans="1:4" x14ac:dyDescent="0.2">
      <c r="D39" s="138">
        <f>+D38*D37</f>
        <v>-79849.100000000006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37125</v>
      </c>
      <c r="C41" s="48"/>
      <c r="D41" s="138">
        <f>+D40+D39</f>
        <v>-117969.70000000001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37125</v>
      </c>
      <c r="B46" s="32"/>
      <c r="C46" s="32"/>
      <c r="D46" s="379">
        <f>+D37</f>
        <v>-26795</v>
      </c>
    </row>
    <row r="47" spans="1:4" x14ac:dyDescent="0.2">
      <c r="A47" s="32"/>
      <c r="B47" s="32"/>
      <c r="C47" s="32"/>
      <c r="D47" s="14">
        <f>+D46+D45</f>
        <v>-28899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E26" sqref="E26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5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4" t="s">
        <v>40</v>
      </c>
      <c r="N4" s="4" t="s">
        <v>20</v>
      </c>
      <c r="O4" s="4" t="s">
        <v>21</v>
      </c>
      <c r="P4" s="46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4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4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4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4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4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4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4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4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4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4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4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4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4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4"/>
      <c r="N21" s="24"/>
      <c r="O21" s="24"/>
      <c r="P21" s="110"/>
      <c r="Q21" s="46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6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6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317311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-9658</v>
      </c>
      <c r="M26" s="32"/>
      <c r="N26" s="24"/>
      <c r="O26" s="24"/>
      <c r="P26" s="110"/>
      <c r="Q26" s="46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7597995</v>
      </c>
      <c r="C35" s="11">
        <f t="shared" ref="C35:I35" si="3">SUM(C4:C34)</f>
        <v>7728218</v>
      </c>
      <c r="D35" s="11">
        <f t="shared" si="3"/>
        <v>1462697</v>
      </c>
      <c r="E35" s="11">
        <f t="shared" si="3"/>
        <v>1368801</v>
      </c>
      <c r="F35" s="11">
        <f t="shared" si="3"/>
        <v>1393139</v>
      </c>
      <c r="G35" s="11">
        <f t="shared" si="3"/>
        <v>1373719</v>
      </c>
      <c r="H35" s="11">
        <f t="shared" si="3"/>
        <v>3058522</v>
      </c>
      <c r="I35" s="11">
        <f t="shared" si="3"/>
        <v>3025182</v>
      </c>
      <c r="J35" s="11">
        <f>SUM(J4:J34)</f>
        <v>-16433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2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37126</v>
      </c>
      <c r="J40" s="51">
        <f>+J38+J35</f>
        <v>293835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3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37126</v>
      </c>
      <c r="B47" s="32"/>
      <c r="C47" s="32"/>
      <c r="D47" s="408">
        <f>+J35*'by type'!J3</f>
        <v>-44204.77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1335064.8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6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6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6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2"/>
      <c r="Q255" s="143"/>
      <c r="R255" s="46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3"/>
      <c r="Q256" s="468"/>
      <c r="R256" s="46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7"/>
      <c r="S295" s="1"/>
    </row>
    <row r="296" spans="9:21" x14ac:dyDescent="0.2">
      <c r="K296" s="2"/>
      <c r="M296" s="30"/>
      <c r="N296" s="4"/>
      <c r="O296" s="4"/>
      <c r="P296" s="462"/>
      <c r="Q296" s="143"/>
      <c r="R296" s="46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3"/>
      <c r="Q297" s="468"/>
      <c r="R297" s="46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7"/>
      <c r="S337" s="1"/>
    </row>
    <row r="338" spans="11:21" x14ac:dyDescent="0.2">
      <c r="K338" s="2"/>
      <c r="M338" s="30"/>
      <c r="N338" s="4"/>
      <c r="O338" s="4"/>
      <c r="P338" s="462"/>
      <c r="Q338" s="143"/>
      <c r="R338" s="46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3"/>
      <c r="Q339" s="468"/>
      <c r="R339" s="46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7"/>
      <c r="S379" s="1"/>
    </row>
    <row r="380" spans="11:21" x14ac:dyDescent="0.2">
      <c r="K380" s="2"/>
      <c r="M380" s="30"/>
      <c r="N380" s="4"/>
      <c r="O380" s="4"/>
      <c r="P380" s="462"/>
      <c r="Q380" s="143"/>
      <c r="R380" s="46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3"/>
      <c r="Q381" s="468"/>
      <c r="R381" s="46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7"/>
      <c r="S423" s="1"/>
    </row>
    <row r="424" spans="11:21" x14ac:dyDescent="0.2">
      <c r="K424" s="2"/>
      <c r="M424" s="30"/>
      <c r="N424" s="4"/>
      <c r="O424" s="4"/>
      <c r="P424" s="462"/>
      <c r="Q424" s="143"/>
      <c r="R424" s="46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3"/>
      <c r="Q425" s="468"/>
      <c r="R425" s="46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62"/>
      <c r="Q466" s="143"/>
      <c r="R466" s="46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3"/>
      <c r="Q467" s="468"/>
      <c r="R467" s="46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G31" sqref="G31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1401540</v>
      </c>
      <c r="C37" s="11">
        <f>SUM(C6:C36)</f>
        <v>1402622</v>
      </c>
      <c r="D37" s="25">
        <f>SUM(D6:D36)</f>
        <v>1082</v>
      </c>
    </row>
    <row r="38" spans="1:4" x14ac:dyDescent="0.2">
      <c r="A38" s="26"/>
      <c r="C38" s="14"/>
      <c r="D38" s="345">
        <f>+summary!H5</f>
        <v>2.98</v>
      </c>
    </row>
    <row r="39" spans="1:4" x14ac:dyDescent="0.2">
      <c r="D39" s="138">
        <f>+D38*D37</f>
        <v>3224.36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37126</v>
      </c>
      <c r="C41" s="48"/>
      <c r="D41" s="138">
        <f>+D40+D39</f>
        <v>3224.36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37126</v>
      </c>
      <c r="B47" s="32"/>
      <c r="C47" s="32"/>
      <c r="D47" s="379">
        <f>+D37</f>
        <v>1082</v>
      </c>
    </row>
    <row r="48" spans="1:4" x14ac:dyDescent="0.2">
      <c r="A48" s="32"/>
      <c r="B48" s="32"/>
      <c r="C48" s="32"/>
      <c r="D48" s="14">
        <f>+D47+D46</f>
        <v>54445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0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1" t="s">
        <v>20</v>
      </c>
      <c r="J14" s="471" t="s">
        <v>21</v>
      </c>
      <c r="K14" s="472" t="s">
        <v>51</v>
      </c>
      <c r="L14" s="470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0">
        <v>8.2100000000000009</v>
      </c>
      <c r="M16" s="475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0">
        <v>5.62</v>
      </c>
      <c r="M17" s="475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0">
        <v>4.9800000000000004</v>
      </c>
      <c r="M18" s="475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0">
        <v>4.87</v>
      </c>
      <c r="M19" s="475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0">
        <v>3.82</v>
      </c>
      <c r="M20" s="475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0">
        <v>3.2</v>
      </c>
      <c r="M21" s="475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0">
        <v>2.77</v>
      </c>
      <c r="M22" s="476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3"/>
      <c r="M23" s="474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-31201</v>
      </c>
      <c r="C37" s="11">
        <f>SUM(C6:C36)</f>
        <v>-45323</v>
      </c>
      <c r="D37" s="25">
        <f>SUM(D6:D36)</f>
        <v>-14122</v>
      </c>
    </row>
    <row r="38" spans="1:4" x14ac:dyDescent="0.2">
      <c r="A38" s="26"/>
      <c r="C38" s="14"/>
      <c r="D38" s="345">
        <f>+summary!H4</f>
        <v>2.88</v>
      </c>
    </row>
    <row r="39" spans="1:4" x14ac:dyDescent="0.2">
      <c r="D39" s="138">
        <f>+D38*D37</f>
        <v>-40671.360000000001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37125</v>
      </c>
      <c r="C41" s="48"/>
      <c r="D41" s="138">
        <f>+D40+D39</f>
        <v>-434915.5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37125</v>
      </c>
      <c r="B49" s="32"/>
      <c r="C49" s="32"/>
      <c r="D49" s="379">
        <f>+D37</f>
        <v>-14122</v>
      </c>
    </row>
    <row r="50" spans="1:4" x14ac:dyDescent="0.2">
      <c r="A50" s="32"/>
      <c r="B50" s="32"/>
      <c r="C50" s="32"/>
      <c r="D50" s="14">
        <f>+D49+D48</f>
        <v>-82404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workbookViewId="3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-750058</v>
      </c>
      <c r="C37" s="11">
        <f>SUM(C6:C36)</f>
        <v>-697175</v>
      </c>
      <c r="D37" s="25">
        <f>SUM(D6:D36)</f>
        <v>52883</v>
      </c>
    </row>
    <row r="38" spans="1:4" x14ac:dyDescent="0.2">
      <c r="A38" s="26"/>
      <c r="C38" s="14"/>
      <c r="D38" s="345">
        <f>+summary!H4</f>
        <v>2.88</v>
      </c>
    </row>
    <row r="39" spans="1:4" x14ac:dyDescent="0.2">
      <c r="D39" s="138">
        <f>+D38*D37</f>
        <v>152303.04000000001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37125</v>
      </c>
      <c r="C41" s="48"/>
      <c r="D41" s="138">
        <f>+D40+D39</f>
        <v>-198867.28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37125</v>
      </c>
      <c r="B47" s="32"/>
      <c r="C47" s="32"/>
      <c r="D47" s="379">
        <f>+D37</f>
        <v>52883</v>
      </c>
    </row>
    <row r="48" spans="1:4" x14ac:dyDescent="0.2">
      <c r="A48" s="32"/>
      <c r="B48" s="32"/>
      <c r="C48" s="32"/>
      <c r="D48" s="14">
        <f>+D47+D46</f>
        <v>-97404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-22921</v>
      </c>
      <c r="C5" s="90">
        <v>-2574</v>
      </c>
      <c r="D5" s="90">
        <f>+C5-B5</f>
        <v>20347</v>
      </c>
      <c r="E5" s="285"/>
      <c r="F5" s="283"/>
    </row>
    <row r="6" spans="1:13" x14ac:dyDescent="0.2">
      <c r="A6" s="87">
        <v>500046</v>
      </c>
      <c r="B6" s="90">
        <v>-507</v>
      </c>
      <c r="C6" s="90"/>
      <c r="D6" s="90">
        <f t="shared" ref="D6:D11" si="0">+C6-B6</f>
        <v>507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20854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2.88</v>
      </c>
      <c r="E13" s="287"/>
      <c r="F13" s="283"/>
    </row>
    <row r="14" spans="1:13" x14ac:dyDescent="0.2">
      <c r="A14" s="87"/>
      <c r="B14" s="88"/>
      <c r="C14" s="88"/>
      <c r="D14" s="96">
        <f>+D13*D12</f>
        <v>60059.519999999997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5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37125</v>
      </c>
      <c r="B18" s="88"/>
      <c r="C18" s="88"/>
      <c r="D18" s="334">
        <f>+D16+D14</f>
        <v>-796281.14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37125</v>
      </c>
      <c r="B23" s="32"/>
      <c r="C23" s="32"/>
      <c r="D23" s="379">
        <f>+D12</f>
        <v>20854</v>
      </c>
    </row>
    <row r="24" spans="1:7" x14ac:dyDescent="0.2">
      <c r="A24" s="32"/>
      <c r="B24" s="32"/>
      <c r="C24" s="32"/>
      <c r="D24" s="14">
        <f>+D23+D22</f>
        <v>-166899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42">
        <v>76325</v>
      </c>
    </row>
    <row r="41" spans="1:4" x14ac:dyDescent="0.2">
      <c r="A41" s="57">
        <v>37125</v>
      </c>
      <c r="C41" s="48"/>
      <c r="D41" s="25">
        <f>+D40+D37</f>
        <v>64490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3">
        <v>341220.3</v>
      </c>
    </row>
    <row r="46" spans="1:4" x14ac:dyDescent="0.2">
      <c r="A46" s="49">
        <f>+A41</f>
        <v>37125</v>
      </c>
      <c r="B46" s="32"/>
      <c r="C46" s="32"/>
      <c r="D46" s="408">
        <f>+D37*'by type'!J4</f>
        <v>-34084.799999999996</v>
      </c>
    </row>
    <row r="47" spans="1:4" x14ac:dyDescent="0.2">
      <c r="A47" s="32"/>
      <c r="B47" s="32"/>
      <c r="C47" s="32"/>
      <c r="D47" s="202">
        <f>+D46+D45</f>
        <v>307135.5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26" sqref="C2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2561012</v>
      </c>
      <c r="C38" s="11">
        <f>SUM(C7:C37)</f>
        <v>2577175</v>
      </c>
      <c r="D38" s="11">
        <f>SUM(D7:D37)</f>
        <v>16163</v>
      </c>
    </row>
    <row r="39" spans="1:4" x14ac:dyDescent="0.2">
      <c r="A39" s="26"/>
      <c r="C39" s="14"/>
      <c r="D39" s="106">
        <f>+summary!H3</f>
        <v>2.69</v>
      </c>
    </row>
    <row r="40" spans="1:4" x14ac:dyDescent="0.2">
      <c r="D40" s="138">
        <f>+D39*D38</f>
        <v>43478.47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37126</v>
      </c>
      <c r="D42" s="337">
        <f>+D41+D40</f>
        <v>6836.4700000000012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37126</v>
      </c>
      <c r="B48" s="32"/>
      <c r="C48" s="32"/>
      <c r="D48" s="379">
        <f>+D38</f>
        <v>16163</v>
      </c>
    </row>
    <row r="49" spans="1:4" x14ac:dyDescent="0.2">
      <c r="A49" s="32"/>
      <c r="B49" s="32"/>
      <c r="C49" s="32"/>
      <c r="D49" s="14">
        <f>+D48+D47</f>
        <v>1205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E25" sqref="E2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-1171503</v>
      </c>
      <c r="C36" s="44">
        <f>SUM(C5:C35)</f>
        <v>-360998</v>
      </c>
      <c r="D36" s="43">
        <f>SUM(D5:D35)</f>
        <v>-261976</v>
      </c>
      <c r="E36" s="44">
        <f>SUM(E5:E35)</f>
        <v>-1046715</v>
      </c>
      <c r="F36" s="11">
        <f>SUM(F5:F35)</f>
        <v>25766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-810505</v>
      </c>
      <c r="D37" s="24"/>
      <c r="E37" s="24">
        <f>+D36-E36</f>
        <v>784739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37123</v>
      </c>
      <c r="C42" s="14"/>
      <c r="D42" s="50"/>
      <c r="E42" s="50"/>
      <c r="F42" s="51">
        <f>+F41+F36</f>
        <v>62105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37123</v>
      </c>
      <c r="B48" s="32"/>
      <c r="C48" s="32"/>
      <c r="D48" s="408">
        <f>+F36*'by type'!J4</f>
        <v>74206.080000000002</v>
      </c>
    </row>
    <row r="49" spans="1:4" x14ac:dyDescent="0.2">
      <c r="A49" s="32"/>
      <c r="B49" s="32"/>
      <c r="C49" s="32"/>
      <c r="D49" s="202">
        <f>+D48+D47</f>
        <v>44237.67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0" workbookViewId="3">
      <selection activeCell="C36" sqref="C36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-4035291</v>
      </c>
      <c r="C35" s="11">
        <f>SUM(C4:C34)</f>
        <v>-4032528</v>
      </c>
      <c r="D35" s="11">
        <f>SUM(D4:D34)</f>
        <v>2763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37125</v>
      </c>
      <c r="D40" s="24">
        <f>+D38+D35</f>
        <v>27663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3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37125</v>
      </c>
      <c r="B46" s="32"/>
      <c r="C46" s="32"/>
      <c r="D46" s="408">
        <f>+D35*'by type'!J4</f>
        <v>7957.44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-148125.94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1" workbookViewId="3">
      <selection activeCell="B26" sqref="B2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-15885748</v>
      </c>
      <c r="C35" s="11">
        <f>SUM(C4:C34)</f>
        <v>-15864613</v>
      </c>
      <c r="D35" s="11">
        <f>SUM(D4:D34)</f>
        <v>-491338</v>
      </c>
      <c r="E35" s="11">
        <f>SUM(E4:E34)</f>
        <v>-480000</v>
      </c>
      <c r="F35" s="11">
        <f>SUM(F4:F34)</f>
        <v>32473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9">
        <v>145102</v>
      </c>
    </row>
    <row r="39" spans="1:45" x14ac:dyDescent="0.2">
      <c r="A39" s="2"/>
      <c r="F39" s="24"/>
    </row>
    <row r="40" spans="1:45" x14ac:dyDescent="0.2">
      <c r="A40" s="57">
        <v>37125</v>
      </c>
      <c r="F40" s="51">
        <f>+F38+F35</f>
        <v>177575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3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37125</v>
      </c>
      <c r="B46" s="32"/>
      <c r="C46" s="32"/>
      <c r="D46" s="408">
        <f>+F35*'by type'!J4</f>
        <v>93522.239999999991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541936.14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C26" sqref="C2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9"/>
      <c r="L4" s="469"/>
      <c r="M4" s="469"/>
      <c r="N4" s="469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0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1" t="s">
        <v>20</v>
      </c>
      <c r="M6" s="471" t="s">
        <v>21</v>
      </c>
      <c r="N6" s="472" t="s">
        <v>51</v>
      </c>
      <c r="O6" s="47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0">
        <v>8.2100000000000009</v>
      </c>
      <c r="P9" s="47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0">
        <v>5.62</v>
      </c>
      <c r="P10" s="47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0">
        <v>4.9800000000000004</v>
      </c>
      <c r="P11" s="47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0">
        <v>4.87</v>
      </c>
      <c r="P12" s="47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0">
        <v>3.82</v>
      </c>
      <c r="P13" s="47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0">
        <v>3.2</v>
      </c>
      <c r="P14" s="47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0">
        <v>2.77</v>
      </c>
      <c r="P15" s="47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3"/>
      <c r="P16" s="474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-137179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-290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-3015669</v>
      </c>
      <c r="C35" s="44">
        <f t="shared" si="3"/>
        <v>-2370264</v>
      </c>
      <c r="D35" s="11">
        <f t="shared" si="3"/>
        <v>-1251182</v>
      </c>
      <c r="E35" s="44">
        <f t="shared" si="3"/>
        <v>-1890372</v>
      </c>
      <c r="F35" s="11">
        <f t="shared" si="3"/>
        <v>0</v>
      </c>
      <c r="G35" s="11">
        <f t="shared" si="3"/>
        <v>0</v>
      </c>
      <c r="H35" s="11">
        <f t="shared" si="3"/>
        <v>6215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17899.2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37125</v>
      </c>
      <c r="F39" s="47"/>
      <c r="G39" s="47"/>
      <c r="H39" s="137">
        <f>+H38+H37</f>
        <v>478734.57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37125</v>
      </c>
      <c r="E47" s="379">
        <f>+H35</f>
        <v>6215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117451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B27" sqref="B2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-306663-500</f>
        <v>-307163</v>
      </c>
      <c r="E5" s="11">
        <v>-308597</v>
      </c>
      <c r="F5" s="11"/>
      <c r="G5" s="11"/>
      <c r="H5" s="24">
        <f>+E5-D5+C5-B5</f>
        <v>-1434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-256855-500</f>
        <v>-257355</v>
      </c>
      <c r="E6" s="11">
        <v>-261199</v>
      </c>
      <c r="F6" s="11"/>
      <c r="G6" s="11"/>
      <c r="H6" s="24">
        <f t="shared" ref="H6:H35" si="0">+E6-D6+C6-B6</f>
        <v>-3844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-279637-500</f>
        <v>-280137</v>
      </c>
      <c r="E7" s="129">
        <v>-280376</v>
      </c>
      <c r="F7" s="11"/>
      <c r="G7" s="11"/>
      <c r="H7" s="24">
        <f t="shared" si="0"/>
        <v>-239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-263561-500</f>
        <v>-264061</v>
      </c>
      <c r="E8" s="129">
        <v>-267286</v>
      </c>
      <c r="F8" s="11"/>
      <c r="G8" s="11"/>
      <c r="H8" s="24">
        <f t="shared" si="0"/>
        <v>-3225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-239483-500</f>
        <v>-239983</v>
      </c>
      <c r="E9" s="11">
        <v>-241704</v>
      </c>
      <c r="F9" s="11"/>
      <c r="G9" s="11"/>
      <c r="H9" s="24">
        <f t="shared" si="0"/>
        <v>-1721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-258498-500</f>
        <v>-258998</v>
      </c>
      <c r="E10" s="11">
        <v>-262660</v>
      </c>
      <c r="F10" s="11"/>
      <c r="G10" s="11"/>
      <c r="H10" s="24">
        <f t="shared" si="0"/>
        <v>-3662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-249479-500</f>
        <v>-249979</v>
      </c>
      <c r="E11" s="11">
        <v>-254013</v>
      </c>
      <c r="F11" s="11"/>
      <c r="G11" s="11"/>
      <c r="H11" s="24">
        <f t="shared" si="0"/>
        <v>-4034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-272276-500</f>
        <v>-272776</v>
      </c>
      <c r="E12" s="11">
        <v>-274969</v>
      </c>
      <c r="F12" s="11"/>
      <c r="G12" s="11"/>
      <c r="H12" s="24">
        <f t="shared" si="0"/>
        <v>-2193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-266075-500</f>
        <v>-266575</v>
      </c>
      <c r="E13" s="11">
        <v>-268577</v>
      </c>
      <c r="F13" s="11"/>
      <c r="G13" s="11"/>
      <c r="H13" s="24">
        <f t="shared" si="0"/>
        <v>-2002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-278307-500</f>
        <v>-278807</v>
      </c>
      <c r="E14" s="11">
        <v>-283415</v>
      </c>
      <c r="F14" s="11"/>
      <c r="G14" s="11"/>
      <c r="H14" s="24">
        <f t="shared" si="0"/>
        <v>-4608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-287669-500</f>
        <v>-288169</v>
      </c>
      <c r="E15" s="11">
        <v>-288213</v>
      </c>
      <c r="F15" s="11"/>
      <c r="G15" s="11"/>
      <c r="H15" s="24">
        <f t="shared" si="0"/>
        <v>-44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-273937-500</f>
        <v>-274437</v>
      </c>
      <c r="E16" s="11">
        <v>-275351</v>
      </c>
      <c r="F16" s="11"/>
      <c r="G16" s="11"/>
      <c r="H16" s="24">
        <f t="shared" si="0"/>
        <v>-914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-286926-500</f>
        <v>-287426</v>
      </c>
      <c r="E17" s="11">
        <v>-288307</v>
      </c>
      <c r="F17" s="11"/>
      <c r="G17" s="11"/>
      <c r="H17" s="24">
        <f t="shared" si="0"/>
        <v>-881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-313689</v>
      </c>
      <c r="E25" s="11">
        <v>-296501</v>
      </c>
      <c r="F25" s="11"/>
      <c r="G25" s="11"/>
      <c r="H25" s="24">
        <f t="shared" si="0"/>
        <v>17188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v>-323768</v>
      </c>
      <c r="E26" s="11">
        <v>-331407</v>
      </c>
      <c r="F26" s="11"/>
      <c r="G26" s="11"/>
      <c r="H26" s="24">
        <f t="shared" si="0"/>
        <v>-7752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-6151724</v>
      </c>
      <c r="E36" s="11">
        <f t="shared" si="15"/>
        <v>-6233540</v>
      </c>
      <c r="F36" s="11">
        <f t="shared" si="15"/>
        <v>0</v>
      </c>
      <c r="G36" s="11">
        <f t="shared" si="15"/>
        <v>0</v>
      </c>
      <c r="H36" s="11">
        <f t="shared" si="15"/>
        <v>-81929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-81816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5">
        <v>64269</v>
      </c>
      <c r="D38" s="338"/>
      <c r="E38" s="446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37125</v>
      </c>
      <c r="B39" s="2" t="s">
        <v>46</v>
      </c>
      <c r="C39" s="131">
        <f>+C38+C37</f>
        <v>64156</v>
      </c>
      <c r="D39" s="259"/>
      <c r="E39" s="131">
        <f>+E38+E37</f>
        <v>-54220</v>
      </c>
      <c r="F39" s="259"/>
      <c r="G39" s="131"/>
      <c r="H39" s="131">
        <f>+H38+H36</f>
        <v>9936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7">
        <v>-1582961</v>
      </c>
      <c r="D44" s="207"/>
      <c r="E44" s="448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37125</v>
      </c>
      <c r="B45" s="32"/>
      <c r="C45" s="47">
        <f>+C37*summary!H4</f>
        <v>-325.44</v>
      </c>
      <c r="D45" s="207"/>
      <c r="E45" s="410">
        <f>+E37*summary!H3</f>
        <v>-220085.04</v>
      </c>
      <c r="F45" s="47">
        <f>+E45+C45</f>
        <v>-220410.48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-1583286.44</v>
      </c>
      <c r="D46" s="207"/>
      <c r="E46" s="410">
        <f>+E45+E44</f>
        <v>966651.58000000007</v>
      </c>
      <c r="F46" s="47">
        <f>+E46+C46</f>
        <v>-616634.85999999987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24" sqref="C2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2434721</v>
      </c>
      <c r="C37" s="11">
        <f>SUM(C6:C36)</f>
        <v>2482358</v>
      </c>
      <c r="D37" s="11">
        <f>SUM(D6:D36)</f>
        <v>47637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37126</v>
      </c>
      <c r="C40" s="48"/>
      <c r="D40" s="25">
        <f>+D39+D37</f>
        <v>102520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37126</v>
      </c>
      <c r="B46" s="32"/>
      <c r="C46" s="32"/>
      <c r="D46" s="408">
        <f>+D37*'by type'!J3</f>
        <v>128143.53</v>
      </c>
    </row>
    <row r="47" spans="1:16" x14ac:dyDescent="0.2">
      <c r="A47" s="32"/>
      <c r="B47" s="32"/>
      <c r="C47" s="32"/>
      <c r="D47" s="202">
        <f>+D46+D45</f>
        <v>539895.06000000006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2001-08-22T22:06:39Z</cp:lastPrinted>
  <dcterms:created xsi:type="dcterms:W3CDTF">2000-03-28T16:52:23Z</dcterms:created>
  <dcterms:modified xsi:type="dcterms:W3CDTF">2014-09-03T14:38:06Z</dcterms:modified>
</cp:coreProperties>
</file>