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1"/>
    <workbookView xWindow="600" yWindow="285" windowWidth="9720" windowHeight="6600" activeTab="1"/>
    <workbookView xWindow="840" yWindow="480" windowWidth="10860" windowHeight="6405" tabRatio="60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7" i="12"/>
  <c r="D37" i="12" s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39" i="18" s="1"/>
  <c r="D48" i="18" s="1"/>
  <c r="D49" i="18" s="1"/>
  <c r="D26" i="80" s="1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F55" i="80"/>
  <c r="F56" i="80"/>
  <c r="F57" i="80"/>
  <c r="F58" i="80"/>
  <c r="F62" i="80"/>
  <c r="F63" i="80"/>
  <c r="F64" i="80"/>
  <c r="F65" i="80"/>
  <c r="F66" i="80"/>
  <c r="F70" i="80"/>
  <c r="F71" i="80"/>
  <c r="F72" i="80"/>
  <c r="F73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39" i="72" s="1"/>
  <c r="D48" i="72" s="1"/>
  <c r="D49" i="72" s="1"/>
  <c r="D29" i="80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2" i="78" s="1"/>
  <c r="D23" i="78" s="1"/>
  <c r="D24" i="78" s="1"/>
  <c r="D15" i="80" s="1"/>
  <c r="D10" i="78"/>
  <c r="D11" i="78"/>
  <c r="A22" i="78"/>
  <c r="A23" i="78"/>
  <c r="D6" i="79"/>
  <c r="D7" i="79"/>
  <c r="D8" i="79"/>
  <c r="D37" i="79" s="1"/>
  <c r="D47" i="79" s="1"/>
  <c r="D48" i="79" s="1"/>
  <c r="D13" i="80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 s="1"/>
  <c r="F5" i="13"/>
  <c r="I5" i="13"/>
  <c r="J5" i="13"/>
  <c r="N5" i="13"/>
  <c r="F6" i="13"/>
  <c r="I6" i="13"/>
  <c r="J6" i="13"/>
  <c r="K6" i="13" s="1"/>
  <c r="M6" i="13" s="1"/>
  <c r="N6" i="13"/>
  <c r="F7" i="13"/>
  <c r="I7" i="13"/>
  <c r="J7" i="13"/>
  <c r="K7" i="13" s="1"/>
  <c r="M7" i="13"/>
  <c r="N7" i="13"/>
  <c r="F8" i="13"/>
  <c r="I8" i="13"/>
  <c r="J8" i="13"/>
  <c r="K8" i="13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F40" i="13"/>
  <c r="A46" i="13"/>
  <c r="D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D35" i="73"/>
  <c r="E35" i="73"/>
  <c r="E36" i="73" s="1"/>
  <c r="F36" i="73" s="1"/>
  <c r="H35" i="73"/>
  <c r="I35" i="73"/>
  <c r="I36" i="73" s="1"/>
  <c r="F39" i="73"/>
  <c r="B12" i="20"/>
  <c r="B13" i="20"/>
  <c r="B14" i="20"/>
  <c r="B15" i="20"/>
  <c r="B17" i="20" s="1"/>
  <c r="F38" i="20" s="1"/>
  <c r="F39" i="20" s="1"/>
  <c r="B16" i="20"/>
  <c r="B30" i="20"/>
  <c r="E37" i="20"/>
  <c r="E38" i="20"/>
  <c r="G38" i="20"/>
  <c r="G39" i="20" s="1"/>
  <c r="H38" i="20"/>
  <c r="H39" i="20" s="1"/>
  <c r="B45" i="20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D36" i="1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E39" i="11" s="1"/>
  <c r="B65" i="80" s="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E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D47" i="70" s="1"/>
  <c r="D48" i="70" s="1"/>
  <c r="D33" i="80" s="1"/>
  <c r="A46" i="70"/>
  <c r="A47" i="70"/>
  <c r="D6" i="75"/>
  <c r="D7" i="75"/>
  <c r="D8" i="75"/>
  <c r="D37" i="75" s="1"/>
  <c r="D46" i="75" s="1"/>
  <c r="D47" i="75" s="1"/>
  <c r="D36" i="80" s="1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D6" i="22"/>
  <c r="F6" i="22"/>
  <c r="D7" i="22"/>
  <c r="F7" i="22"/>
  <c r="D8" i="22"/>
  <c r="F8" i="22"/>
  <c r="F9" i="22"/>
  <c r="F10" i="22"/>
  <c r="F11" i="22"/>
  <c r="F12" i="22"/>
  <c r="F13" i="22"/>
  <c r="F14" i="22"/>
  <c r="F15" i="22"/>
  <c r="D16" i="22"/>
  <c r="F16" i="22" s="1"/>
  <c r="F17" i="22"/>
  <c r="D18" i="22"/>
  <c r="F18" i="22" s="1"/>
  <c r="D19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E37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C37" i="5" s="1"/>
  <c r="D36" i="5"/>
  <c r="E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D48" i="17" s="1"/>
  <c r="D49" i="17" s="1"/>
  <c r="D30" i="80" s="1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 s="1"/>
  <c r="B55" i="80" s="1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0" i="65"/>
  <c r="D11" i="65"/>
  <c r="D12" i="65"/>
  <c r="D13" i="65"/>
  <c r="D14" i="65"/>
  <c r="D19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/>
  <c r="D19" i="77"/>
  <c r="K19" i="77"/>
  <c r="M19" i="77"/>
  <c r="D20" i="77"/>
  <c r="K20" i="77"/>
  <c r="M20" i="77"/>
  <c r="D21" i="77"/>
  <c r="K21" i="77"/>
  <c r="M21" i="77" s="1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49" i="77" s="1"/>
  <c r="D50" i="77" s="1"/>
  <c r="D14" i="80" s="1"/>
  <c r="A48" i="77"/>
  <c r="A49" i="77"/>
  <c r="F5" i="7"/>
  <c r="Z5" i="7"/>
  <c r="AD5" i="7"/>
  <c r="AF5" i="7" s="1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/>
  <c r="AF6" i="7"/>
  <c r="F7" i="7"/>
  <c r="Z7" i="7"/>
  <c r="AD7" i="7"/>
  <c r="AF7" i="7"/>
  <c r="F8" i="7"/>
  <c r="Z8" i="7"/>
  <c r="AD8" i="7" s="1"/>
  <c r="AF8" i="7" s="1"/>
  <c r="F9" i="7"/>
  <c r="Z9" i="7"/>
  <c r="AD9" i="7" s="1"/>
  <c r="AF9" i="7" s="1"/>
  <c r="F10" i="7"/>
  <c r="Z10" i="7"/>
  <c r="AD10" i="7"/>
  <c r="AF10" i="7" s="1"/>
  <c r="F11" i="7"/>
  <c r="Z11" i="7"/>
  <c r="AD11" i="7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/>
  <c r="F15" i="7"/>
  <c r="Z15" i="7"/>
  <c r="AD15" i="7"/>
  <c r="AF15" i="7"/>
  <c r="F16" i="7"/>
  <c r="Z16" i="7"/>
  <c r="AD16" i="7" s="1"/>
  <c r="AF16" i="7"/>
  <c r="F17" i="7"/>
  <c r="Z17" i="7"/>
  <c r="AD17" i="7"/>
  <c r="AF17" i="7" s="1"/>
  <c r="F18" i="7"/>
  <c r="AI18" i="7"/>
  <c r="F19" i="7"/>
  <c r="Z19" i="7"/>
  <c r="AD19" i="7" s="1"/>
  <c r="AF19" i="7"/>
  <c r="AG19" i="7"/>
  <c r="AH19" i="7"/>
  <c r="F20" i="7"/>
  <c r="Z20" i="7"/>
  <c r="AD20" i="7" s="1"/>
  <c r="AF20" i="7" s="1"/>
  <c r="AG20" i="7"/>
  <c r="AG21" i="7" s="1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35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/>
  <c r="P16" i="9" s="1"/>
  <c r="H11" i="9"/>
  <c r="N11" i="9"/>
  <c r="P11" i="9"/>
  <c r="H12" i="9"/>
  <c r="L12" i="9"/>
  <c r="N12" i="9" s="1"/>
  <c r="P12" i="9"/>
  <c r="H13" i="9"/>
  <c r="N13" i="9"/>
  <c r="P13" i="9" s="1"/>
  <c r="H14" i="9"/>
  <c r="L14" i="9"/>
  <c r="N14" i="9" s="1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D5" i="64"/>
  <c r="D6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N39" i="15" s="1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L39" i="15"/>
  <c r="AM39" i="15"/>
  <c r="AP39" i="15"/>
  <c r="AT39" i="15"/>
  <c r="A50" i="15"/>
  <c r="A51" i="15"/>
  <c r="AH52" i="15"/>
  <c r="AH54" i="15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C166" i="15"/>
  <c r="C168" i="15"/>
  <c r="C174" i="15" s="1"/>
  <c r="F169" i="15"/>
  <c r="F170" i="15"/>
  <c r="F171" i="15"/>
  <c r="F172" i="15"/>
  <c r="F173" i="15"/>
  <c r="B174" i="15"/>
  <c r="C175" i="15"/>
  <c r="C180" i="15" s="1"/>
  <c r="B176" i="15"/>
  <c r="C176" i="15"/>
  <c r="F176" i="15" s="1"/>
  <c r="B178" i="15"/>
  <c r="C178" i="15"/>
  <c r="B180" i="15"/>
  <c r="D6" i="76"/>
  <c r="D7" i="76"/>
  <c r="D8" i="76"/>
  <c r="D37" i="76" s="1"/>
  <c r="D47" i="76" s="1"/>
  <c r="D48" i="76" s="1"/>
  <c r="D34" i="80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H5" i="63"/>
  <c r="J5" i="80" s="1"/>
  <c r="J48" i="8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P5" i="2"/>
  <c r="R5" i="2"/>
  <c r="J6" i="2"/>
  <c r="P6" i="2"/>
  <c r="R6" i="2"/>
  <c r="J7" i="2"/>
  <c r="P7" i="2"/>
  <c r="R7" i="2" s="1"/>
  <c r="J8" i="2"/>
  <c r="P8" i="2"/>
  <c r="R8" i="2"/>
  <c r="J9" i="2"/>
  <c r="P9" i="2"/>
  <c r="R9" i="2" s="1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40" i="28" l="1"/>
  <c r="AN45" i="15"/>
  <c r="B102" i="15"/>
  <c r="H35" i="9"/>
  <c r="E47" i="9" s="1"/>
  <c r="E48" i="9" s="1"/>
  <c r="D31" i="80" s="1"/>
  <c r="I39" i="20"/>
  <c r="I56" i="20" s="1"/>
  <c r="M51" i="73" s="1"/>
  <c r="J35" i="2"/>
  <c r="H37" i="9"/>
  <c r="H39" i="9" s="1"/>
  <c r="D18" i="8"/>
  <c r="D74" i="2"/>
  <c r="D75" i="2"/>
  <c r="F35" i="6"/>
  <c r="AI5" i="7"/>
  <c r="AH6" i="7"/>
  <c r="C45" i="11"/>
  <c r="C46" i="11" s="1"/>
  <c r="D57" i="80" s="1"/>
  <c r="C39" i="11"/>
  <c r="AF38" i="11"/>
  <c r="AP38" i="11"/>
  <c r="F39" i="15"/>
  <c r="F37" i="22"/>
  <c r="D47" i="22" s="1"/>
  <c r="D48" i="22" s="1"/>
  <c r="D27" i="80" s="1"/>
  <c r="C65" i="80"/>
  <c r="K114" i="15"/>
  <c r="F36" i="7"/>
  <c r="F36" i="5"/>
  <c r="D40" i="12"/>
  <c r="R22" i="2"/>
  <c r="D39" i="19"/>
  <c r="D49" i="19" s="1"/>
  <c r="D50" i="19" s="1"/>
  <c r="D19" i="80" s="1"/>
  <c r="D21" i="80" s="1"/>
  <c r="AR22" i="15"/>
  <c r="AR39" i="15" s="1"/>
  <c r="AR45" i="15" s="1"/>
  <c r="AQ39" i="15"/>
  <c r="AP20" i="11"/>
  <c r="AF20" i="11"/>
  <c r="H36" i="11"/>
  <c r="H39" i="11" s="1"/>
  <c r="C42" i="63" s="1"/>
  <c r="D17" i="64"/>
  <c r="D29" i="64" s="1"/>
  <c r="D30" i="64" s="1"/>
  <c r="D32" i="80" s="1"/>
  <c r="AI19" i="7"/>
  <c r="AH20" i="7"/>
  <c r="F40" i="18"/>
  <c r="F41" i="18" s="1"/>
  <c r="F43" i="18" s="1"/>
  <c r="B31" i="20"/>
  <c r="F38" i="22"/>
  <c r="D13" i="78"/>
  <c r="D14" i="78" s="1"/>
  <c r="D18" i="78" s="1"/>
  <c r="J36" i="70"/>
  <c r="J37" i="70" s="1"/>
  <c r="J41" i="70" s="1"/>
  <c r="F40" i="71"/>
  <c r="D40" i="19"/>
  <c r="D41" i="19" s="1"/>
  <c r="D43" i="19" s="1"/>
  <c r="J4" i="80"/>
  <c r="D46" i="28" s="1"/>
  <c r="D47" i="28" s="1"/>
  <c r="D58" i="80" s="1"/>
  <c r="D40" i="72"/>
  <c r="D41" i="72" s="1"/>
  <c r="D43" i="72" s="1"/>
  <c r="C37" i="13"/>
  <c r="E46" i="11"/>
  <c r="P22" i="2"/>
  <c r="D37" i="81"/>
  <c r="F34" i="67"/>
  <c r="D37" i="22"/>
  <c r="C37" i="73"/>
  <c r="E36" i="13"/>
  <c r="D39" i="75"/>
  <c r="D41" i="75" s="1"/>
  <c r="D18" i="65"/>
  <c r="AP34" i="11"/>
  <c r="AF34" i="11"/>
  <c r="AC16" i="11"/>
  <c r="AM16" i="11"/>
  <c r="J3" i="80"/>
  <c r="J46" i="80" s="1"/>
  <c r="D39" i="69"/>
  <c r="D40" i="69" s="1"/>
  <c r="D42" i="69" s="1"/>
  <c r="AU39" i="15"/>
  <c r="D37" i="74"/>
  <c r="D46" i="74" s="1"/>
  <c r="D47" i="74" s="1"/>
  <c r="D12" i="80" s="1"/>
  <c r="D39" i="79"/>
  <c r="D41" i="79" s="1"/>
  <c r="C18" i="63"/>
  <c r="B18" i="63" s="1"/>
  <c r="D38" i="76"/>
  <c r="D39" i="76" s="1"/>
  <c r="D41" i="76" s="1"/>
  <c r="AH57" i="15"/>
  <c r="AF39" i="15"/>
  <c r="AF45" i="15" s="1"/>
  <c r="F133" i="15"/>
  <c r="C133" i="15" s="1"/>
  <c r="AJ28" i="15"/>
  <c r="AJ39" i="15" s="1"/>
  <c r="AJ45" i="15" s="1"/>
  <c r="AI39" i="15"/>
  <c r="F39" i="71"/>
  <c r="D49" i="71" s="1"/>
  <c r="D50" i="71" s="1"/>
  <c r="D35" i="80" s="1"/>
  <c r="AV39" i="15"/>
  <c r="D38" i="77"/>
  <c r="D39" i="77" s="1"/>
  <c r="D41" i="77" s="1"/>
  <c r="J40" i="17"/>
  <c r="J41" i="17" s="1"/>
  <c r="J43" i="17" s="1"/>
  <c r="E37" i="5"/>
  <c r="AP47" i="11"/>
  <c r="AL47" i="11"/>
  <c r="AL48" i="11" s="1"/>
  <c r="J35" i="73"/>
  <c r="J36" i="73" s="1"/>
  <c r="K36" i="73" s="1"/>
  <c r="K49" i="73" s="1"/>
  <c r="D38" i="74"/>
  <c r="D38" i="69"/>
  <c r="D48" i="69" s="1"/>
  <c r="D49" i="69" s="1"/>
  <c r="D20" i="80" s="1"/>
  <c r="D36" i="16"/>
  <c r="N10" i="13"/>
  <c r="F35" i="73"/>
  <c r="F35" i="13"/>
  <c r="D47" i="13" s="1"/>
  <c r="D48" i="13" s="1"/>
  <c r="D25" i="80" s="1"/>
  <c r="K5" i="13"/>
  <c r="AR51" i="15" l="1"/>
  <c r="AR48" i="15"/>
  <c r="F38" i="67"/>
  <c r="D44" i="67"/>
  <c r="D45" i="67" s="1"/>
  <c r="D70" i="80" s="1"/>
  <c r="B19" i="80"/>
  <c r="B31" i="63"/>
  <c r="C31" i="63" s="1"/>
  <c r="E48" i="7"/>
  <c r="E49" i="7" s="1"/>
  <c r="D66" i="80" s="1"/>
  <c r="F41" i="7"/>
  <c r="B42" i="63"/>
  <c r="B57" i="80"/>
  <c r="C57" i="80" s="1"/>
  <c r="E57" i="80" s="1"/>
  <c r="M5" i="13"/>
  <c r="K13" i="13"/>
  <c r="B33" i="80"/>
  <c r="C33" i="80" s="1"/>
  <c r="E33" i="80" s="1"/>
  <c r="B29" i="63"/>
  <c r="C29" i="63" s="1"/>
  <c r="E65" i="80"/>
  <c r="AH7" i="7"/>
  <c r="AI6" i="7"/>
  <c r="M53" i="73"/>
  <c r="D28" i="80" s="1"/>
  <c r="B36" i="80"/>
  <c r="C36" i="80" s="1"/>
  <c r="E36" i="80" s="1"/>
  <c r="B40" i="63"/>
  <c r="C40" i="63" s="1"/>
  <c r="F46" i="11"/>
  <c r="D65" i="80" s="1"/>
  <c r="D19" i="64"/>
  <c r="D23" i="64" s="1"/>
  <c r="B30" i="80"/>
  <c r="C30" i="80" s="1"/>
  <c r="E30" i="80" s="1"/>
  <c r="B16" i="63"/>
  <c r="C16" i="63" s="1"/>
  <c r="F45" i="11"/>
  <c r="D46" i="6"/>
  <c r="D47" i="6" s="1"/>
  <c r="D56" i="80" s="1"/>
  <c r="F40" i="6"/>
  <c r="B34" i="80"/>
  <c r="C34" i="80" s="1"/>
  <c r="E34" i="80" s="1"/>
  <c r="B30" i="63"/>
  <c r="C30" i="63" s="1"/>
  <c r="E37" i="13"/>
  <c r="E38" i="13" s="1"/>
  <c r="C38" i="13"/>
  <c r="C41" i="13" s="1"/>
  <c r="B18" i="20"/>
  <c r="C18" i="20" s="1"/>
  <c r="C19" i="20" s="1"/>
  <c r="C31" i="20"/>
  <c r="C32" i="20" s="1"/>
  <c r="B46" i="20"/>
  <c r="C46" i="20" s="1"/>
  <c r="C47" i="20" s="1"/>
  <c r="B64" i="80"/>
  <c r="C64" i="80" s="1"/>
  <c r="C23" i="63"/>
  <c r="B23" i="63" s="1"/>
  <c r="D51" i="15"/>
  <c r="D52" i="15" s="1"/>
  <c r="D63" i="80" s="1"/>
  <c r="F43" i="15"/>
  <c r="B31" i="80"/>
  <c r="C31" i="80" s="1"/>
  <c r="E31" i="80" s="1"/>
  <c r="B9" i="63"/>
  <c r="C9" i="63" s="1"/>
  <c r="D46" i="68"/>
  <c r="D47" i="68" s="1"/>
  <c r="D55" i="80" s="1"/>
  <c r="D41" i="81"/>
  <c r="D46" i="81"/>
  <c r="D47" i="81" s="1"/>
  <c r="D71" i="80" s="1"/>
  <c r="F41" i="71"/>
  <c r="F43" i="71" s="1"/>
  <c r="D47" i="2"/>
  <c r="D48" i="2" s="1"/>
  <c r="D62" i="80" s="1"/>
  <c r="J40" i="2"/>
  <c r="D33" i="65"/>
  <c r="D34" i="65" s="1"/>
  <c r="D24" i="80" s="1"/>
  <c r="D38" i="80" s="1"/>
  <c r="D20" i="65"/>
  <c r="D24" i="65" s="1"/>
  <c r="B37" i="63"/>
  <c r="B15" i="80"/>
  <c r="C15" i="80" s="1"/>
  <c r="E15" i="80" s="1"/>
  <c r="B20" i="80"/>
  <c r="C20" i="80" s="1"/>
  <c r="E20" i="80" s="1"/>
  <c r="B32" i="63"/>
  <c r="C32" i="63" s="1"/>
  <c r="F39" i="22"/>
  <c r="F41" i="22" s="1"/>
  <c r="F102" i="15"/>
  <c r="F103" i="15" s="1"/>
  <c r="B103" i="15"/>
  <c r="B105" i="15" s="1"/>
  <c r="F105" i="15" s="1"/>
  <c r="D46" i="16"/>
  <c r="D47" i="16" s="1"/>
  <c r="D72" i="80" s="1"/>
  <c r="D40" i="16"/>
  <c r="B38" i="63"/>
  <c r="C38" i="63" s="1"/>
  <c r="B14" i="80"/>
  <c r="C14" i="80" s="1"/>
  <c r="E14" i="80" s="1"/>
  <c r="E37" i="73"/>
  <c r="C38" i="73"/>
  <c r="C40" i="73" s="1"/>
  <c r="B14" i="63"/>
  <c r="C14" i="63" s="1"/>
  <c r="B29" i="80"/>
  <c r="C29" i="80" s="1"/>
  <c r="E29" i="80" s="1"/>
  <c r="B26" i="80"/>
  <c r="C26" i="80" s="1"/>
  <c r="E26" i="80" s="1"/>
  <c r="B13" i="63"/>
  <c r="C13" i="63" s="1"/>
  <c r="D46" i="12"/>
  <c r="D47" i="12" s="1"/>
  <c r="D64" i="80" s="1"/>
  <c r="D16" i="80"/>
  <c r="D40" i="80" s="1"/>
  <c r="D39" i="74"/>
  <c r="D41" i="74" s="1"/>
  <c r="B13" i="80"/>
  <c r="C13" i="80" s="1"/>
  <c r="E13" i="80" s="1"/>
  <c r="B39" i="63"/>
  <c r="C39" i="63" s="1"/>
  <c r="J47" i="80"/>
  <c r="C55" i="80"/>
  <c r="AH21" i="7"/>
  <c r="AI21" i="7" s="1"/>
  <c r="AI20" i="7"/>
  <c r="D48" i="5"/>
  <c r="D49" i="5" s="1"/>
  <c r="D73" i="80" s="1"/>
  <c r="F42" i="5"/>
  <c r="D30" i="8"/>
  <c r="D31" i="8" s="1"/>
  <c r="D37" i="80" s="1"/>
  <c r="D20" i="8"/>
  <c r="D24" i="8" s="1"/>
  <c r="B58" i="80"/>
  <c r="C58" i="80" s="1"/>
  <c r="E58" i="80" s="1"/>
  <c r="C27" i="63"/>
  <c r="B27" i="63" s="1"/>
  <c r="AH8" i="7" l="1"/>
  <c r="AI7" i="7"/>
  <c r="C103" i="15"/>
  <c r="C19" i="63"/>
  <c r="B19" i="63" s="1"/>
  <c r="B63" i="80"/>
  <c r="C63" i="80" s="1"/>
  <c r="E63" i="80" s="1"/>
  <c r="B32" i="80"/>
  <c r="C32" i="80" s="1"/>
  <c r="E32" i="80" s="1"/>
  <c r="B22" i="63"/>
  <c r="C22" i="63" s="1"/>
  <c r="B12" i="80"/>
  <c r="B28" i="63"/>
  <c r="C28" i="63" s="1"/>
  <c r="B27" i="80"/>
  <c r="C27" i="80" s="1"/>
  <c r="E27" i="80" s="1"/>
  <c r="B10" i="63"/>
  <c r="C10" i="63" s="1"/>
  <c r="C19" i="80"/>
  <c r="B21" i="80"/>
  <c r="E38" i="73"/>
  <c r="F37" i="73"/>
  <c r="B35" i="80"/>
  <c r="C35" i="80" s="1"/>
  <c r="E35" i="80" s="1"/>
  <c r="B33" i="63"/>
  <c r="C33" i="63" s="1"/>
  <c r="D74" i="80"/>
  <c r="E64" i="80"/>
  <c r="B56" i="80"/>
  <c r="C15" i="63"/>
  <c r="B15" i="63" s="1"/>
  <c r="N11" i="13"/>
  <c r="M13" i="13"/>
  <c r="B70" i="80"/>
  <c r="C17" i="63"/>
  <c r="B17" i="63" s="1"/>
  <c r="B37" i="80"/>
  <c r="C37" i="80" s="1"/>
  <c r="E37" i="80" s="1"/>
  <c r="B20" i="63"/>
  <c r="C20" i="63" s="1"/>
  <c r="B62" i="80"/>
  <c r="C12" i="63"/>
  <c r="B12" i="63" s="1"/>
  <c r="E41" i="13"/>
  <c r="F41" i="13" s="1"/>
  <c r="F38" i="13"/>
  <c r="B73" i="80"/>
  <c r="C73" i="80" s="1"/>
  <c r="E73" i="80" s="1"/>
  <c r="C21" i="63"/>
  <c r="B21" i="63" s="1"/>
  <c r="C25" i="63"/>
  <c r="B25" i="63" s="1"/>
  <c r="B71" i="80"/>
  <c r="C71" i="80" s="1"/>
  <c r="E71" i="80" s="1"/>
  <c r="C56" i="20"/>
  <c r="F51" i="73" s="1"/>
  <c r="B8" i="63"/>
  <c r="B24" i="80"/>
  <c r="B66" i="80"/>
  <c r="C66" i="80" s="1"/>
  <c r="E66" i="80" s="1"/>
  <c r="C24" i="63"/>
  <c r="B24" i="63" s="1"/>
  <c r="D67" i="80"/>
  <c r="E55" i="80"/>
  <c r="B72" i="80"/>
  <c r="C72" i="80" s="1"/>
  <c r="E72" i="80" s="1"/>
  <c r="C26" i="63"/>
  <c r="B26" i="63" s="1"/>
  <c r="C37" i="63"/>
  <c r="D59" i="80"/>
  <c r="D76" i="80" s="1"/>
  <c r="C24" i="80" l="1"/>
  <c r="B11" i="63"/>
  <c r="C11" i="63" s="1"/>
  <c r="B25" i="80"/>
  <c r="C25" i="80" s="1"/>
  <c r="E25" i="80" s="1"/>
  <c r="F38" i="73"/>
  <c r="E40" i="73"/>
  <c r="F40" i="73" s="1"/>
  <c r="F49" i="73" s="1"/>
  <c r="F53" i="73" s="1"/>
  <c r="C8" i="63"/>
  <c r="C34" i="63" s="1"/>
  <c r="B34" i="63"/>
  <c r="C62" i="80"/>
  <c r="B67" i="80"/>
  <c r="C56" i="80"/>
  <c r="B59" i="80"/>
  <c r="B76" i="80" s="1"/>
  <c r="E19" i="80"/>
  <c r="E21" i="80" s="1"/>
  <c r="C21" i="80"/>
  <c r="B74" i="80"/>
  <c r="C70" i="80"/>
  <c r="B16" i="80"/>
  <c r="C12" i="80"/>
  <c r="AI8" i="7"/>
  <c r="AH9" i="7"/>
  <c r="B41" i="63" l="1"/>
  <c r="B28" i="80"/>
  <c r="E56" i="80"/>
  <c r="C59" i="80"/>
  <c r="E70" i="80"/>
  <c r="E74" i="80" s="1"/>
  <c r="C74" i="80"/>
  <c r="E62" i="80"/>
  <c r="E67" i="80" s="1"/>
  <c r="C67" i="80"/>
  <c r="C76" i="80" s="1"/>
  <c r="E24" i="80"/>
  <c r="AI9" i="7"/>
  <c r="AH10" i="7"/>
  <c r="C16" i="80"/>
  <c r="E12" i="80"/>
  <c r="AH11" i="7" l="1"/>
  <c r="AI10" i="7"/>
  <c r="E59" i="80"/>
  <c r="E76" i="80" s="1"/>
  <c r="C28" i="80"/>
  <c r="B38" i="80"/>
  <c r="B40" i="80"/>
  <c r="B79" i="80" s="1"/>
  <c r="C41" i="63"/>
  <c r="C43" i="63" s="1"/>
  <c r="C45" i="63" s="1"/>
  <c r="B43" i="63"/>
  <c r="B45" i="63" s="1"/>
  <c r="E16" i="80"/>
  <c r="E40" i="80" l="1"/>
  <c r="E28" i="80"/>
  <c r="E38" i="80" s="1"/>
  <c r="C40" i="80"/>
  <c r="B80" i="80" s="1"/>
  <c r="C38" i="80"/>
  <c r="AH12" i="7"/>
  <c r="AI11" i="7"/>
  <c r="AI12" i="7" l="1"/>
  <c r="AH13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<sst xmlns="http://schemas.openxmlformats.org/spreadsheetml/2006/main" count="668" uniqueCount="206">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</sst>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166" fontId="25" fillId="0" borderId="1" xfId="0" applyNumberFormat="1" applyFont="1" applyFill="1" applyBorder="1"/>
    <xf numFmtId="7" fontId="38" fillId="0" borderId="1" xfId="1" applyNumberFormat="1" applyFont="1" applyFill="1" applyBorder="1"/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7" fontId="25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2.09</v>
          </cell>
          <cell r="K39">
            <v>1.94</v>
          </cell>
          <cell r="M39">
            <v>2.04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tabSelected="1" workbookViewId="0"/>
    <sheetView workbookViewId="1"/>
    <sheetView topLeftCell="A46" workbookViewId="2">
      <selection activeCell="G50" sqref="G50"/>
    </sheetView>
    <sheetView tabSelected="1" workbookViewId="3">
      <selection activeCell="D11" sqref="D1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4" t="s">
        <v>81</v>
      </c>
      <c r="J2" s="417"/>
      <c r="K2" s="32"/>
    </row>
    <row r="3" spans="1:32" ht="12.95" customHeight="1" x14ac:dyDescent="0.2">
      <c r="D3" s="7"/>
      <c r="I3" s="415" t="s">
        <v>30</v>
      </c>
      <c r="J3" s="418">
        <f>+summary!H3</f>
        <v>1.94</v>
      </c>
      <c r="K3" s="435">
        <f ca="1">NOW()</f>
        <v>41885.693555208331</v>
      </c>
    </row>
    <row r="4" spans="1:32" ht="12.95" customHeight="1" x14ac:dyDescent="0.2">
      <c r="A4" s="34" t="s">
        <v>152</v>
      </c>
      <c r="C4" s="34" t="s">
        <v>5</v>
      </c>
      <c r="D4" s="7"/>
      <c r="I4" s="416" t="s">
        <v>31</v>
      </c>
      <c r="J4" s="418">
        <f>+summary!H4</f>
        <v>2.04</v>
      </c>
      <c r="K4" s="32"/>
    </row>
    <row r="5" spans="1:32" ht="12.95" customHeight="1" x14ac:dyDescent="0.2">
      <c r="D5" s="7"/>
      <c r="I5" s="415" t="s">
        <v>120</v>
      </c>
      <c r="J5" s="418">
        <f>+summary!H5</f>
        <v>2.09</v>
      </c>
      <c r="K5" s="32"/>
    </row>
    <row r="6" spans="1:32" ht="12" customHeight="1" x14ac:dyDescent="0.2"/>
    <row r="7" spans="1:32" ht="12.95" customHeight="1" x14ac:dyDescent="0.2">
      <c r="A7" s="433" t="s">
        <v>179</v>
      </c>
      <c r="B7" s="434"/>
      <c r="AD7" s="32"/>
      <c r="AE7" s="32"/>
      <c r="AF7" s="32"/>
    </row>
    <row r="8" spans="1:32" ht="15.95" customHeight="1" outlineLevel="2" x14ac:dyDescent="0.2">
      <c r="A8" s="32"/>
      <c r="B8" s="47"/>
      <c r="C8" s="431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7" t="s">
        <v>92</v>
      </c>
      <c r="B9" s="423" t="s">
        <v>163</v>
      </c>
      <c r="C9" s="432" t="s">
        <v>178</v>
      </c>
      <c r="D9" s="465" t="s">
        <v>0</v>
      </c>
      <c r="E9" s="39" t="s">
        <v>164</v>
      </c>
      <c r="F9" s="39" t="s">
        <v>153</v>
      </c>
      <c r="G9" s="421" t="s">
        <v>159</v>
      </c>
      <c r="H9" s="398" t="s">
        <v>104</v>
      </c>
      <c r="I9" s="397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7" t="s">
        <v>169</v>
      </c>
    </row>
    <row r="12" spans="1:32" ht="15.95" customHeight="1" outlineLevel="1" x14ac:dyDescent="0.2">
      <c r="A12" s="206" t="s">
        <v>132</v>
      </c>
      <c r="B12" s="373">
        <f>+Calpine!D41</f>
        <v>91940.160000000003</v>
      </c>
      <c r="C12" s="400">
        <f>+B12/$J$4</f>
        <v>45068.705882352944</v>
      </c>
      <c r="D12" s="14">
        <f>+Calpine!D47</f>
        <v>135526</v>
      </c>
      <c r="E12" s="70">
        <f>+C12-D12</f>
        <v>-90457.294117647049</v>
      </c>
      <c r="F12" s="395">
        <f>+Calpine!A41</f>
        <v>37149</v>
      </c>
      <c r="G12" s="205"/>
      <c r="H12" s="206" t="s">
        <v>102</v>
      </c>
      <c r="I12" s="379"/>
      <c r="J12" s="70"/>
      <c r="K12" s="32"/>
    </row>
    <row r="13" spans="1:32" ht="15.95" customHeight="1" outlineLevel="2" x14ac:dyDescent="0.2">
      <c r="A13" s="32" t="s">
        <v>144</v>
      </c>
      <c r="B13" s="373">
        <f>+'Citizens-Griffith'!D41</f>
        <v>-51190.720000000001</v>
      </c>
      <c r="C13" s="399">
        <f>+B13/$J$4</f>
        <v>-25093.49019607843</v>
      </c>
      <c r="D13" s="14">
        <f>+'Citizens-Griffith'!D48</f>
        <v>-26177</v>
      </c>
      <c r="E13" s="70">
        <f>+C13-D13</f>
        <v>1083.50980392157</v>
      </c>
      <c r="F13" s="395">
        <f>+'Citizens-Griffith'!A41</f>
        <v>37149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3">
        <f>+'NS Steel'!D41</f>
        <v>-438391.14</v>
      </c>
      <c r="C14" s="399">
        <f>+B14/$J$4</f>
        <v>-214897.61764705883</v>
      </c>
      <c r="D14" s="14">
        <f>+'NS Steel'!D50</f>
        <v>-86043</v>
      </c>
      <c r="E14" s="70">
        <f>+C14-D14</f>
        <v>-128854.61764705883</v>
      </c>
      <c r="F14" s="396">
        <f>+'NS Steel'!A41</f>
        <v>37149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6">
        <f>+Citizens!D18</f>
        <v>-656902.13</v>
      </c>
      <c r="C15" s="401">
        <f>+B15/$J$4</f>
        <v>-322010.84803921566</v>
      </c>
      <c r="D15" s="377">
        <f>+Citizens!D24</f>
        <v>-102720</v>
      </c>
      <c r="E15" s="72">
        <f>+C15-D15</f>
        <v>-219290.84803921566</v>
      </c>
      <c r="F15" s="395">
        <f>+Citizens!A18</f>
        <v>37149</v>
      </c>
      <c r="G15" s="205"/>
      <c r="H15" s="206" t="s">
        <v>102</v>
      </c>
      <c r="I15" s="457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19">
        <f>SUBTOTAL(9,B12:B15)</f>
        <v>-1054543.83</v>
      </c>
      <c r="C16" s="426">
        <f>SUBTOTAL(9,C12:C15)</f>
        <v>-516933.25</v>
      </c>
      <c r="D16" s="427">
        <f>SUBTOTAL(9,D12:D15)</f>
        <v>-79414</v>
      </c>
      <c r="E16" s="428">
        <f>SUBTOTAL(9,E12:E15)</f>
        <v>-437519.25</v>
      </c>
      <c r="F16" s="395"/>
      <c r="G16" s="205"/>
      <c r="H16" s="206"/>
      <c r="I16" s="379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0" t="s">
        <v>59</v>
      </c>
      <c r="G18" s="7"/>
    </row>
    <row r="19" spans="1:20" ht="15.95" customHeight="1" outlineLevel="2" x14ac:dyDescent="0.2">
      <c r="A19" s="32" t="s">
        <v>74</v>
      </c>
      <c r="B19" s="374">
        <f>+transcol!$D$43</f>
        <v>26165.649999999998</v>
      </c>
      <c r="C19" s="399">
        <f>+B19/$J$4</f>
        <v>12826.299019607843</v>
      </c>
      <c r="D19" s="14">
        <f>+transcol!D50</f>
        <v>-43720</v>
      </c>
      <c r="E19" s="70">
        <f>+C19-D19</f>
        <v>56546.299019607846</v>
      </c>
      <c r="F19" s="396">
        <f>+transcol!A43</f>
        <v>37149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6">
        <f>+burlington!D42</f>
        <v>5468.86</v>
      </c>
      <c r="C20" s="403">
        <f>+B20/$J$3</f>
        <v>2819</v>
      </c>
      <c r="D20" s="377">
        <f>+burlington!D49</f>
        <v>2819</v>
      </c>
      <c r="E20" s="72">
        <f>+C20-D20</f>
        <v>0</v>
      </c>
      <c r="F20" s="395">
        <f>+burlington!A42</f>
        <v>37149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19">
        <f>SUBTOTAL(9,B19:B20)</f>
        <v>31634.51</v>
      </c>
      <c r="C21" s="420">
        <f>SUBTOTAL(9,C19:C20)</f>
        <v>15645.299019607843</v>
      </c>
      <c r="D21" s="427">
        <f>SUBTOTAL(9,D19:D20)</f>
        <v>-40901</v>
      </c>
      <c r="E21" s="428">
        <f>SUBTOTAL(9,E19:E20)</f>
        <v>56546.299019607846</v>
      </c>
      <c r="F21" s="395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7" t="s">
        <v>173</v>
      </c>
      <c r="B23" s="461"/>
      <c r="C23" s="462"/>
      <c r="D23" s="463"/>
      <c r="E23" s="463"/>
      <c r="F23" s="463"/>
      <c r="G23" s="464"/>
      <c r="H23" s="463"/>
      <c r="I23" s="463"/>
    </row>
    <row r="24" spans="1:20" ht="15.95" customHeight="1" outlineLevel="2" x14ac:dyDescent="0.2">
      <c r="A24" s="206" t="s">
        <v>90</v>
      </c>
      <c r="B24" s="373">
        <f>+NNG!$D$24</f>
        <v>524765.19999999995</v>
      </c>
      <c r="C24" s="399">
        <f t="shared" ref="C24:C35" si="0">+B24/$J$4</f>
        <v>257237.84313725488</v>
      </c>
      <c r="D24" s="14">
        <f>+NNG!D34</f>
        <v>31345</v>
      </c>
      <c r="E24" s="70">
        <f t="shared" ref="E24:E37" si="1">+C24-D24</f>
        <v>225892.84313725488</v>
      </c>
      <c r="F24" s="395">
        <f>+NNG!A24</f>
        <v>37149</v>
      </c>
      <c r="G24" s="422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3">
        <f>+Conoco!$F$41</f>
        <v>448458.09</v>
      </c>
      <c r="C25" s="399">
        <f t="shared" si="0"/>
        <v>219832.39705882352</v>
      </c>
      <c r="D25" s="14">
        <f>+Conoco!D48</f>
        <v>23686</v>
      </c>
      <c r="E25" s="70">
        <f t="shared" si="1"/>
        <v>196146.39705882352</v>
      </c>
      <c r="F25" s="395">
        <f>+Conoco!A41</f>
        <v>37149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3">
        <f>+'Amoco Abo'!$F$43</f>
        <v>422970.77999999997</v>
      </c>
      <c r="C26" s="399">
        <f t="shared" si="0"/>
        <v>207338.6176470588</v>
      </c>
      <c r="D26" s="14">
        <f>+'Amoco Abo'!D49</f>
        <v>-243510</v>
      </c>
      <c r="E26" s="70">
        <f t="shared" si="1"/>
        <v>450848.6176470588</v>
      </c>
      <c r="F26" s="396">
        <f>+'Amoco Abo'!A43</f>
        <v>37149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3">
        <f>+KN_Westar!F41</f>
        <v>449487.16</v>
      </c>
      <c r="C27" s="399">
        <f t="shared" si="0"/>
        <v>220336.84313725488</v>
      </c>
      <c r="D27" s="14">
        <f>+KN_Westar!D48</f>
        <v>20141</v>
      </c>
      <c r="E27" s="70">
        <f t="shared" si="1"/>
        <v>200195.84313725488</v>
      </c>
      <c r="F27" s="396">
        <f>+KN_Westar!A41</f>
        <v>37149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3">
        <f>+DEFS!F53</f>
        <v>-39720.83000000054</v>
      </c>
      <c r="C28" s="400">
        <f t="shared" si="0"/>
        <v>-19470.995098039479</v>
      </c>
      <c r="D28" s="14">
        <f>+DEFS!M53</f>
        <v>308449</v>
      </c>
      <c r="E28" s="70">
        <f t="shared" si="1"/>
        <v>-327919.99509803951</v>
      </c>
      <c r="F28" s="396">
        <f>+DEFS!A40</f>
        <v>37149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3">
        <f>+CIG!D43</f>
        <v>392230.36</v>
      </c>
      <c r="C29" s="399">
        <f t="shared" si="0"/>
        <v>192269.78431372548</v>
      </c>
      <c r="D29" s="14">
        <f>+CIG!D49</f>
        <v>22431</v>
      </c>
      <c r="E29" s="70">
        <f t="shared" si="1"/>
        <v>169838.78431372548</v>
      </c>
      <c r="F29" s="396">
        <f>+CIG!A43</f>
        <v>37149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3">
        <f>+mewborne!$J$43</f>
        <v>355106.03</v>
      </c>
      <c r="C30" s="399">
        <f t="shared" si="0"/>
        <v>174071.58333333334</v>
      </c>
      <c r="D30" s="14">
        <f>+mewborne!D49</f>
        <v>141493</v>
      </c>
      <c r="E30" s="70">
        <f t="shared" si="1"/>
        <v>32578.583333333343</v>
      </c>
      <c r="F30" s="396">
        <f>+mewborne!A43</f>
        <v>37149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3">
        <f>+PGETX!$H$39</f>
        <v>459983.33999999997</v>
      </c>
      <c r="C31" s="399">
        <f t="shared" si="0"/>
        <v>225482.0294117647</v>
      </c>
      <c r="D31" s="14">
        <f>+PGETX!E48</f>
        <v>111193</v>
      </c>
      <c r="E31" s="70">
        <f t="shared" si="1"/>
        <v>114289.0294117647</v>
      </c>
      <c r="F31" s="396">
        <f>+PGETX!E39</f>
        <v>37149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3">
        <f>+PNM!$D$23</f>
        <v>147571.51</v>
      </c>
      <c r="C32" s="399">
        <f t="shared" si="0"/>
        <v>72338.975490196084</v>
      </c>
      <c r="D32" s="14">
        <f>+PNM!D30</f>
        <v>16125</v>
      </c>
      <c r="E32" s="70">
        <f t="shared" si="1"/>
        <v>56213.975490196084</v>
      </c>
      <c r="F32" s="396">
        <f>+PNM!A23</f>
        <v>37149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3">
        <f>+EOG!J41</f>
        <v>60962</v>
      </c>
      <c r="C33" s="399">
        <f t="shared" si="0"/>
        <v>29883.333333333332</v>
      </c>
      <c r="D33" s="14">
        <f>+EOG!D48</f>
        <v>-95590</v>
      </c>
      <c r="E33" s="70">
        <f t="shared" si="1"/>
        <v>125473.33333333333</v>
      </c>
      <c r="F33" s="395">
        <f>+EOG!A41</f>
        <v>37149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3">
        <f>+SidR!D41</f>
        <v>41735.78</v>
      </c>
      <c r="C34" s="399">
        <f t="shared" si="0"/>
        <v>20458.715686274511</v>
      </c>
      <c r="D34" s="14">
        <f>+SidR!D48</f>
        <v>18066</v>
      </c>
      <c r="E34" s="70">
        <f t="shared" si="1"/>
        <v>2392.7156862745105</v>
      </c>
      <c r="F34" s="396">
        <f>+SidR!A41</f>
        <v>37149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3">
        <f>+Continental!F43</f>
        <v>5163.49</v>
      </c>
      <c r="C35" s="400">
        <f t="shared" si="0"/>
        <v>2531.1225490196075</v>
      </c>
      <c r="D35" s="14">
        <f>+Continental!D50</f>
        <v>-13663</v>
      </c>
      <c r="E35" s="70">
        <f t="shared" si="1"/>
        <v>16194.122549019608</v>
      </c>
      <c r="F35" s="396">
        <f>+Continental!A43</f>
        <v>37149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3">
        <f>+EPFS!D41</f>
        <v>-34535.83</v>
      </c>
      <c r="C36" s="400">
        <f>+B36/$J$5</f>
        <v>-16524.320574162681</v>
      </c>
      <c r="D36" s="14">
        <f>+EPFS!D47</f>
        <v>-656</v>
      </c>
      <c r="E36" s="70">
        <f t="shared" si="1"/>
        <v>-15868.320574162681</v>
      </c>
      <c r="F36" s="395">
        <f>+EPFS!A41</f>
        <v>37149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6">
        <f>+Agave!$D$24</f>
        <v>173116.22999999998</v>
      </c>
      <c r="C37" s="401">
        <f>+B37/$J$4</f>
        <v>84860.897058823524</v>
      </c>
      <c r="D37" s="377">
        <f>+Agave!D31</f>
        <v>50281</v>
      </c>
      <c r="E37" s="72">
        <f t="shared" si="1"/>
        <v>34579.897058823524</v>
      </c>
      <c r="F37" s="395">
        <f>+Agave!A24</f>
        <v>37149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19">
        <f>SUBTOTAL(9,B24:B37)</f>
        <v>3407293.3099999987</v>
      </c>
      <c r="C38" s="426">
        <f>SUBTOTAL(9,C24:C37)</f>
        <v>1670646.8264846602</v>
      </c>
      <c r="D38" s="427">
        <f>SUBTOTAL(9,D24:D37)</f>
        <v>389791</v>
      </c>
      <c r="E38" s="428">
        <f>SUBTOTAL(9,E24:E37)</f>
        <v>1280855.8264846604</v>
      </c>
      <c r="F38" s="395"/>
      <c r="G38" s="380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19">
        <f>SUBTOTAL(9,B12:B37)</f>
        <v>2384383.9899999993</v>
      </c>
      <c r="C40" s="426">
        <f>SUBTOTAL(9,C12:C37)</f>
        <v>1169358.8755042681</v>
      </c>
      <c r="D40" s="427">
        <f>SUBTOTAL(9,D12:D37)</f>
        <v>269476</v>
      </c>
      <c r="E40" s="428">
        <f>SUBTOTAL(9,E12:E37)</f>
        <v>899882.87550426857</v>
      </c>
      <c r="F40" s="395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3"/>
      <c r="C41" s="399"/>
      <c r="D41" s="399"/>
      <c r="E41" s="399"/>
      <c r="F41" s="380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4" t="s">
        <v>81</v>
      </c>
      <c r="J45" s="417"/>
      <c r="K45" s="32"/>
    </row>
    <row r="46" spans="1:12" ht="13.5" customHeight="1" outlineLevel="2" x14ac:dyDescent="0.2">
      <c r="D46" s="7"/>
      <c r="I46" s="415" t="s">
        <v>30</v>
      </c>
      <c r="J46" s="418">
        <f>+J3</f>
        <v>1.94</v>
      </c>
      <c r="K46" s="435">
        <f ca="1">NOW()</f>
        <v>41885.693555208331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6" t="s">
        <v>31</v>
      </c>
      <c r="J47" s="418">
        <f>+J4</f>
        <v>2.04</v>
      </c>
      <c r="K47" s="32"/>
    </row>
    <row r="48" spans="1:12" ht="13.5" customHeight="1" outlineLevel="1" x14ac:dyDescent="0.2">
      <c r="D48" s="7"/>
      <c r="I48" s="415" t="s">
        <v>120</v>
      </c>
      <c r="J48" s="418">
        <f>+J5</f>
        <v>2.09</v>
      </c>
      <c r="K48" s="32"/>
    </row>
    <row r="49" spans="1:19" ht="13.5" customHeight="1" outlineLevel="2" x14ac:dyDescent="0.2"/>
    <row r="50" spans="1:19" ht="13.5" customHeight="1" outlineLevel="2" x14ac:dyDescent="0.2">
      <c r="A50" s="433" t="s">
        <v>180</v>
      </c>
      <c r="B50" s="434"/>
    </row>
    <row r="51" spans="1:19" ht="13.5" customHeight="1" outlineLevel="2" x14ac:dyDescent="0.2">
      <c r="A51" s="32"/>
      <c r="C51" s="436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7" t="s">
        <v>92</v>
      </c>
      <c r="B52" s="432" t="s">
        <v>0</v>
      </c>
      <c r="C52" s="409" t="s">
        <v>182</v>
      </c>
      <c r="D52" s="39" t="s">
        <v>184</v>
      </c>
      <c r="E52" s="39" t="s">
        <v>186</v>
      </c>
      <c r="F52" s="39" t="s">
        <v>153</v>
      </c>
      <c r="G52" s="421" t="s">
        <v>159</v>
      </c>
      <c r="H52" s="398" t="s">
        <v>104</v>
      </c>
      <c r="I52" s="397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7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399">
        <f>+Mojave!D40</f>
        <v>148025</v>
      </c>
      <c r="C55" s="373">
        <f>+B55*$J$4</f>
        <v>301971</v>
      </c>
      <c r="D55" s="47">
        <f>+Mojave!D47</f>
        <v>118505.44</v>
      </c>
      <c r="E55" s="47">
        <f>+C55-D55</f>
        <v>183465.56</v>
      </c>
      <c r="F55" s="396">
        <f>+Mojave!A40</f>
        <v>37149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0">
        <f>+SoCal!F40</f>
        <v>188377</v>
      </c>
      <c r="C56" s="373">
        <f>+B56*$J$4</f>
        <v>384289.08</v>
      </c>
      <c r="D56" s="47">
        <f>+SoCal!D47</f>
        <v>541097.76</v>
      </c>
      <c r="E56" s="47">
        <f>+C56-D56</f>
        <v>-156808.68</v>
      </c>
      <c r="F56" s="396">
        <f>+SoCal!A40</f>
        <v>37149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399">
        <f>+'El Paso'!C39</f>
        <v>64244</v>
      </c>
      <c r="C57" s="373">
        <f>+B57*$J$4</f>
        <v>131057.76000000001</v>
      </c>
      <c r="D57" s="47">
        <f>+'El Paso'!C46</f>
        <v>-1583012.01</v>
      </c>
      <c r="E57" s="47">
        <f>+C57-D57</f>
        <v>1714069.77</v>
      </c>
      <c r="F57" s="396">
        <f>+'El Paso'!A39</f>
        <v>37149</v>
      </c>
      <c r="G57" s="458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1">
        <f>+'PG&amp;E'!D40</f>
        <v>57209</v>
      </c>
      <c r="C58" s="376">
        <f>+B58*$J$4</f>
        <v>116706.36</v>
      </c>
      <c r="D58" s="376">
        <f>+'PG&amp;E'!D47</f>
        <v>-76564.320000000007</v>
      </c>
      <c r="E58" s="376">
        <f>+C58-D58</f>
        <v>193270.68</v>
      </c>
      <c r="F58" s="396">
        <f>+'PG&amp;E'!A40</f>
        <v>37149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6">
        <f>SUBTOTAL(9,B55:B58)</f>
        <v>457855</v>
      </c>
      <c r="C59" s="419">
        <f>SUBTOTAL(9,C55:C58)</f>
        <v>934024.20000000007</v>
      </c>
      <c r="D59" s="419">
        <f>SUBTOTAL(9,D55:D58)</f>
        <v>-999973.13000000012</v>
      </c>
      <c r="E59" s="419">
        <f>SUBTOTAL(9,E55:E58)</f>
        <v>1933997.3299999998</v>
      </c>
      <c r="F59" s="396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7" t="s">
        <v>59</v>
      </c>
      <c r="B61" s="296"/>
      <c r="C61" s="252"/>
      <c r="G61" s="205"/>
    </row>
    <row r="62" spans="1:19" x14ac:dyDescent="0.2">
      <c r="A62" s="206" t="s">
        <v>29</v>
      </c>
      <c r="B62" s="399">
        <f>+williams!J40</f>
        <v>220498</v>
      </c>
      <c r="C62" s="373">
        <f>+B62*$J$3</f>
        <v>427766.12</v>
      </c>
      <c r="D62" s="47">
        <f>+williams!D48</f>
        <v>1181747.51</v>
      </c>
      <c r="E62" s="47">
        <f>+C62-D62</f>
        <v>-753981.39</v>
      </c>
      <c r="F62" s="395">
        <f>+williams!A40</f>
        <v>37149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399">
        <f>+'Red C'!F43</f>
        <v>134131</v>
      </c>
      <c r="C63" s="374">
        <f>+B63*J3</f>
        <v>260214.13999999998</v>
      </c>
      <c r="D63" s="202">
        <f>+'Red C'!D52</f>
        <v>661890.75</v>
      </c>
      <c r="E63" s="47">
        <f>+C63-D63</f>
        <v>-401676.61</v>
      </c>
      <c r="F63" s="395">
        <f>+'Red C'!B43</f>
        <v>37149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399">
        <f>+Amoco!D40</f>
        <v>71299</v>
      </c>
      <c r="C64" s="373">
        <f>+B64*$J$3</f>
        <v>138320.06</v>
      </c>
      <c r="D64" s="47">
        <f>+Amoco!D47</f>
        <v>465163.86</v>
      </c>
      <c r="E64" s="47">
        <f>+C64-D64</f>
        <v>-326843.8</v>
      </c>
      <c r="F64" s="396">
        <f>+Amoco!A40</f>
        <v>37149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399">
        <f>+'El Paso'!E39</f>
        <v>-85237</v>
      </c>
      <c r="C65" s="373">
        <f>+B65*$J$3</f>
        <v>-165359.78</v>
      </c>
      <c r="D65" s="47">
        <f>+'El Paso'!F46</f>
        <v>-677863.30999999994</v>
      </c>
      <c r="E65" s="47">
        <f>+C65-D65</f>
        <v>512503.52999999991</v>
      </c>
      <c r="F65" s="396">
        <f>+'El Paso'!A39</f>
        <v>37149</v>
      </c>
      <c r="G65" s="458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1">
        <f>+NW!$F$41</f>
        <v>66106</v>
      </c>
      <c r="C66" s="376">
        <f>+B66*$J$3</f>
        <v>128245.64</v>
      </c>
      <c r="D66" s="376">
        <f>+NW!E49</f>
        <v>-325874.44</v>
      </c>
      <c r="E66" s="376">
        <f>+C66-D66</f>
        <v>454120.08</v>
      </c>
      <c r="F66" s="395">
        <f>+NW!B41</f>
        <v>37149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6">
        <f>SUBTOTAL(9,B62:B66)</f>
        <v>406797</v>
      </c>
      <c r="C67" s="419">
        <f>SUBTOTAL(9,C62:C66)</f>
        <v>789186.18</v>
      </c>
      <c r="D67" s="419">
        <f>SUBTOTAL(9,D62:D66)</f>
        <v>1305064.3700000001</v>
      </c>
      <c r="E67" s="419">
        <f>SUBTOTAL(9,E62:E66)</f>
        <v>-515878.19000000012</v>
      </c>
      <c r="F67" s="395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7" t="s">
        <v>173</v>
      </c>
      <c r="B69" s="296"/>
      <c r="C69" s="252"/>
      <c r="G69" s="205"/>
    </row>
    <row r="70" spans="1:12" x14ac:dyDescent="0.2">
      <c r="A70" s="32" t="s">
        <v>91</v>
      </c>
      <c r="B70" s="399">
        <f>+NGPL!F38</f>
        <v>158763</v>
      </c>
      <c r="C70" s="373">
        <f>+B70*$J$4</f>
        <v>323876.52</v>
      </c>
      <c r="D70" s="47">
        <f>+NGPL!D45</f>
        <v>395173.35000000003</v>
      </c>
      <c r="E70" s="47">
        <f>+C70-D70</f>
        <v>-71296.830000000016</v>
      </c>
      <c r="F70" s="396">
        <f>+NGPL!A38</f>
        <v>37149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399">
        <f>+PEPL!D41</f>
        <v>60890</v>
      </c>
      <c r="C71" s="374">
        <f>+B71*$J$4</f>
        <v>124215.6</v>
      </c>
      <c r="D71" s="47">
        <f>+PEPL!D47</f>
        <v>289776.89</v>
      </c>
      <c r="E71" s="47">
        <f>+C71-D71</f>
        <v>-165561.29</v>
      </c>
      <c r="F71" s="396">
        <f>+PEPL!A41</f>
        <v>37149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0">
        <f>+Oasis!D40</f>
        <v>58364</v>
      </c>
      <c r="C72" s="373">
        <f>+B72*$J$4</f>
        <v>119062.56</v>
      </c>
      <c r="D72" s="47">
        <f>+Oasis!D47</f>
        <v>-230665.93</v>
      </c>
      <c r="E72" s="47">
        <f>+C72-D72</f>
        <v>349728.49</v>
      </c>
      <c r="F72" s="396">
        <f>+Oasis!B40</f>
        <v>37149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3">
        <f>+Lonestar!F42</f>
        <v>77850</v>
      </c>
      <c r="C73" s="376">
        <f>+B73*$J$4</f>
        <v>158814</v>
      </c>
      <c r="D73" s="376">
        <f>+Lonestar!D49</f>
        <v>81478.75</v>
      </c>
      <c r="E73" s="376">
        <f>+C73-D73</f>
        <v>77335.25</v>
      </c>
      <c r="F73" s="395">
        <f>+Lonestar!B42</f>
        <v>37149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0">
        <f>SUBTOTAL(9,B70:B73)</f>
        <v>355867</v>
      </c>
      <c r="C74" s="419">
        <f>SUBTOTAL(9,C70:C73)</f>
        <v>725968.67999999993</v>
      </c>
      <c r="D74" s="419">
        <f>SUBTOTAL(9,D70:D73)</f>
        <v>535763.06000000006</v>
      </c>
      <c r="E74" s="419">
        <f>SUBTOTAL(9,E70:E73)</f>
        <v>190205.61999999997</v>
      </c>
      <c r="F74" s="395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0">
        <f>SUBTOTAL(9,B55:B73)</f>
        <v>1220519</v>
      </c>
      <c r="C76" s="419">
        <f>SUBTOTAL(9,C55:C73)</f>
        <v>2449179.06</v>
      </c>
      <c r="D76" s="419">
        <f>SUBTOTAL(9,D55:D73)</f>
        <v>840854.29999999981</v>
      </c>
      <c r="E76" s="419">
        <f>SUBTOTAL(9,E55:E73)</f>
        <v>1608324.7599999998</v>
      </c>
      <c r="F76" s="395"/>
      <c r="H76" s="32"/>
      <c r="I76" s="32"/>
      <c r="J76" s="32"/>
      <c r="K76" s="32"/>
    </row>
    <row r="77" spans="1:12" x14ac:dyDescent="0.2">
      <c r="A77" s="32"/>
      <c r="B77" s="373"/>
      <c r="C77" s="400"/>
      <c r="D77" s="373"/>
      <c r="E77" s="373"/>
      <c r="F77" s="395"/>
      <c r="H77" s="32"/>
      <c r="I77" s="32"/>
      <c r="J77" s="32"/>
      <c r="K77" s="32"/>
    </row>
    <row r="78" spans="1:12" x14ac:dyDescent="0.2">
      <c r="A78" s="32"/>
      <c r="B78" s="376"/>
      <c r="C78" s="399"/>
      <c r="D78" s="304"/>
      <c r="E78" s="304"/>
      <c r="F78" s="395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29">
        <f>+C76+B40</f>
        <v>4833563.0499999989</v>
      </c>
      <c r="C79" s="208"/>
      <c r="D79" s="373"/>
      <c r="E79" s="373"/>
      <c r="F79" s="380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2389877.8755042683</v>
      </c>
      <c r="C80" s="402"/>
      <c r="D80" s="460"/>
      <c r="E80" s="304"/>
      <c r="F80" s="380"/>
      <c r="G80" s="32"/>
      <c r="H80" s="32"/>
      <c r="I80" s="32"/>
      <c r="J80" s="32"/>
    </row>
    <row r="81" spans="1:10" x14ac:dyDescent="0.2">
      <c r="A81" s="32"/>
      <c r="B81" s="47"/>
      <c r="C81" s="404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3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C46" sqref="C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146908</v>
      </c>
      <c r="C15" s="11">
        <v>145190</v>
      </c>
      <c r="D15" s="11">
        <v>12491</v>
      </c>
      <c r="E15" s="11">
        <v>12532</v>
      </c>
      <c r="F15" s="11">
        <f t="shared" si="5"/>
        <v>-1677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146501</v>
      </c>
      <c r="C16" s="11">
        <v>145042</v>
      </c>
      <c r="D16" s="11">
        <v>12628</v>
      </c>
      <c r="E16" s="11">
        <v>12532</v>
      </c>
      <c r="F16" s="11">
        <f t="shared" si="5"/>
        <v>-1555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139093</v>
      </c>
      <c r="C17" s="11">
        <v>135297</v>
      </c>
      <c r="D17" s="11">
        <v>11965</v>
      </c>
      <c r="E17" s="11">
        <v>12532</v>
      </c>
      <c r="F17" s="11">
        <f t="shared" si="5"/>
        <v>-3229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144157</v>
      </c>
      <c r="C18" s="11">
        <v>143840</v>
      </c>
      <c r="D18" s="11">
        <v>12730</v>
      </c>
      <c r="E18" s="11">
        <v>12532</v>
      </c>
      <c r="F18" s="11">
        <f t="shared" si="5"/>
        <v>-515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145319</v>
      </c>
      <c r="C19" s="11">
        <v>145809</v>
      </c>
      <c r="D19" s="11">
        <v>12726</v>
      </c>
      <c r="E19" s="11">
        <v>12532</v>
      </c>
      <c r="F19" s="11">
        <f t="shared" si="5"/>
        <v>296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141553</v>
      </c>
      <c r="C20" s="11">
        <v>138752</v>
      </c>
      <c r="D20" s="11">
        <v>11868</v>
      </c>
      <c r="E20" s="11">
        <v>12195</v>
      </c>
      <c r="F20" s="11">
        <f t="shared" si="5"/>
        <v>-2474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141129</v>
      </c>
      <c r="C21" s="11">
        <v>141949</v>
      </c>
      <c r="D21" s="11">
        <v>13102</v>
      </c>
      <c r="E21" s="11">
        <v>12532</v>
      </c>
      <c r="F21" s="11">
        <f t="shared" si="5"/>
        <v>250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146143</v>
      </c>
      <c r="C22" s="11">
        <v>145535</v>
      </c>
      <c r="D22" s="11">
        <v>9007</v>
      </c>
      <c r="E22" s="11">
        <v>8228</v>
      </c>
      <c r="F22" s="11">
        <f t="shared" si="5"/>
        <v>-1387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46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2225952</v>
      </c>
      <c r="C39" s="150">
        <f>SUM(C8:C38)</f>
        <v>2216761</v>
      </c>
      <c r="D39" s="150">
        <f>SUM(D8:D38)</f>
        <v>183095</v>
      </c>
      <c r="E39" s="150">
        <f>SUM(E8:E38)</f>
        <v>183339</v>
      </c>
      <c r="F39" s="11">
        <f t="shared" si="5"/>
        <v>-8947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74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37149</v>
      </c>
      <c r="C43" s="142"/>
      <c r="D43" s="142"/>
      <c r="E43" s="142"/>
      <c r="F43" s="150">
        <f>+F42+F39</f>
        <v>134131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69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37149</v>
      </c>
      <c r="B51" s="32"/>
      <c r="C51" s="32"/>
      <c r="D51" s="406">
        <f>+F39*'by type_area'!J3</f>
        <v>-17357.18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661890.75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9" workbookViewId="3">
      <selection activeCell="C20" sqref="C2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-84075</v>
      </c>
      <c r="C15" s="24">
        <v>-83302</v>
      </c>
      <c r="D15" s="24">
        <f t="shared" si="0"/>
        <v>773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-93592</v>
      </c>
      <c r="C16" s="24">
        <v>-91846</v>
      </c>
      <c r="D16" s="24">
        <f t="shared" si="0"/>
        <v>1746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-134859</v>
      </c>
      <c r="C17" s="24">
        <v>-133317</v>
      </c>
      <c r="D17" s="24">
        <f t="shared" si="0"/>
        <v>1542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-107262</v>
      </c>
      <c r="C18" s="24">
        <v>-102870</v>
      </c>
      <c r="D18" s="24">
        <f t="shared" si="0"/>
        <v>4392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-87749</v>
      </c>
      <c r="C19" s="24">
        <v>-87755</v>
      </c>
      <c r="D19" s="24">
        <f t="shared" si="0"/>
        <v>-6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-1674729</v>
      </c>
      <c r="C36" s="24">
        <f>SUM(C5:C35)</f>
        <v>-1663918</v>
      </c>
      <c r="D36" s="24">
        <f t="shared" si="0"/>
        <v>10811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68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37149</v>
      </c>
      <c r="C40" s="24"/>
      <c r="D40" s="195">
        <f>+D36+D38</f>
        <v>58364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69">
        <v>-252720.37</v>
      </c>
    </row>
    <row r="46" spans="1:65" x14ac:dyDescent="0.2">
      <c r="A46" s="49">
        <f>+B40</f>
        <v>37149</v>
      </c>
      <c r="B46" s="32"/>
      <c r="C46" s="32"/>
      <c r="D46" s="406">
        <f>+D36*'by type_area'!J4</f>
        <v>22054.44</v>
      </c>
    </row>
    <row r="47" spans="1:65" x14ac:dyDescent="0.2">
      <c r="A47" s="32"/>
      <c r="B47" s="32"/>
      <c r="C47" s="32"/>
      <c r="D47" s="202">
        <f>+D46+D45</f>
        <v>-230665.93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510378</v>
      </c>
      <c r="C5" s="90">
        <v>512919</v>
      </c>
      <c r="D5" s="90">
        <f>+C5-B5</f>
        <v>2541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393940</v>
      </c>
      <c r="C7" s="90">
        <v>491123</v>
      </c>
      <c r="D7" s="90">
        <f t="shared" si="0"/>
        <v>97183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300608</v>
      </c>
      <c r="C8" s="90">
        <v>363457</v>
      </c>
      <c r="D8" s="90">
        <f t="shared" si="0"/>
        <v>62849</v>
      </c>
      <c r="E8" s="285"/>
      <c r="F8" s="283"/>
    </row>
    <row r="9" spans="1:13" x14ac:dyDescent="0.2">
      <c r="A9" s="87">
        <v>500293</v>
      </c>
      <c r="B9" s="90">
        <v>207674</v>
      </c>
      <c r="C9" s="90">
        <v>306247</v>
      </c>
      <c r="D9" s="90">
        <f t="shared" si="0"/>
        <v>98573</v>
      </c>
      <c r="E9" s="285"/>
      <c r="F9" s="283"/>
    </row>
    <row r="10" spans="1:13" x14ac:dyDescent="0.2">
      <c r="A10" s="87">
        <v>500302</v>
      </c>
      <c r="B10" s="319"/>
      <c r="C10" s="319">
        <v>5709</v>
      </c>
      <c r="D10" s="90">
        <f t="shared" si="0"/>
        <v>5709</v>
      </c>
      <c r="E10" s="285"/>
      <c r="F10" s="283"/>
    </row>
    <row r="11" spans="1:13" x14ac:dyDescent="0.2">
      <c r="A11" s="87">
        <v>500303</v>
      </c>
      <c r="B11" s="319">
        <v>112693</v>
      </c>
      <c r="C11" s="90">
        <v>167116</v>
      </c>
      <c r="D11" s="90">
        <f t="shared" si="0"/>
        <v>54423</v>
      </c>
      <c r="E11" s="285"/>
      <c r="F11" s="283"/>
    </row>
    <row r="12" spans="1:13" x14ac:dyDescent="0.2">
      <c r="A12" s="91">
        <v>500305</v>
      </c>
      <c r="B12" s="319">
        <v>529399</v>
      </c>
      <c r="C12" s="90">
        <v>659343</v>
      </c>
      <c r="D12" s="90">
        <f t="shared" si="0"/>
        <v>129944</v>
      </c>
      <c r="E12" s="286"/>
      <c r="F12" s="283"/>
    </row>
    <row r="13" spans="1:13" x14ac:dyDescent="0.2">
      <c r="A13" s="87">
        <v>500307</v>
      </c>
      <c r="B13" s="319">
        <v>25385</v>
      </c>
      <c r="C13" s="90">
        <v>28583</v>
      </c>
      <c r="D13" s="90">
        <f t="shared" si="0"/>
        <v>3198</v>
      </c>
      <c r="E13" s="285"/>
      <c r="F13" s="283"/>
    </row>
    <row r="14" spans="1:13" x14ac:dyDescent="0.2">
      <c r="A14" s="87">
        <v>500313</v>
      </c>
      <c r="B14" s="90"/>
      <c r="C14" s="319">
        <v>1359</v>
      </c>
      <c r="D14" s="90">
        <f t="shared" si="0"/>
        <v>1359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335735</v>
      </c>
      <c r="C16" s="90"/>
      <c r="D16" s="90">
        <f t="shared" si="0"/>
        <v>-335735</v>
      </c>
      <c r="E16" s="285"/>
      <c r="F16" s="283"/>
    </row>
    <row r="17" spans="1:6" x14ac:dyDescent="0.2">
      <c r="A17" s="87">
        <v>500657</v>
      </c>
      <c r="B17" s="335">
        <v>77927</v>
      </c>
      <c r="C17" s="88">
        <v>46000</v>
      </c>
      <c r="D17" s="94">
        <f t="shared" si="0"/>
        <v>-31927</v>
      </c>
      <c r="E17" s="285"/>
      <c r="F17" s="283"/>
    </row>
    <row r="18" spans="1:6" x14ac:dyDescent="0.2">
      <c r="A18" s="87"/>
      <c r="B18" s="88"/>
      <c r="C18" s="88"/>
      <c r="D18" s="88">
        <f>SUM(D5:D17)</f>
        <v>88117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2.04</v>
      </c>
      <c r="E19" s="287"/>
      <c r="F19" s="283"/>
    </row>
    <row r="20" spans="1:6" x14ac:dyDescent="0.2">
      <c r="A20" s="87"/>
      <c r="B20" s="88"/>
      <c r="C20" s="88"/>
      <c r="D20" s="96">
        <f>+D19*D18</f>
        <v>179758.68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83">
        <v>-6642.45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37149</v>
      </c>
      <c r="B24" s="88"/>
      <c r="C24" s="88"/>
      <c r="D24" s="334">
        <f>+D22+D20</f>
        <v>173116.22999999998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477">
        <v>-37836</v>
      </c>
    </row>
    <row r="30" spans="1:6" x14ac:dyDescent="0.2">
      <c r="A30" s="49">
        <f>+A24</f>
        <v>37149</v>
      </c>
      <c r="B30" s="32"/>
      <c r="C30" s="32"/>
      <c r="D30" s="377">
        <f>+D18</f>
        <v>88117</v>
      </c>
    </row>
    <row r="31" spans="1:6" x14ac:dyDescent="0.2">
      <c r="A31" s="32"/>
      <c r="B31" s="32"/>
      <c r="C31" s="32"/>
      <c r="D31" s="14">
        <f>+D30+D29</f>
        <v>50281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4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4" t="s">
        <v>40</v>
      </c>
      <c r="I3" s="4" t="s">
        <v>20</v>
      </c>
      <c r="J3" s="4" t="s">
        <v>21</v>
      </c>
      <c r="K3" s="44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4"/>
      <c r="I4" s="14"/>
      <c r="J4" s="14"/>
      <c r="K4" s="14">
        <f t="shared" ref="K4:K9" si="0">+J4-I4</f>
        <v>0</v>
      </c>
      <c r="L4" s="388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4"/>
      <c r="I10" s="14"/>
      <c r="J10" s="14"/>
      <c r="K10" s="14"/>
      <c r="L10" s="388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4"/>
      <c r="I11" s="14"/>
      <c r="J11" s="14"/>
      <c r="K11" s="15"/>
      <c r="L11" s="388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4"/>
      <c r="I12" s="24"/>
      <c r="J12" s="24"/>
      <c r="K12" s="110"/>
      <c r="L12" s="446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6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>
        <v>31245</v>
      </c>
      <c r="C15" s="11">
        <v>23000</v>
      </c>
      <c r="D15" s="11">
        <v>33726</v>
      </c>
      <c r="E15" s="11">
        <v>32999</v>
      </c>
      <c r="F15" s="25">
        <f t="shared" si="2"/>
        <v>-8972</v>
      </c>
      <c r="G15" s="25"/>
    </row>
    <row r="16" spans="1:14" x14ac:dyDescent="0.2">
      <c r="A16" s="41">
        <v>13</v>
      </c>
      <c r="B16" s="11">
        <v>30688</v>
      </c>
      <c r="C16" s="11">
        <v>26000</v>
      </c>
      <c r="D16" s="11">
        <v>30941</v>
      </c>
      <c r="E16" s="11">
        <v>29999</v>
      </c>
      <c r="F16" s="25">
        <f t="shared" si="2"/>
        <v>-5630</v>
      </c>
      <c r="G16" s="25"/>
    </row>
    <row r="17" spans="1:7" x14ac:dyDescent="0.2">
      <c r="A17" s="41">
        <v>14</v>
      </c>
      <c r="B17" s="11">
        <v>29277</v>
      </c>
      <c r="C17" s="11">
        <v>25889</v>
      </c>
      <c r="D17" s="11">
        <v>32687</v>
      </c>
      <c r="E17" s="11">
        <v>29870</v>
      </c>
      <c r="F17" s="25">
        <f t="shared" si="2"/>
        <v>-6205</v>
      </c>
      <c r="G17" s="25"/>
    </row>
    <row r="18" spans="1:7" x14ac:dyDescent="0.2">
      <c r="A18" s="41">
        <v>15</v>
      </c>
      <c r="B18" s="11">
        <v>30223</v>
      </c>
      <c r="C18" s="11">
        <v>26000</v>
      </c>
      <c r="D18" s="11">
        <v>34303</v>
      </c>
      <c r="E18" s="11">
        <v>29999</v>
      </c>
      <c r="F18" s="25">
        <f t="shared" si="2"/>
        <v>-8527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427498</v>
      </c>
      <c r="C35" s="11">
        <f>SUM(C4:C34)</f>
        <v>382955</v>
      </c>
      <c r="D35" s="11">
        <f>SUM(D4:D34)</f>
        <v>485210</v>
      </c>
      <c r="E35" s="11">
        <f>SUM(E4:E34)</f>
        <v>483614</v>
      </c>
      <c r="F35" s="11">
        <f>+E35-D35+C35-B35</f>
        <v>-46139</v>
      </c>
    </row>
    <row r="36" spans="1:7" x14ac:dyDescent="0.2">
      <c r="A36" s="45"/>
      <c r="C36" s="14">
        <f>+C35-B35</f>
        <v>-44543</v>
      </c>
      <c r="D36" s="14"/>
      <c r="E36" s="14">
        <f>+E35-D35</f>
        <v>-1596</v>
      </c>
      <c r="F36" s="47"/>
    </row>
    <row r="37" spans="1:7" x14ac:dyDescent="0.2">
      <c r="C37" s="15">
        <f>+summary!H4</f>
        <v>2.04</v>
      </c>
      <c r="D37" s="15"/>
      <c r="E37" s="15">
        <f>+C37</f>
        <v>2.04</v>
      </c>
      <c r="F37" s="24"/>
    </row>
    <row r="38" spans="1:7" x14ac:dyDescent="0.2">
      <c r="C38" s="48">
        <f>+C37*C36</f>
        <v>-90867.72</v>
      </c>
      <c r="D38" s="47"/>
      <c r="E38" s="48">
        <f>+E37*E36</f>
        <v>-3255.84</v>
      </c>
      <c r="F38" s="46">
        <f>+E38+C38</f>
        <v>-94123.56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81">
        <v>441786.89</v>
      </c>
      <c r="D40" s="111"/>
      <c r="E40" s="481">
        <v>100794.76</v>
      </c>
      <c r="F40" s="352">
        <f>+E40+C40</f>
        <v>542581.65</v>
      </c>
      <c r="G40" s="25"/>
    </row>
    <row r="41" spans="1:7" x14ac:dyDescent="0.2">
      <c r="A41" s="57">
        <v>37149</v>
      </c>
      <c r="C41" s="106">
        <f>+C40+C38</f>
        <v>350919.17000000004</v>
      </c>
      <c r="D41" s="106"/>
      <c r="E41" s="106">
        <f>+E40+E38</f>
        <v>97538.92</v>
      </c>
      <c r="F41" s="106">
        <f>+E41+C41</f>
        <v>448458.09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479">
        <f>36388+33437</f>
        <v>69825</v>
      </c>
      <c r="E46" s="11"/>
      <c r="F46" s="11"/>
      <c r="G46" s="25"/>
    </row>
    <row r="47" spans="1:7" x14ac:dyDescent="0.2">
      <c r="A47" s="49">
        <f>+A41</f>
        <v>37149</v>
      </c>
      <c r="D47" s="377">
        <f>+F35</f>
        <v>-46139</v>
      </c>
      <c r="E47" s="11"/>
      <c r="F47" s="11"/>
      <c r="G47" s="25"/>
    </row>
    <row r="48" spans="1:7" x14ac:dyDescent="0.2">
      <c r="D48" s="14">
        <f>+D47+D46</f>
        <v>23686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140097</v>
      </c>
      <c r="C17" s="11">
        <v>139829</v>
      </c>
      <c r="D17" s="11"/>
      <c r="E17" s="11"/>
      <c r="F17" s="11">
        <f t="shared" si="2"/>
        <v>-268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177453</v>
      </c>
      <c r="C18" s="11">
        <v>176528</v>
      </c>
      <c r="D18" s="11"/>
      <c r="E18" s="11"/>
      <c r="F18" s="11">
        <f t="shared" si="2"/>
        <v>-925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154523</v>
      </c>
      <c r="C19" s="11">
        <v>164970</v>
      </c>
      <c r="D19" s="11"/>
      <c r="E19" s="11">
        <v>-10213</v>
      </c>
      <c r="F19" s="11">
        <f t="shared" si="2"/>
        <v>234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2492129</v>
      </c>
      <c r="C36" s="11">
        <f>SUM(C5:C35)</f>
        <v>2580937</v>
      </c>
      <c r="D36" s="11">
        <f>SUM(D5:D35)</f>
        <v>0</v>
      </c>
      <c r="E36" s="11">
        <f>SUM(E5:E35)</f>
        <v>-92834</v>
      </c>
      <c r="F36" s="11">
        <f>SUM(F5:F35)</f>
        <v>-4026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38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37149</v>
      </c>
      <c r="F41" s="353">
        <f>+F39+F36</f>
        <v>66106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37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37149</v>
      </c>
      <c r="C48" s="32"/>
      <c r="D48" s="32"/>
      <c r="E48" s="406">
        <f>+F36*'by type_area'!J3</f>
        <v>-7810.44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-325874.44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B46" sqref="B4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">
      <c r="A19" s="10">
        <v>12</v>
      </c>
      <c r="B19" s="11">
        <v>71838</v>
      </c>
      <c r="C19" s="11">
        <v>70381</v>
      </c>
      <c r="D19" s="11">
        <f t="shared" si="0"/>
        <v>-1457</v>
      </c>
      <c r="E19" s="10"/>
      <c r="F19" s="11"/>
      <c r="G19" s="11"/>
      <c r="H19" s="11"/>
    </row>
    <row r="20" spans="1:8" x14ac:dyDescent="0.2">
      <c r="A20" s="10">
        <v>13</v>
      </c>
      <c r="B20" s="11">
        <v>72981</v>
      </c>
      <c r="C20" s="11">
        <v>72469</v>
      </c>
      <c r="D20" s="11">
        <f t="shared" si="0"/>
        <v>-512</v>
      </c>
      <c r="E20" s="10"/>
      <c r="F20" s="11"/>
      <c r="G20" s="11"/>
      <c r="H20" s="11"/>
    </row>
    <row r="21" spans="1:8" x14ac:dyDescent="0.2">
      <c r="A21" s="10">
        <v>14</v>
      </c>
      <c r="B21" s="11">
        <v>92471</v>
      </c>
      <c r="C21" s="11">
        <v>92484</v>
      </c>
      <c r="D21" s="11">
        <f t="shared" si="0"/>
        <v>13</v>
      </c>
      <c r="E21" s="10"/>
      <c r="F21" s="11"/>
      <c r="G21" s="11"/>
      <c r="H21" s="11"/>
    </row>
    <row r="22" spans="1:8" x14ac:dyDescent="0.2">
      <c r="A22" s="10">
        <v>15</v>
      </c>
      <c r="B22" s="11">
        <v>95420</v>
      </c>
      <c r="C22" s="11">
        <v>94718</v>
      </c>
      <c r="D22" s="11">
        <f t="shared" si="0"/>
        <v>-702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1365235</v>
      </c>
      <c r="C39" s="11">
        <f>SUM(C8:C38)</f>
        <v>1358055</v>
      </c>
      <c r="D39" s="11">
        <f>SUM(D8:D38)</f>
        <v>-7180</v>
      </c>
      <c r="E39" s="10"/>
      <c r="F39" s="11"/>
      <c r="G39" s="11"/>
      <c r="H39" s="11"/>
    </row>
    <row r="40" spans="1:8" x14ac:dyDescent="0.2">
      <c r="A40" s="26"/>
      <c r="D40" s="75">
        <f>+summary!H4</f>
        <v>2.04</v>
      </c>
      <c r="E40" s="26"/>
      <c r="H40" s="75"/>
    </row>
    <row r="41" spans="1:8" x14ac:dyDescent="0.2">
      <c r="D41" s="197">
        <f>+D40*D39</f>
        <v>-14647.2</v>
      </c>
      <c r="F41" s="252"/>
      <c r="H41" s="197"/>
    </row>
    <row r="42" spans="1:8" x14ac:dyDescent="0.2">
      <c r="A42" s="57">
        <v>37134</v>
      </c>
      <c r="D42" s="493">
        <v>40812.85</v>
      </c>
      <c r="E42" s="57"/>
      <c r="H42" s="197"/>
    </row>
    <row r="43" spans="1:8" x14ac:dyDescent="0.2">
      <c r="A43" s="57">
        <v>37149</v>
      </c>
      <c r="D43" s="198">
        <f>+D42+D41</f>
        <v>26165.649999999998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477">
        <v>-36540</v>
      </c>
    </row>
    <row r="49" spans="1:4" x14ac:dyDescent="0.2">
      <c r="A49" s="49">
        <f>+A43</f>
        <v>37149</v>
      </c>
      <c r="B49" s="32"/>
      <c r="C49" s="32"/>
      <c r="D49" s="377">
        <f>+D39</f>
        <v>-7180</v>
      </c>
    </row>
    <row r="50" spans="1:4" x14ac:dyDescent="0.2">
      <c r="A50" s="32"/>
      <c r="B50" s="32"/>
      <c r="C50" s="32"/>
      <c r="D50" s="14">
        <f>+D49+D48</f>
        <v>-43720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32" workbookViewId="3">
      <selection activeCell="A42" sqref="A4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87">
        <v>1328416.6399999999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37149</v>
      </c>
      <c r="J7" s="32"/>
    </row>
    <row r="8" spans="1:10" x14ac:dyDescent="0.2">
      <c r="A8" s="253">
        <v>60874</v>
      </c>
      <c r="B8" s="361">
        <v>2501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v>-1</v>
      </c>
      <c r="J11" s="32"/>
    </row>
    <row r="12" spans="1:10" x14ac:dyDescent="0.2">
      <c r="A12" s="253">
        <v>500251</v>
      </c>
      <c r="B12" s="332">
        <f>7950-7886</f>
        <v>64</v>
      </c>
      <c r="J12" s="32"/>
    </row>
    <row r="13" spans="1:10" x14ac:dyDescent="0.2">
      <c r="A13" s="253">
        <v>500254</v>
      </c>
      <c r="B13" s="332">
        <f>1800-2013</f>
        <v>-213</v>
      </c>
      <c r="J13" s="32"/>
    </row>
    <row r="14" spans="1:10" x14ac:dyDescent="0.2">
      <c r="A14" s="32">
        <v>500255</v>
      </c>
      <c r="B14" s="332">
        <f>9000-8227</f>
        <v>773</v>
      </c>
      <c r="J14" s="32"/>
    </row>
    <row r="15" spans="1:10" x14ac:dyDescent="0.2">
      <c r="A15" s="32">
        <v>500262</v>
      </c>
      <c r="B15" s="332">
        <f>3900-3241</f>
        <v>659</v>
      </c>
      <c r="J15" s="32"/>
    </row>
    <row r="16" spans="1:10" x14ac:dyDescent="0.2">
      <c r="A16" s="290">
        <v>500267</v>
      </c>
      <c r="B16" s="362">
        <f>824168-864661</f>
        <v>-40493</v>
      </c>
      <c r="J16" s="32"/>
    </row>
    <row r="17" spans="1:10" x14ac:dyDescent="0.2">
      <c r="B17" s="14">
        <f>SUM(B8:B16)</f>
        <v>-36710</v>
      </c>
      <c r="J17" s="32"/>
    </row>
    <row r="18" spans="1:10" x14ac:dyDescent="0.2">
      <c r="B18" s="15">
        <f>+B31</f>
        <v>2.04</v>
      </c>
      <c r="C18" s="201">
        <f>+B18*B17</f>
        <v>-74888.399999999994</v>
      </c>
      <c r="G18" s="32"/>
      <c r="H18" s="411"/>
      <c r="I18" s="14"/>
      <c r="J18" s="32"/>
    </row>
    <row r="19" spans="1:10" x14ac:dyDescent="0.2">
      <c r="C19" s="339">
        <f>+C18+C5</f>
        <v>1253528.24</v>
      </c>
      <c r="E19" s="15"/>
      <c r="G19" s="32"/>
      <c r="H19" s="411"/>
      <c r="I19" s="14"/>
      <c r="J19" s="32"/>
    </row>
    <row r="20" spans="1:10" x14ac:dyDescent="0.2">
      <c r="E20" s="15"/>
      <c r="G20" s="32"/>
      <c r="H20" s="411"/>
      <c r="I20" s="14"/>
      <c r="J20" s="32"/>
    </row>
    <row r="21" spans="1:10" x14ac:dyDescent="0.2">
      <c r="A21" s="32" t="s">
        <v>89</v>
      </c>
      <c r="G21" s="32"/>
      <c r="H21" s="411"/>
      <c r="I21" s="14"/>
      <c r="J21" s="32"/>
    </row>
    <row r="22" spans="1:10" x14ac:dyDescent="0.2">
      <c r="A22" s="2" t="s">
        <v>76</v>
      </c>
      <c r="G22" s="32"/>
      <c r="H22" s="411"/>
      <c r="I22" s="14"/>
      <c r="J22" s="32"/>
    </row>
    <row r="23" spans="1:10" x14ac:dyDescent="0.2">
      <c r="G23" s="32"/>
      <c r="H23" s="411"/>
      <c r="I23" s="14"/>
      <c r="J23" s="32"/>
    </row>
    <row r="24" spans="1:10" x14ac:dyDescent="0.2">
      <c r="G24" s="32"/>
      <c r="H24" s="411"/>
      <c r="I24" s="14"/>
      <c r="J24" s="32"/>
    </row>
    <row r="25" spans="1:10" x14ac:dyDescent="0.2">
      <c r="A25" s="200">
        <v>37134</v>
      </c>
      <c r="C25" s="487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37149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2.04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E35" s="15"/>
    </row>
    <row r="36" spans="1:9" x14ac:dyDescent="0.2">
      <c r="A36" s="32" t="s">
        <v>89</v>
      </c>
      <c r="E36" s="32" t="s">
        <v>157</v>
      </c>
      <c r="F36" s="379">
        <v>24268</v>
      </c>
      <c r="G36" s="379">
        <v>24693</v>
      </c>
      <c r="H36" s="379">
        <v>24361</v>
      </c>
    </row>
    <row r="37" spans="1:9" x14ac:dyDescent="0.2">
      <c r="A37" s="32" t="s">
        <v>77</v>
      </c>
      <c r="E37" s="49">
        <f>+A5</f>
        <v>37134</v>
      </c>
      <c r="F37" s="477">
        <v>281142</v>
      </c>
      <c r="G37" s="488">
        <v>117857</v>
      </c>
      <c r="H37" s="477">
        <v>148659</v>
      </c>
      <c r="I37" s="14"/>
    </row>
    <row r="38" spans="1:9" x14ac:dyDescent="0.2">
      <c r="E38" s="49">
        <f>+A7</f>
        <v>37149</v>
      </c>
      <c r="F38" s="377">
        <f>+B17</f>
        <v>-36710</v>
      </c>
      <c r="G38" s="377">
        <f>+B30</f>
        <v>0</v>
      </c>
      <c r="H38" s="377">
        <f>+B45</f>
        <v>3864</v>
      </c>
      <c r="I38" s="14"/>
    </row>
    <row r="39" spans="1:9" x14ac:dyDescent="0.2">
      <c r="A39" s="49">
        <v>37134</v>
      </c>
      <c r="C39" s="487">
        <v>760779.86</v>
      </c>
      <c r="F39" s="14">
        <f>+F38+F37</f>
        <v>244432</v>
      </c>
      <c r="G39" s="14">
        <f>+G38+G37</f>
        <v>117857</v>
      </c>
      <c r="H39" s="14">
        <f>+H38+H37</f>
        <v>152523</v>
      </c>
      <c r="I39" s="14">
        <f>+H39+G39+F39</f>
        <v>514812</v>
      </c>
    </row>
    <row r="40" spans="1:9" x14ac:dyDescent="0.2">
      <c r="G40" s="32"/>
      <c r="H40" s="15"/>
      <c r="I40" s="32"/>
    </row>
    <row r="41" spans="1:9" x14ac:dyDescent="0.2">
      <c r="A41" s="249">
        <v>37149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2990</v>
      </c>
      <c r="G43" s="32"/>
      <c r="H43" s="412"/>
      <c r="I43" s="14"/>
    </row>
    <row r="44" spans="1:9" x14ac:dyDescent="0.2">
      <c r="A44" s="32">
        <v>500392</v>
      </c>
      <c r="B44" s="257">
        <v>874</v>
      </c>
      <c r="G44" s="32"/>
      <c r="H44" s="412"/>
      <c r="I44" s="14"/>
    </row>
    <row r="45" spans="1:9" x14ac:dyDescent="0.2">
      <c r="B45" s="14">
        <f>SUM(B42:B44)</f>
        <v>3864</v>
      </c>
      <c r="G45" s="32"/>
      <c r="H45" s="412"/>
      <c r="I45" s="14"/>
    </row>
    <row r="46" spans="1:9" x14ac:dyDescent="0.2">
      <c r="B46" s="201">
        <f>+B31</f>
        <v>2.04</v>
      </c>
      <c r="C46" s="201">
        <f>+B46*B45</f>
        <v>7882.56</v>
      </c>
      <c r="H46" s="412"/>
      <c r="I46" s="14"/>
    </row>
    <row r="47" spans="1:9" x14ac:dyDescent="0.2">
      <c r="C47" s="339">
        <f>+C46+C39</f>
        <v>768662.42</v>
      </c>
      <c r="E47" s="206"/>
      <c r="H47" s="412"/>
      <c r="I47" s="14"/>
    </row>
    <row r="48" spans="1:9" x14ac:dyDescent="0.2">
      <c r="E48" s="216"/>
      <c r="H48" s="412"/>
      <c r="I48" s="14"/>
    </row>
    <row r="49" spans="1:9" x14ac:dyDescent="0.2">
      <c r="E49" s="206"/>
      <c r="H49" s="412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85">
        <v>73449.16</v>
      </c>
      <c r="D52" s="32" t="s">
        <v>123</v>
      </c>
      <c r="E52" s="50"/>
      <c r="H52" s="412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86">
        <v>23612.35</v>
      </c>
      <c r="D53" s="32" t="s">
        <v>124</v>
      </c>
      <c r="H53" s="412">
        <v>22664</v>
      </c>
      <c r="I53" s="208">
        <v>18932</v>
      </c>
    </row>
    <row r="54" spans="1:9" x14ac:dyDescent="0.2">
      <c r="H54" s="413"/>
      <c r="I54" s="16"/>
    </row>
    <row r="55" spans="1:9" x14ac:dyDescent="0.2">
      <c r="C55" s="459"/>
    </row>
    <row r="56" spans="1:9" x14ac:dyDescent="0.2">
      <c r="C56" s="331">
        <f>+C53+C52+C47+C32+C19</f>
        <v>2394565.8899999997</v>
      </c>
      <c r="I56" s="14">
        <f>SUM(I39:I53)</f>
        <v>570147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4" workbookViewId="3">
      <selection activeCell="A42" sqref="A42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">
      <c r="A14" s="10">
        <v>11</v>
      </c>
      <c r="B14" s="11">
        <v>1288</v>
      </c>
      <c r="C14" s="11"/>
      <c r="D14" s="11">
        <v>24831</v>
      </c>
      <c r="E14" s="11">
        <v>24000</v>
      </c>
      <c r="F14" s="11">
        <f t="shared" si="0"/>
        <v>-2119</v>
      </c>
      <c r="G14" s="11"/>
      <c r="I14" s="11"/>
      <c r="J14" s="24"/>
    </row>
    <row r="15" spans="1:10" x14ac:dyDescent="0.2">
      <c r="A15" s="10">
        <v>12</v>
      </c>
      <c r="B15" s="11">
        <v>429</v>
      </c>
      <c r="C15" s="11"/>
      <c r="D15" s="11">
        <v>24761</v>
      </c>
      <c r="E15" s="11">
        <v>24000</v>
      </c>
      <c r="F15" s="11">
        <f t="shared" si="0"/>
        <v>-1190</v>
      </c>
      <c r="G15" s="11"/>
      <c r="I15" s="11"/>
      <c r="J15" s="24"/>
    </row>
    <row r="16" spans="1:10" x14ac:dyDescent="0.2">
      <c r="A16" s="10">
        <v>13</v>
      </c>
      <c r="B16" s="11">
        <v>1612</v>
      </c>
      <c r="C16" s="11"/>
      <c r="D16" s="11">
        <v>24829</v>
      </c>
      <c r="E16" s="11">
        <v>24000</v>
      </c>
      <c r="F16" s="11">
        <f t="shared" si="0"/>
        <v>-2441</v>
      </c>
      <c r="G16" s="11"/>
      <c r="I16" s="11"/>
      <c r="J16" s="24"/>
    </row>
    <row r="17" spans="1:10" x14ac:dyDescent="0.2">
      <c r="A17" s="10">
        <v>14</v>
      </c>
      <c r="B17" s="11">
        <v>1869</v>
      </c>
      <c r="C17" s="11"/>
      <c r="D17" s="11">
        <v>24826</v>
      </c>
      <c r="E17" s="11">
        <v>24000</v>
      </c>
      <c r="F17" s="11">
        <f t="shared" si="0"/>
        <v>-2695</v>
      </c>
      <c r="G17" s="11"/>
      <c r="I17" s="11"/>
      <c r="J17" s="24"/>
    </row>
    <row r="18" spans="1:10" x14ac:dyDescent="0.2">
      <c r="A18" s="10">
        <v>15</v>
      </c>
      <c r="B18" s="11">
        <v>2437</v>
      </c>
      <c r="C18" s="11"/>
      <c r="D18" s="11">
        <v>24963</v>
      </c>
      <c r="E18" s="11">
        <v>24000</v>
      </c>
      <c r="F18" s="11">
        <f t="shared" si="0"/>
        <v>-3400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79">
        <v>23995</v>
      </c>
      <c r="J33" s="379">
        <v>22051</v>
      </c>
      <c r="K33" s="379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7">
        <v>-178485</v>
      </c>
      <c r="J34" s="477">
        <v>-46545</v>
      </c>
      <c r="K34" s="14"/>
      <c r="L34" s="14"/>
    </row>
    <row r="35" spans="1:13" x14ac:dyDescent="0.2">
      <c r="A35" s="10"/>
      <c r="B35" s="11">
        <f>SUM(B4:B34)</f>
        <v>21193</v>
      </c>
      <c r="C35" s="11">
        <f>SUM(C4:C34)</f>
        <v>0</v>
      </c>
      <c r="D35" s="11">
        <f>SUM(D4:D34)</f>
        <v>372468</v>
      </c>
      <c r="E35" s="11">
        <f>SUM(E4:E34)</f>
        <v>358201</v>
      </c>
      <c r="F35" s="11">
        <f>SUM(F4:F34)</f>
        <v>-35460</v>
      </c>
      <c r="G35" s="11"/>
      <c r="H35" s="49">
        <f>+A40</f>
        <v>37149</v>
      </c>
      <c r="I35" s="377">
        <f>+C36</f>
        <v>-21193</v>
      </c>
      <c r="J35" s="377">
        <f>+E36</f>
        <v>-14267</v>
      </c>
      <c r="K35" s="208"/>
      <c r="L35" s="14"/>
    </row>
    <row r="36" spans="1:13" x14ac:dyDescent="0.2">
      <c r="C36" s="25">
        <f>+C35-B35</f>
        <v>-21193</v>
      </c>
      <c r="E36" s="25">
        <f>+E35-D35</f>
        <v>-14267</v>
      </c>
      <c r="F36" s="25">
        <f>+E36+C36</f>
        <v>-35460</v>
      </c>
      <c r="H36" s="32"/>
      <c r="I36" s="14">
        <f>+I35+I34</f>
        <v>-199678</v>
      </c>
      <c r="J36" s="14">
        <f>+J35+J34</f>
        <v>-60812</v>
      </c>
      <c r="K36" s="14">
        <f>+J36+I36</f>
        <v>-260490</v>
      </c>
      <c r="L36" s="14"/>
    </row>
    <row r="37" spans="1:13" x14ac:dyDescent="0.2">
      <c r="C37" s="329">
        <f>+summary!H5</f>
        <v>2.09</v>
      </c>
      <c r="E37" s="104">
        <f>+C37</f>
        <v>2.09</v>
      </c>
      <c r="F37" s="138">
        <f>+F36*E37</f>
        <v>-74111.399999999994</v>
      </c>
    </row>
    <row r="38" spans="1:13" x14ac:dyDescent="0.2">
      <c r="C38" s="138">
        <f>+C37*C36</f>
        <v>-44293.369999999995</v>
      </c>
      <c r="E38" s="136">
        <f>+E37*E36</f>
        <v>-29818.03</v>
      </c>
      <c r="F38" s="138">
        <f>+E38+C38</f>
        <v>-74111.399999999994</v>
      </c>
    </row>
    <row r="39" spans="1:13" x14ac:dyDescent="0.2">
      <c r="A39" s="57">
        <v>37134</v>
      </c>
      <c r="B39" s="2" t="s">
        <v>46</v>
      </c>
      <c r="C39" s="489">
        <v>-1023166.39</v>
      </c>
      <c r="D39" s="338"/>
      <c r="E39" s="475">
        <v>-399182.01</v>
      </c>
      <c r="F39" s="337">
        <f>+E39+C39</f>
        <v>-1422348.4</v>
      </c>
    </row>
    <row r="40" spans="1:13" x14ac:dyDescent="0.2">
      <c r="A40" s="57">
        <v>37149</v>
      </c>
      <c r="B40" s="2" t="s">
        <v>46</v>
      </c>
      <c r="C40" s="330">
        <f>+C39+C38</f>
        <v>-1067459.76</v>
      </c>
      <c r="D40" s="259"/>
      <c r="E40" s="330">
        <f>+E39+E38</f>
        <v>-429000.04000000004</v>
      </c>
      <c r="F40" s="330">
        <f>+E40+C40</f>
        <v>-1496459.8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87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8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490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8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91">
        <v>-933276.39</v>
      </c>
      <c r="G48" s="254" t="s">
        <v>125</v>
      </c>
      <c r="J48" s="12">
        <v>24532</v>
      </c>
      <c r="K48" s="212">
        <v>-42250</v>
      </c>
    </row>
    <row r="49" spans="3:13" x14ac:dyDescent="0.2">
      <c r="C49" s="250"/>
      <c r="D49" s="250"/>
      <c r="F49" s="349">
        <f>SUM(F40:F48)</f>
        <v>-2434286.7200000002</v>
      </c>
      <c r="G49" s="250"/>
      <c r="K49" s="14">
        <f>SUM(K36:K48)</f>
        <v>-261698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2394565.8899999997</v>
      </c>
      <c r="M51" s="14">
        <f>+Duke!I56</f>
        <v>570147</v>
      </c>
    </row>
    <row r="53" spans="3:13" x14ac:dyDescent="0.2">
      <c r="F53" s="104">
        <f>+F51+F49</f>
        <v>-39720.83000000054</v>
      </c>
      <c r="M53" s="16">
        <f>+M51+K49</f>
        <v>308449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A46" sqref="A4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5727</v>
      </c>
      <c r="C18" s="11">
        <v>6386</v>
      </c>
      <c r="D18" s="11"/>
      <c r="E18" s="11"/>
      <c r="F18" s="11">
        <v>911</v>
      </c>
      <c r="G18" s="11">
        <v>1674</v>
      </c>
      <c r="H18" s="11">
        <v>2015</v>
      </c>
      <c r="I18" s="11">
        <v>1258</v>
      </c>
      <c r="J18" s="25">
        <f t="shared" si="0"/>
        <v>665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5764</v>
      </c>
      <c r="C19" s="11">
        <v>6360</v>
      </c>
      <c r="D19" s="11"/>
      <c r="E19" s="11"/>
      <c r="F19" s="11">
        <v>946</v>
      </c>
      <c r="G19" s="11">
        <v>1674</v>
      </c>
      <c r="H19" s="11">
        <v>1997</v>
      </c>
      <c r="I19" s="11">
        <v>1258</v>
      </c>
      <c r="J19" s="25">
        <f t="shared" si="0"/>
        <v>585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5587</v>
      </c>
      <c r="C20" s="11">
        <v>6386</v>
      </c>
      <c r="D20" s="11"/>
      <c r="E20" s="11"/>
      <c r="F20" s="11">
        <v>911</v>
      </c>
      <c r="G20" s="11">
        <v>1674</v>
      </c>
      <c r="H20" s="11">
        <v>1970</v>
      </c>
      <c r="I20" s="11">
        <v>1258</v>
      </c>
      <c r="J20" s="25">
        <f t="shared" si="0"/>
        <v>850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5518</v>
      </c>
      <c r="C21" s="11">
        <v>6386</v>
      </c>
      <c r="D21" s="11"/>
      <c r="E21" s="11"/>
      <c r="F21" s="11">
        <v>878</v>
      </c>
      <c r="G21" s="11">
        <v>1674</v>
      </c>
      <c r="H21" s="11">
        <v>1951</v>
      </c>
      <c r="I21" s="11">
        <v>1258</v>
      </c>
      <c r="J21" s="25">
        <f t="shared" si="0"/>
        <v>971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5916</v>
      </c>
      <c r="C22" s="11">
        <v>6386</v>
      </c>
      <c r="D22" s="11"/>
      <c r="E22" s="11"/>
      <c r="F22" s="11">
        <v>1066</v>
      </c>
      <c r="G22" s="11">
        <v>874</v>
      </c>
      <c r="H22" s="11">
        <v>1940</v>
      </c>
      <c r="I22" s="11">
        <v>1658</v>
      </c>
      <c r="J22" s="25">
        <f t="shared" si="0"/>
        <v>-4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88381</v>
      </c>
      <c r="C39" s="11">
        <f t="shared" si="1"/>
        <v>95752</v>
      </c>
      <c r="D39" s="11">
        <f t="shared" si="1"/>
        <v>0</v>
      </c>
      <c r="E39" s="11">
        <f t="shared" si="1"/>
        <v>0</v>
      </c>
      <c r="F39" s="11">
        <f t="shared" si="1"/>
        <v>14314</v>
      </c>
      <c r="G39" s="11">
        <f t="shared" si="1"/>
        <v>23879</v>
      </c>
      <c r="H39" s="11">
        <f t="shared" si="1"/>
        <v>30549</v>
      </c>
      <c r="I39" s="11">
        <f t="shared" si="1"/>
        <v>19270</v>
      </c>
      <c r="J39" s="25">
        <f t="shared" si="1"/>
        <v>5657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2.04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11540.28</v>
      </c>
      <c r="L41"/>
      <c r="R41" s="138"/>
      <c r="X41" s="138"/>
    </row>
    <row r="42" spans="1:24" x14ac:dyDescent="0.2">
      <c r="A42" s="57">
        <v>37134</v>
      </c>
      <c r="C42" s="15"/>
      <c r="J42" s="484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37149</v>
      </c>
      <c r="C43" s="48"/>
      <c r="J43" s="138">
        <f>+J42+J41</f>
        <v>355106.03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477">
        <v>135836</v>
      </c>
      <c r="L47"/>
    </row>
    <row r="48" spans="1:24" x14ac:dyDescent="0.2">
      <c r="A48" s="49">
        <f>+A43</f>
        <v>37149</v>
      </c>
      <c r="B48" s="32"/>
      <c r="C48" s="32"/>
      <c r="D48" s="377">
        <f>+J39</f>
        <v>5657</v>
      </c>
      <c r="L48"/>
    </row>
    <row r="49" spans="1:12" x14ac:dyDescent="0.2">
      <c r="A49" s="32"/>
      <c r="B49" s="32"/>
      <c r="C49" s="32"/>
      <c r="D49" s="14">
        <f>+D48+D47</f>
        <v>141493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C42" sqref="C42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11037</v>
      </c>
      <c r="C13" s="11">
        <v>11295</v>
      </c>
      <c r="D13" s="11">
        <v>-49</v>
      </c>
      <c r="E13" s="11"/>
      <c r="F13" s="25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11390</v>
      </c>
      <c r="C14" s="11">
        <v>11295</v>
      </c>
      <c r="D14" s="11"/>
      <c r="E14" s="11"/>
      <c r="F14" s="25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11316</v>
      </c>
      <c r="C15" s="11">
        <v>11294</v>
      </c>
      <c r="D15" s="11"/>
      <c r="E15" s="11"/>
      <c r="F15" s="25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11201</v>
      </c>
      <c r="C16" s="11">
        <v>11294</v>
      </c>
      <c r="D16" s="11"/>
      <c r="E16" s="11"/>
      <c r="F16" s="25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12643</v>
      </c>
      <c r="C17" s="11">
        <v>11294</v>
      </c>
      <c r="D17" s="11">
        <v>-704</v>
      </c>
      <c r="E17" s="11"/>
      <c r="F17" s="25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12233</v>
      </c>
      <c r="C18" s="11">
        <v>11294</v>
      </c>
      <c r="D18" s="11">
        <v>-352</v>
      </c>
      <c r="E18" s="11"/>
      <c r="F18" s="25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12017</v>
      </c>
      <c r="C19" s="11">
        <v>11294</v>
      </c>
      <c r="D19" s="11">
        <v>-226</v>
      </c>
      <c r="E19" s="11"/>
      <c r="F19" s="25">
        <f t="shared" si="0"/>
        <v>-497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11939</v>
      </c>
      <c r="C20" s="11">
        <v>11294</v>
      </c>
      <c r="D20" s="11"/>
      <c r="E20" s="11"/>
      <c r="F20" s="25">
        <f t="shared" si="0"/>
        <v>-645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11915</v>
      </c>
      <c r="C21" s="11">
        <v>11295</v>
      </c>
      <c r="D21" s="11"/>
      <c r="E21" s="11"/>
      <c r="F21" s="25">
        <f t="shared" si="0"/>
        <v>-620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12828</v>
      </c>
      <c r="C22" s="11">
        <v>11294</v>
      </c>
      <c r="D22" s="11"/>
      <c r="E22" s="11"/>
      <c r="F22" s="25">
        <f t="shared" si="0"/>
        <v>-1534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175270</v>
      </c>
      <c r="C39" s="11">
        <f>SUM(C8:C38)</f>
        <v>169413</v>
      </c>
      <c r="D39" s="11">
        <f>SUM(D8:D38)</f>
        <v>-2827</v>
      </c>
      <c r="E39" s="11">
        <f>SUM(E8:E38)</f>
        <v>0</v>
      </c>
      <c r="F39" s="11">
        <f>SUM(F8:F38)</f>
        <v>-3030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2.04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-6181.2</v>
      </c>
      <c r="J41" s="138"/>
      <c r="N41" s="138"/>
      <c r="R41" s="138"/>
      <c r="V41" s="138"/>
      <c r="Z41" s="138"/>
    </row>
    <row r="42" spans="1:26" x14ac:dyDescent="0.2">
      <c r="A42" s="57">
        <v>37134</v>
      </c>
      <c r="C42" s="15"/>
      <c r="D42" s="15"/>
      <c r="E42" s="15"/>
      <c r="F42" s="478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37149</v>
      </c>
      <c r="C43" s="48"/>
      <c r="D43" s="48"/>
      <c r="E43" s="48"/>
      <c r="F43" s="110">
        <f>+F42+F41</f>
        <v>422970.77999999997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477">
        <v>-240480</v>
      </c>
      <c r="E47" s="11"/>
    </row>
    <row r="48" spans="1:26" x14ac:dyDescent="0.2">
      <c r="A48" s="49">
        <f>+A43</f>
        <v>37149</v>
      </c>
      <c r="B48" s="32"/>
      <c r="C48" s="32"/>
      <c r="D48" s="377">
        <f>+F39</f>
        <v>-3030</v>
      </c>
      <c r="E48" s="11"/>
    </row>
    <row r="49" spans="1:5" x14ac:dyDescent="0.2">
      <c r="A49" s="32"/>
      <c r="B49" s="32"/>
      <c r="C49" s="32"/>
      <c r="D49" s="14">
        <f>+D48+D47</f>
        <v>-243510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workbookViewId="0">
      <selection activeCell="C26" sqref="C26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topLeftCell="A26" workbookViewId="3">
      <selection activeCell="E40" sqref="E40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4" t="s">
        <v>81</v>
      </c>
      <c r="H2" s="371"/>
    </row>
    <row r="3" spans="1:32" ht="15" customHeight="1" x14ac:dyDescent="0.2">
      <c r="G3" s="299" t="s">
        <v>30</v>
      </c>
      <c r="H3" s="370">
        <f>+'[1]0901'!$K$39</f>
        <v>1.94</v>
      </c>
      <c r="I3" s="405">
        <f ca="1">NOW()</f>
        <v>41885.693555208331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+'[1]0901'!$M$39</f>
        <v>2.04</v>
      </c>
    </row>
    <row r="5" spans="1:32" ht="15" customHeight="1" x14ac:dyDescent="0.2">
      <c r="B5" s="367"/>
      <c r="G5" s="299" t="s">
        <v>120</v>
      </c>
      <c r="H5" s="370">
        <f>+'[1]0901'!$H$39</f>
        <v>2.09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2" t="s">
        <v>90</v>
      </c>
      <c r="B8" s="373">
        <f>+NNG!$D$24</f>
        <v>524765.19999999995</v>
      </c>
      <c r="C8" s="285">
        <f t="shared" ref="C8:C16" si="0">+B8/$H$4</f>
        <v>257237.84313725488</v>
      </c>
      <c r="D8" s="395">
        <f>+NNG!A24</f>
        <v>37149</v>
      </c>
      <c r="E8" s="206" t="s">
        <v>88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154</v>
      </c>
      <c r="B9" s="373">
        <f>+PGETX!$H$39</f>
        <v>459983.33999999997</v>
      </c>
      <c r="C9" s="285">
        <f t="shared" si="0"/>
        <v>225482.0294117647</v>
      </c>
      <c r="D9" s="396">
        <f>+PGETX!E39</f>
        <v>37149</v>
      </c>
      <c r="E9" s="32" t="s">
        <v>88</v>
      </c>
      <c r="F9" s="32" t="s">
        <v>105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110</v>
      </c>
      <c r="B10" s="373">
        <f>+KN_Westar!F41</f>
        <v>449487.16</v>
      </c>
      <c r="C10" s="285">
        <f t="shared" si="0"/>
        <v>220336.84313725488</v>
      </c>
      <c r="D10" s="396">
        <f>+KN_Westar!A41</f>
        <v>37149</v>
      </c>
      <c r="E10" s="32" t="s">
        <v>88</v>
      </c>
      <c r="F10" s="32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83</v>
      </c>
      <c r="B11" s="373">
        <f>+Conoco!$F$41</f>
        <v>448458.09</v>
      </c>
      <c r="C11" s="285">
        <f>+B11/$H$4</f>
        <v>219832.39705882352</v>
      </c>
      <c r="D11" s="395">
        <f>+Conoco!A41</f>
        <v>37149</v>
      </c>
      <c r="E11" s="32" t="s">
        <v>88</v>
      </c>
      <c r="F11" s="32" t="s">
        <v>116</v>
      </c>
      <c r="G11" s="32" t="s">
        <v>149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372" t="s">
        <v>29</v>
      </c>
      <c r="B12" s="373">
        <f>+C12*$H$3</f>
        <v>427766.12</v>
      </c>
      <c r="C12" s="285">
        <f>+williams!J40</f>
        <v>220498</v>
      </c>
      <c r="D12" s="395">
        <f>+williams!A40</f>
        <v>37149</v>
      </c>
      <c r="E12" s="206" t="s">
        <v>87</v>
      </c>
      <c r="F12" s="206" t="s">
        <v>151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3</v>
      </c>
      <c r="B13" s="373">
        <f>+'Amoco Abo'!$F$43</f>
        <v>422970.77999999997</v>
      </c>
      <c r="C13" s="285">
        <f t="shared" si="0"/>
        <v>207338.6176470588</v>
      </c>
      <c r="D13" s="396">
        <f>+'Amoco Abo'!A43</f>
        <v>37149</v>
      </c>
      <c r="E13" s="32" t="s">
        <v>88</v>
      </c>
      <c r="F13" s="32" t="s">
        <v>118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113</v>
      </c>
      <c r="B14" s="373">
        <f>+CIG!$D$43</f>
        <v>392230.36</v>
      </c>
      <c r="C14" s="285">
        <f t="shared" si="0"/>
        <v>192269.78431372548</v>
      </c>
      <c r="D14" s="396">
        <f>+CIG!A43</f>
        <v>37149</v>
      </c>
      <c r="E14" s="32" t="s">
        <v>88</v>
      </c>
      <c r="F14" s="32" t="s">
        <v>116</v>
      </c>
      <c r="G14" s="32" t="s">
        <v>205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372" t="s">
        <v>33</v>
      </c>
      <c r="B15" s="373">
        <f>+C15*$H$4</f>
        <v>384289.08</v>
      </c>
      <c r="C15" s="208">
        <f>+SoCal!F40</f>
        <v>188377</v>
      </c>
      <c r="D15" s="395">
        <f>+SoCal!A40</f>
        <v>37149</v>
      </c>
      <c r="E15" s="206" t="s">
        <v>87</v>
      </c>
      <c r="F15" s="206" t="s">
        <v>105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2</v>
      </c>
      <c r="B16" s="373">
        <f>+mewborne!$J$43</f>
        <v>355106.03</v>
      </c>
      <c r="C16" s="285">
        <f t="shared" si="0"/>
        <v>174071.58333333334</v>
      </c>
      <c r="D16" s="396">
        <f>+mewborne!A43</f>
        <v>37149</v>
      </c>
      <c r="E16" s="32" t="s">
        <v>88</v>
      </c>
      <c r="F16" s="32" t="s">
        <v>102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3">
        <f>+C17*$H$4</f>
        <v>323876.52</v>
      </c>
      <c r="C17" s="285">
        <f>+NGPL!F38</f>
        <v>158763</v>
      </c>
      <c r="D17" s="396">
        <f>+NGPL!A38</f>
        <v>37149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97</v>
      </c>
      <c r="B18" s="373">
        <f>+C18*$H$4</f>
        <v>301971</v>
      </c>
      <c r="C18" s="285">
        <f>+Mojave!D40</f>
        <v>148025</v>
      </c>
      <c r="D18" s="396">
        <f>+Mojave!A40</f>
        <v>37149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24</v>
      </c>
      <c r="B19" s="441">
        <f>+C19*$H$3</f>
        <v>260214.13999999998</v>
      </c>
      <c r="C19" s="375">
        <f>+'Red C'!F43</f>
        <v>134131</v>
      </c>
      <c r="D19" s="395">
        <f>+'Red C'!B43</f>
        <v>37149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372" t="s">
        <v>82</v>
      </c>
      <c r="B20" s="373">
        <f>+Agave!$D$24</f>
        <v>173116.22999999998</v>
      </c>
      <c r="C20" s="208">
        <f>+B20/$H$4</f>
        <v>84860.897058823524</v>
      </c>
      <c r="D20" s="395">
        <f>+Agave!A24</f>
        <v>37149</v>
      </c>
      <c r="E20" s="206" t="s">
        <v>88</v>
      </c>
      <c r="F20" s="206" t="s">
        <v>105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32</v>
      </c>
      <c r="B21" s="373">
        <f>+C21*$H$4</f>
        <v>158814</v>
      </c>
      <c r="C21" s="285">
        <f>+Lonestar!F42</f>
        <v>77850</v>
      </c>
      <c r="D21" s="395">
        <f>+Lonestar!B42</f>
        <v>37149</v>
      </c>
      <c r="E21" s="32" t="s">
        <v>87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85</v>
      </c>
      <c r="B22" s="373">
        <f>+PNM!$D$23</f>
        <v>147571.51</v>
      </c>
      <c r="C22" s="285">
        <f t="shared" ref="C22:C31" si="1">+B22/$H$4</f>
        <v>72338.975490196084</v>
      </c>
      <c r="D22" s="396">
        <f>+PNM!A23</f>
        <v>37149</v>
      </c>
      <c r="E22" s="32" t="s">
        <v>88</v>
      </c>
      <c r="F22" s="32" t="s">
        <v>118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6</v>
      </c>
      <c r="B23" s="373">
        <f>+C23*$H$3</f>
        <v>138320.06</v>
      </c>
      <c r="C23" s="285">
        <f>+Amoco!D40</f>
        <v>71299</v>
      </c>
      <c r="D23" s="396">
        <f>+Amoco!A40</f>
        <v>37149</v>
      </c>
      <c r="E23" s="32" t="s">
        <v>87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</v>
      </c>
      <c r="B24" s="373">
        <f>+C24*$H$3</f>
        <v>128245.64</v>
      </c>
      <c r="C24" s="208">
        <f>+NW!$F$41</f>
        <v>66106</v>
      </c>
      <c r="D24" s="395">
        <f>+NW!B41</f>
        <v>37149</v>
      </c>
      <c r="E24" s="32" t="s">
        <v>87</v>
      </c>
      <c r="F24" s="32" t="s">
        <v>118</v>
      </c>
      <c r="G24" s="379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148</v>
      </c>
      <c r="B25" s="374">
        <f>+C25*$H$4</f>
        <v>124215.6</v>
      </c>
      <c r="C25" s="375">
        <f>+PEPL!D41</f>
        <v>60890</v>
      </c>
      <c r="D25" s="396">
        <f>+PEPL!A41</f>
        <v>37149</v>
      </c>
      <c r="E25" s="32" t="s">
        <v>87</v>
      </c>
      <c r="F25" s="32" t="s">
        <v>103</v>
      </c>
      <c r="G25" s="32" t="s">
        <v>147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3">
        <f>+C26*$H$4</f>
        <v>119062.56</v>
      </c>
      <c r="C26" s="208">
        <f>+Oasis!D40</f>
        <v>58364</v>
      </c>
      <c r="D26" s="396">
        <f>+Oasis!B40</f>
        <v>37149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3">
        <f>+C27*$H$4</f>
        <v>116706.36</v>
      </c>
      <c r="C27" s="208">
        <f>+'PG&amp;E'!D40</f>
        <v>57209</v>
      </c>
      <c r="D27" s="396">
        <f>+'PG&amp;E'!A40</f>
        <v>37149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2" t="s">
        <v>132</v>
      </c>
      <c r="B28" s="373">
        <f>+Calpine!D41</f>
        <v>91940.160000000003</v>
      </c>
      <c r="C28" s="208">
        <f t="shared" si="1"/>
        <v>45068.705882352944</v>
      </c>
      <c r="D28" s="395">
        <f>+Calpine!A41</f>
        <v>37149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3">
        <f>+EOG!J41</f>
        <v>60962</v>
      </c>
      <c r="C29" s="285">
        <f t="shared" si="1"/>
        <v>29883.333333333332</v>
      </c>
      <c r="D29" s="395">
        <f>+EOG!A41</f>
        <v>37149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253" t="s">
        <v>136</v>
      </c>
      <c r="B30" s="373">
        <f>+SidR!D41</f>
        <v>41735.78</v>
      </c>
      <c r="C30" s="285">
        <f t="shared" si="1"/>
        <v>20458.715686274511</v>
      </c>
      <c r="D30" s="396">
        <f>+SidR!A41</f>
        <v>37149</v>
      </c>
      <c r="E30" s="32" t="s">
        <v>88</v>
      </c>
      <c r="F30" s="32" t="s">
        <v>105</v>
      </c>
      <c r="G30" s="32" t="s">
        <v>168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5" customHeight="1" x14ac:dyDescent="0.2">
      <c r="A31" s="372" t="s">
        <v>74</v>
      </c>
      <c r="B31" s="374">
        <f>+transcol!$D$43</f>
        <v>26165.649999999998</v>
      </c>
      <c r="C31" s="375">
        <f t="shared" si="1"/>
        <v>12826.299019607843</v>
      </c>
      <c r="D31" s="395">
        <f>+transcol!A43</f>
        <v>37149</v>
      </c>
      <c r="E31" s="206" t="s">
        <v>88</v>
      </c>
      <c r="F31" s="206" t="s">
        <v>118</v>
      </c>
      <c r="G31" s="30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304" customFormat="1" ht="12.95" customHeight="1" x14ac:dyDescent="0.2">
      <c r="A32" s="372" t="s">
        <v>98</v>
      </c>
      <c r="B32" s="373">
        <f>+burlington!D42</f>
        <v>5468.86</v>
      </c>
      <c r="C32" s="285">
        <f>+B32/$H$3</f>
        <v>2819</v>
      </c>
      <c r="D32" s="395">
        <f>+burlington!A42</f>
        <v>37149</v>
      </c>
      <c r="E32" s="206" t="s">
        <v>88</v>
      </c>
      <c r="F32" s="32" t="s">
        <v>116</v>
      </c>
      <c r="G32" s="32" t="s">
        <v>150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372" t="s">
        <v>112</v>
      </c>
      <c r="B33" s="376">
        <f>+Continental!F43</f>
        <v>5163.49</v>
      </c>
      <c r="C33" s="377">
        <f>+B33/$H$4</f>
        <v>2531.1225490196075</v>
      </c>
      <c r="D33" s="395">
        <f>+Continental!A43</f>
        <v>37149</v>
      </c>
      <c r="E33" s="206" t="s">
        <v>88</v>
      </c>
      <c r="F33" s="206" t="s">
        <v>118</v>
      </c>
      <c r="G33" s="206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6088605.7199999988</v>
      </c>
      <c r="C34" s="69">
        <f>SUM(C8:C33)</f>
        <v>3008868.1470588236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78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2" t="s">
        <v>140</v>
      </c>
      <c r="B37" s="373">
        <f>+Citizens!D18</f>
        <v>-656902.13</v>
      </c>
      <c r="C37" s="208">
        <f>+B37/$H$4</f>
        <v>-322010.84803921566</v>
      </c>
      <c r="D37" s="395">
        <f>+Citizens!A18</f>
        <v>37149</v>
      </c>
      <c r="E37" s="206" t="s">
        <v>88</v>
      </c>
      <c r="F37" s="206" t="s">
        <v>102</v>
      </c>
      <c r="G37" s="379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3">
        <f>+'NS Steel'!D41</f>
        <v>-438391.14</v>
      </c>
      <c r="C38" s="208">
        <f>+B38/$H$4</f>
        <v>-214897.61764705883</v>
      </c>
      <c r="D38" s="396">
        <f>+'NS Steel'!A41</f>
        <v>37149</v>
      </c>
      <c r="E38" s="32" t="s">
        <v>88</v>
      </c>
      <c r="F38" s="32" t="s">
        <v>103</v>
      </c>
      <c r="G38" s="37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3">
        <f>+'Citizens-Griffith'!D41</f>
        <v>-51190.720000000001</v>
      </c>
      <c r="C39" s="285">
        <f>+B39/$H$4</f>
        <v>-25093.49019607843</v>
      </c>
      <c r="D39" s="395">
        <f>+'Citizens-Griffith'!A41</f>
        <v>37149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134</v>
      </c>
      <c r="B40" s="373">
        <f>+EPFS!D41</f>
        <v>-34535.83</v>
      </c>
      <c r="C40" s="208">
        <f>+B40/$H$5</f>
        <v>-16524.320574162681</v>
      </c>
      <c r="D40" s="395">
        <f>+EPFS!A41</f>
        <v>37149</v>
      </c>
      <c r="E40" s="32" t="s">
        <v>88</v>
      </c>
      <c r="F40" s="32" t="s">
        <v>105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131</v>
      </c>
      <c r="B41" s="373">
        <f>+DEFS!F53</f>
        <v>-39720.83000000054</v>
      </c>
      <c r="C41" s="208">
        <f>+B41/$H$4</f>
        <v>-19470.995098039479</v>
      </c>
      <c r="D41" s="395">
        <f>+DEFS!A40</f>
        <v>37149</v>
      </c>
      <c r="E41" s="32" t="s">
        <v>88</v>
      </c>
      <c r="F41" s="32" t="s">
        <v>103</v>
      </c>
      <c r="G41" s="32" t="s">
        <v>121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">
      <c r="A42" s="253" t="s">
        <v>34</v>
      </c>
      <c r="B42" s="376">
        <f>+'El Paso'!C39*summary!H4+'El Paso'!E39*summary!H3</f>
        <v>-34302.01999999999</v>
      </c>
      <c r="C42" s="71">
        <f>+'El Paso'!H39</f>
        <v>-20993</v>
      </c>
      <c r="D42" s="396">
        <f>+'El Paso'!A39</f>
        <v>37149</v>
      </c>
      <c r="E42" s="32" t="s">
        <v>87</v>
      </c>
      <c r="F42" s="32" t="s">
        <v>103</v>
      </c>
      <c r="G42" s="32" t="s">
        <v>122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3">
        <f>SUM(B37:B42)</f>
        <v>-1255042.6700000006</v>
      </c>
      <c r="C43" s="208">
        <f>SUM(C37:C42)</f>
        <v>-618990.27155455505</v>
      </c>
      <c r="D43" s="38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6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1">
        <f>+B43+B34</f>
        <v>4833563.049999998</v>
      </c>
      <c r="C45" s="382">
        <f>+C43+C34</f>
        <v>2389877.8755042683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3"/>
      <c r="C60" s="384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6"/>
      <c r="E66" s="38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88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88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89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0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1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1"/>
      <c r="C72" s="69"/>
      <c r="D72" s="38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2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2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1"/>
      <c r="C75" s="14"/>
      <c r="D75" s="385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1"/>
      <c r="C76" s="69"/>
      <c r="D76" s="38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1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3"/>
      <c r="C78" s="393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4" workbookViewId="3">
      <selection activeCell="B9" sqref="B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-279274</v>
      </c>
      <c r="C6" s="80"/>
      <c r="D6" s="80">
        <f t="shared" ref="D6:D14" si="0">+C6-B6</f>
        <v>279274</v>
      </c>
    </row>
    <row r="7" spans="1:8" x14ac:dyDescent="0.2">
      <c r="A7" s="32">
        <v>3531</v>
      </c>
      <c r="B7" s="323">
        <v>-445830</v>
      </c>
      <c r="C7" s="80">
        <v>-199521</v>
      </c>
      <c r="D7" s="80">
        <f t="shared" si="0"/>
        <v>246309</v>
      </c>
    </row>
    <row r="8" spans="1:8" x14ac:dyDescent="0.2">
      <c r="A8" s="32">
        <v>60667</v>
      </c>
      <c r="B8" s="323">
        <v>-70921</v>
      </c>
      <c r="C8" s="80">
        <v>-27236</v>
      </c>
      <c r="D8" s="80">
        <f t="shared" si="0"/>
        <v>43685</v>
      </c>
      <c r="H8" s="254"/>
    </row>
    <row r="9" spans="1:8" x14ac:dyDescent="0.2">
      <c r="A9" s="32">
        <v>60749</v>
      </c>
      <c r="B9" s="323">
        <v>690582</v>
      </c>
      <c r="C9" s="80">
        <v>146933</v>
      </c>
      <c r="D9" s="80">
        <f t="shared" si="0"/>
        <v>-543649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-35203</v>
      </c>
      <c r="C11" s="80"/>
      <c r="D11" s="80">
        <f t="shared" si="0"/>
        <v>35203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60822</v>
      </c>
    </row>
    <row r="19" spans="1:5" x14ac:dyDescent="0.2">
      <c r="A19" s="32" t="s">
        <v>84</v>
      </c>
      <c r="B19" s="69"/>
      <c r="C19" s="69"/>
      <c r="D19" s="73">
        <f>+summary!H4</f>
        <v>2.04</v>
      </c>
    </row>
    <row r="20" spans="1:5" x14ac:dyDescent="0.2">
      <c r="B20" s="69"/>
      <c r="C20" s="69"/>
      <c r="D20" s="75">
        <f>+D19*D18</f>
        <v>124076.88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6">
        <v>400688.32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37149</v>
      </c>
      <c r="B24" s="69"/>
      <c r="C24" s="69"/>
      <c r="D24" s="351">
        <f>+D22+D20</f>
        <v>524765.19999999995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-29477</v>
      </c>
    </row>
    <row r="33" spans="1:4" x14ac:dyDescent="0.2">
      <c r="A33" s="49">
        <f>+A24</f>
        <v>37149</v>
      </c>
      <c r="D33" s="377">
        <f>+D18</f>
        <v>60822</v>
      </c>
    </row>
    <row r="34" spans="1:4" x14ac:dyDescent="0.2">
      <c r="D34" s="14">
        <f>+D33+D32</f>
        <v>31345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5" workbookViewId="3">
      <selection activeCell="B9" sqref="B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-21303</v>
      </c>
      <c r="C5" s="90">
        <v>-16107</v>
      </c>
      <c r="D5" s="90">
        <f t="shared" ref="D5:D13" si="0">+C5-B5</f>
        <v>5196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-1743910</v>
      </c>
      <c r="C7" s="90">
        <v>-1689936</v>
      </c>
      <c r="D7" s="90">
        <f t="shared" si="0"/>
        <v>53974</v>
      </c>
      <c r="E7" s="285"/>
      <c r="F7" s="70"/>
    </row>
    <row r="8" spans="1:13" x14ac:dyDescent="0.2">
      <c r="A8" s="87">
        <v>58710</v>
      </c>
      <c r="B8" s="364">
        <v>-111</v>
      </c>
      <c r="C8" s="90">
        <v>-663</v>
      </c>
      <c r="D8" s="90">
        <f t="shared" si="0"/>
        <v>-552</v>
      </c>
      <c r="E8" s="285"/>
      <c r="F8" s="70"/>
    </row>
    <row r="9" spans="1:13" x14ac:dyDescent="0.2">
      <c r="A9" s="87">
        <v>60921</v>
      </c>
      <c r="B9" s="319">
        <v>1142572</v>
      </c>
      <c r="C9" s="90">
        <v>1040268</v>
      </c>
      <c r="D9" s="90">
        <f t="shared" si="0"/>
        <v>-102304</v>
      </c>
      <c r="E9" s="285"/>
      <c r="F9" s="70"/>
    </row>
    <row r="10" spans="1:13" x14ac:dyDescent="0.2">
      <c r="A10" s="87">
        <v>78026</v>
      </c>
      <c r="B10" s="364"/>
      <c r="C10" s="90">
        <v>54947</v>
      </c>
      <c r="D10" s="90">
        <f t="shared" si="0"/>
        <v>54947</v>
      </c>
      <c r="E10" s="285"/>
      <c r="F10" s="283"/>
    </row>
    <row r="11" spans="1:13" x14ac:dyDescent="0.2">
      <c r="A11" s="87">
        <v>500084</v>
      </c>
      <c r="B11" s="364">
        <v>-6283</v>
      </c>
      <c r="C11" s="90">
        <v>-15000</v>
      </c>
      <c r="D11" s="90">
        <f t="shared" si="0"/>
        <v>-8717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-6453</v>
      </c>
      <c r="C13" s="90"/>
      <c r="D13" s="90">
        <f t="shared" si="0"/>
        <v>6453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8997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2.04</v>
      </c>
      <c r="E18" s="287"/>
      <c r="F18" s="283"/>
    </row>
    <row r="19" spans="1:7" x14ac:dyDescent="0.2">
      <c r="A19" s="87"/>
      <c r="B19" s="88"/>
      <c r="C19" s="88"/>
      <c r="D19" s="96">
        <f>+D18*D17</f>
        <v>18353.88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83">
        <v>129217.63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37149</v>
      </c>
      <c r="B23" s="88"/>
      <c r="C23" s="88"/>
      <c r="D23" s="334">
        <f>+D21+D19</f>
        <v>147571.51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477">
        <v>7128</v>
      </c>
    </row>
    <row r="29" spans="1:7" x14ac:dyDescent="0.2">
      <c r="A29" s="49">
        <f>+A23</f>
        <v>37149</v>
      </c>
      <c r="B29" s="32"/>
      <c r="C29" s="32"/>
      <c r="D29" s="377">
        <f>+D17</f>
        <v>8997</v>
      </c>
    </row>
    <row r="30" spans="1:7" x14ac:dyDescent="0.2">
      <c r="A30" s="32"/>
      <c r="B30" s="32"/>
      <c r="C30" s="32"/>
      <c r="D30" s="14">
        <f>+D29+D28</f>
        <v>16125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B40" sqref="B4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54408</v>
      </c>
      <c r="C3" s="90">
        <v>54435</v>
      </c>
      <c r="D3" s="90">
        <v>-44838</v>
      </c>
      <c r="E3" s="90">
        <v>-19695</v>
      </c>
      <c r="F3" s="90">
        <f>+E3-D3+C3-B3</f>
        <v>25170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">
      <c r="A11">
        <v>9</v>
      </c>
      <c r="B11" s="90">
        <v>39696</v>
      </c>
      <c r="C11" s="90">
        <v>39751</v>
      </c>
      <c r="D11" s="90">
        <v>-51429</v>
      </c>
      <c r="E11" s="90">
        <v>-49937</v>
      </c>
      <c r="F11" s="90">
        <f t="shared" si="0"/>
        <v>1547</v>
      </c>
    </row>
    <row r="12" spans="1:6" x14ac:dyDescent="0.2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">
      <c r="A13">
        <v>11</v>
      </c>
      <c r="B13" s="90">
        <v>39693</v>
      </c>
      <c r="C13" s="90">
        <v>39751</v>
      </c>
      <c r="D13" s="90">
        <v>-51659</v>
      </c>
      <c r="E13" s="90">
        <v>-54790</v>
      </c>
      <c r="F13" s="90">
        <f t="shared" si="0"/>
        <v>-3073</v>
      </c>
    </row>
    <row r="14" spans="1:6" x14ac:dyDescent="0.2">
      <c r="A14">
        <v>12</v>
      </c>
      <c r="B14" s="88">
        <v>39687</v>
      </c>
      <c r="C14" s="90">
        <v>39751</v>
      </c>
      <c r="D14" s="88">
        <v>-65758</v>
      </c>
      <c r="E14" s="88">
        <v>-65762</v>
      </c>
      <c r="F14" s="90">
        <f t="shared" si="0"/>
        <v>60</v>
      </c>
    </row>
    <row r="15" spans="1:6" x14ac:dyDescent="0.2">
      <c r="A15">
        <v>13</v>
      </c>
      <c r="B15" s="88">
        <v>36525</v>
      </c>
      <c r="C15" s="88">
        <v>36572</v>
      </c>
      <c r="D15" s="88">
        <v>-38103</v>
      </c>
      <c r="E15" s="88">
        <v>-34262</v>
      </c>
      <c r="F15" s="90">
        <f t="shared" si="0"/>
        <v>3888</v>
      </c>
    </row>
    <row r="16" spans="1:6" x14ac:dyDescent="0.2">
      <c r="A16">
        <v>14</v>
      </c>
      <c r="B16" s="88">
        <v>29653</v>
      </c>
      <c r="C16" s="88">
        <v>29751</v>
      </c>
      <c r="D16" s="88">
        <v>-57330</v>
      </c>
      <c r="E16" s="88">
        <v>-56059</v>
      </c>
      <c r="F16" s="90">
        <f t="shared" si="0"/>
        <v>1369</v>
      </c>
    </row>
    <row r="17" spans="1:6" x14ac:dyDescent="0.2">
      <c r="A17">
        <v>15</v>
      </c>
      <c r="B17" s="88">
        <v>39643</v>
      </c>
      <c r="C17" s="88">
        <v>39751</v>
      </c>
      <c r="D17" s="14">
        <v>-40107</v>
      </c>
      <c r="E17" s="14">
        <v>-39770</v>
      </c>
      <c r="F17" s="90">
        <f t="shared" si="0"/>
        <v>445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6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656267</v>
      </c>
      <c r="C34" s="297">
        <f>SUM(C3:C33)</f>
        <v>658388</v>
      </c>
      <c r="D34" s="14">
        <f>SUM(D3:D33)</f>
        <v>-612794</v>
      </c>
      <c r="E34" s="14">
        <f>SUM(E3:E33)</f>
        <v>-595829</v>
      </c>
      <c r="F34" s="14">
        <f>SUM(F3:F33)</f>
        <v>19086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74">
        <f>12393+127284</f>
        <v>139677</v>
      </c>
    </row>
    <row r="38" spans="1:6" x14ac:dyDescent="0.2">
      <c r="A38" s="263">
        <v>37149</v>
      </c>
      <c r="B38" s="14"/>
      <c r="C38" s="14"/>
      <c r="D38" s="14"/>
      <c r="E38" s="14"/>
      <c r="F38" s="150">
        <f>+F37+F34</f>
        <v>158763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75">
        <f>151845.69+204392.22</f>
        <v>356237.91000000003</v>
      </c>
      <c r="F43" s="304"/>
    </row>
    <row r="44" spans="1:6" x14ac:dyDescent="0.2">
      <c r="A44" s="49">
        <f>+A38</f>
        <v>37149</v>
      </c>
      <c r="B44" s="32"/>
      <c r="C44" s="32"/>
      <c r="D44" s="406">
        <f>+F34*'by type_area'!J4</f>
        <v>38935.440000000002</v>
      </c>
      <c r="F44" s="304"/>
    </row>
    <row r="45" spans="1:6" x14ac:dyDescent="0.2">
      <c r="A45" s="32"/>
      <c r="B45" s="32"/>
      <c r="C45" s="32"/>
      <c r="D45" s="202">
        <f>+D44+D43</f>
        <v>395173.35000000003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42" sqref="C4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">
      <c r="A16" s="10">
        <v>13</v>
      </c>
      <c r="B16" s="11">
        <v>-19015</v>
      </c>
      <c r="C16" s="11">
        <v>-18997</v>
      </c>
      <c r="D16" s="25">
        <f t="shared" si="0"/>
        <v>18</v>
      </c>
    </row>
    <row r="17" spans="1:4" x14ac:dyDescent="0.2">
      <c r="A17" s="10">
        <v>14</v>
      </c>
      <c r="B17" s="11">
        <v>-19876</v>
      </c>
      <c r="C17" s="11">
        <v>-18890</v>
      </c>
      <c r="D17" s="25">
        <f t="shared" si="0"/>
        <v>986</v>
      </c>
    </row>
    <row r="18" spans="1:4" x14ac:dyDescent="0.2">
      <c r="A18" s="10">
        <v>15</v>
      </c>
      <c r="B18" s="11">
        <v>-20003</v>
      </c>
      <c r="C18" s="11">
        <v>-19169</v>
      </c>
      <c r="D18" s="25">
        <f t="shared" si="0"/>
        <v>834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-304450</v>
      </c>
      <c r="C35" s="11">
        <f>SUM(C4:C34)</f>
        <v>-307889</v>
      </c>
      <c r="D35" s="11">
        <f>SUM(D4:D34)</f>
        <v>-3439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479">
        <v>151464</v>
      </c>
    </row>
    <row r="39" spans="1:4" x14ac:dyDescent="0.2">
      <c r="A39" s="2"/>
      <c r="D39" s="24"/>
    </row>
    <row r="40" spans="1:4" x14ac:dyDescent="0.2">
      <c r="A40" s="57">
        <v>37149</v>
      </c>
      <c r="D40" s="51">
        <f>+D38+D35</f>
        <v>148025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202">
        <v>125521</v>
      </c>
    </row>
    <row r="46" spans="1:4" x14ac:dyDescent="0.2">
      <c r="A46" s="49">
        <f>+A40</f>
        <v>37149</v>
      </c>
      <c r="B46" s="32"/>
      <c r="C46" s="32"/>
      <c r="D46" s="406">
        <f>+D35*'by type_area'!J4</f>
        <v>-7015.56</v>
      </c>
    </row>
    <row r="47" spans="1:4" x14ac:dyDescent="0.2">
      <c r="A47" s="32"/>
      <c r="B47" s="32"/>
      <c r="C47" s="32"/>
      <c r="D47" s="202">
        <f>+D46+D45</f>
        <v>118505.44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C37" sqref="C3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19383</v>
      </c>
      <c r="C14" s="11">
        <v>18764</v>
      </c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-758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18982</v>
      </c>
      <c r="C15" s="11">
        <v>18764</v>
      </c>
      <c r="D15" s="11">
        <v>9230</v>
      </c>
      <c r="E15" s="11">
        <v>8500</v>
      </c>
      <c r="F15" s="11"/>
      <c r="G15" s="11"/>
      <c r="H15" s="11"/>
      <c r="I15" s="11"/>
      <c r="J15" s="11">
        <f t="shared" si="0"/>
        <v>-948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19311</v>
      </c>
      <c r="C16" s="11">
        <v>18764</v>
      </c>
      <c r="D16" s="11">
        <v>9675</v>
      </c>
      <c r="E16" s="11">
        <v>8500</v>
      </c>
      <c r="F16" s="11"/>
      <c r="G16" s="11"/>
      <c r="H16" s="11"/>
      <c r="I16" s="11"/>
      <c r="J16" s="11">
        <f t="shared" si="0"/>
        <v>-1722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19051</v>
      </c>
      <c r="C17" s="11">
        <v>18764</v>
      </c>
      <c r="D17" s="11">
        <v>9185</v>
      </c>
      <c r="E17" s="11">
        <v>8500</v>
      </c>
      <c r="F17" s="11"/>
      <c r="G17" s="11"/>
      <c r="H17" s="11"/>
      <c r="I17" s="11"/>
      <c r="J17" s="11">
        <f t="shared" si="0"/>
        <v>-972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18948</v>
      </c>
      <c r="C18" s="11">
        <v>18764</v>
      </c>
      <c r="D18" s="11">
        <v>8955</v>
      </c>
      <c r="E18" s="11">
        <v>8500</v>
      </c>
      <c r="F18" s="11"/>
      <c r="G18" s="11"/>
      <c r="H18" s="11"/>
      <c r="I18" s="11"/>
      <c r="J18" s="11">
        <f t="shared" si="0"/>
        <v>-639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294155</v>
      </c>
      <c r="C35" s="11">
        <f t="shared" ref="C35:I35" si="1">SUM(C4:C34)</f>
        <v>284960</v>
      </c>
      <c r="D35" s="11">
        <f t="shared" si="1"/>
        <v>131392</v>
      </c>
      <c r="E35" s="11">
        <f t="shared" si="1"/>
        <v>131000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-12861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-26236.44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75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37149</v>
      </c>
      <c r="J41" s="337">
        <f>+J39+J37</f>
        <v>60962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477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37149</v>
      </c>
      <c r="B47" s="32"/>
      <c r="C47" s="32"/>
      <c r="D47" s="377">
        <f>+J35</f>
        <v>-12861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-95590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41" workbookViewId="3">
      <selection activeCell="A56" sqref="A5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>
        <v>4988</v>
      </c>
      <c r="F14" s="24">
        <f t="shared" si="0"/>
        <v>4988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-97</v>
      </c>
      <c r="E15" s="24">
        <v>4988</v>
      </c>
      <c r="F15" s="24">
        <f t="shared" si="0"/>
        <v>5085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>-8986-77</f>
        <v>-9063</v>
      </c>
      <c r="E16" s="24">
        <v>-9152</v>
      </c>
      <c r="F16" s="24">
        <f t="shared" si="0"/>
        <v>-89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-7047</v>
      </c>
      <c r="E17" s="24">
        <v>-22142</v>
      </c>
      <c r="F17" s="24">
        <f t="shared" si="0"/>
        <v>-15095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>-18029-3693</f>
        <v>-21722</v>
      </c>
      <c r="E18" s="24">
        <v>-21789</v>
      </c>
      <c r="F18" s="24">
        <f t="shared" si="0"/>
        <v>-67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>-13205-4228</f>
        <v>-17433</v>
      </c>
      <c r="E19" s="24">
        <v>-13639</v>
      </c>
      <c r="F19" s="24">
        <f t="shared" si="0"/>
        <v>3794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-43</v>
      </c>
      <c r="E20" s="24">
        <v>4988</v>
      </c>
      <c r="F20" s="24">
        <f t="shared" si="0"/>
        <v>5031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-189355</v>
      </c>
      <c r="E37" s="24">
        <f>SUM(E6:E36)</f>
        <v>-195294</v>
      </c>
      <c r="F37" s="24">
        <f>SUM(F6:F36)</f>
        <v>-5939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2.04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-12115.56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4">
        <v>37134</v>
      </c>
      <c r="E40" s="14"/>
      <c r="F40" s="482">
        <v>461602.72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4">
        <v>37149</v>
      </c>
      <c r="E41" s="14"/>
      <c r="F41" s="104">
        <f>+F40+F39</f>
        <v>449487.16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7">
        <v>26080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37149</v>
      </c>
      <c r="B47" s="32"/>
      <c r="C47" s="32"/>
      <c r="D47" s="377">
        <f>+F37</f>
        <v>-5939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20141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7" workbookViewId="3">
      <selection activeCell="B43" sqref="B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">
      <c r="A19" s="10">
        <v>12</v>
      </c>
      <c r="B19" s="11">
        <v>495</v>
      </c>
      <c r="C19" s="11"/>
      <c r="D19" s="11">
        <v>315</v>
      </c>
      <c r="E19" s="11"/>
      <c r="F19" s="25">
        <f t="shared" si="0"/>
        <v>-810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>
        <v>230</v>
      </c>
      <c r="F21" s="25">
        <f t="shared" si="0"/>
        <v>230</v>
      </c>
    </row>
    <row r="22" spans="1:10" x14ac:dyDescent="0.2">
      <c r="A22" s="10">
        <v>15</v>
      </c>
      <c r="B22" s="11"/>
      <c r="C22" s="11"/>
      <c r="D22" s="11"/>
      <c r="E22" s="11">
        <v>37</v>
      </c>
      <c r="F22" s="25">
        <f t="shared" si="0"/>
        <v>37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6943</v>
      </c>
      <c r="C39" s="11">
        <f>SUM(C8:C38)</f>
        <v>6000</v>
      </c>
      <c r="D39" s="11">
        <f>SUM(D8:D38)</f>
        <v>4945</v>
      </c>
      <c r="E39" s="11">
        <f>SUM(E8:E38)</f>
        <v>5477</v>
      </c>
      <c r="F39" s="25">
        <f>SUM(F8:F38)</f>
        <v>-411</v>
      </c>
    </row>
    <row r="40" spans="1:6" x14ac:dyDescent="0.2">
      <c r="A40" s="26"/>
      <c r="C40" s="14"/>
      <c r="F40" s="260">
        <f>+summary!H4</f>
        <v>2.04</v>
      </c>
    </row>
    <row r="41" spans="1:6" x14ac:dyDescent="0.2">
      <c r="F41" s="138">
        <f>+F40*F39</f>
        <v>-838.44</v>
      </c>
    </row>
    <row r="42" spans="1:6" x14ac:dyDescent="0.2">
      <c r="A42" s="57">
        <v>37134</v>
      </c>
      <c r="C42" s="15"/>
      <c r="F42" s="484">
        <v>6001.93</v>
      </c>
    </row>
    <row r="43" spans="1:6" x14ac:dyDescent="0.2">
      <c r="A43" s="57">
        <v>37149</v>
      </c>
      <c r="C43" s="48"/>
      <c r="F43" s="138">
        <f>+F42+F41</f>
        <v>5163.49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477">
        <v>-13252</v>
      </c>
    </row>
    <row r="49" spans="1:4" x14ac:dyDescent="0.2">
      <c r="A49" s="49">
        <f>+A43</f>
        <v>37149</v>
      </c>
      <c r="B49" s="32"/>
      <c r="C49" s="32"/>
      <c r="D49" s="377">
        <f>+F39</f>
        <v>-411</v>
      </c>
    </row>
    <row r="50" spans="1:4" x14ac:dyDescent="0.2">
      <c r="A50" s="32"/>
      <c r="B50" s="32"/>
      <c r="C50" s="32"/>
      <c r="D50" s="14">
        <f>+D49+D48</f>
        <v>-13663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2.04</v>
      </c>
    </row>
    <row r="41" spans="1:4" x14ac:dyDescent="0.2">
      <c r="D41" s="138">
        <f>+D40*D39</f>
        <v>-58019.64</v>
      </c>
    </row>
    <row r="42" spans="1:4" x14ac:dyDescent="0.2">
      <c r="A42" s="57">
        <v>37134</v>
      </c>
      <c r="C42" s="15"/>
      <c r="D42" s="368">
        <v>450250</v>
      </c>
    </row>
    <row r="43" spans="1:4" x14ac:dyDescent="0.2">
      <c r="A43" s="57">
        <v>37149</v>
      </c>
      <c r="C43" s="48"/>
      <c r="D43" s="138">
        <f>+D42+D41</f>
        <v>392230.36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14">
        <v>50872</v>
      </c>
    </row>
    <row r="48" spans="1:4" x14ac:dyDescent="0.2">
      <c r="A48" s="49">
        <f>+A43</f>
        <v>37149</v>
      </c>
      <c r="B48" s="32"/>
      <c r="C48" s="32"/>
      <c r="D48" s="377">
        <f>+D39</f>
        <v>-28441</v>
      </c>
    </row>
    <row r="49" spans="1:4" x14ac:dyDescent="0.2">
      <c r="A49" s="32"/>
      <c r="B49" s="32"/>
      <c r="C49" s="32"/>
      <c r="D49" s="14">
        <f>+D48+D47</f>
        <v>22431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4" sqref="A44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">
      <c r="A16" s="10">
        <v>11</v>
      </c>
      <c r="B16" s="11">
        <v>-77113</v>
      </c>
      <c r="C16" s="11">
        <v>-79550</v>
      </c>
      <c r="D16" s="25">
        <f t="shared" si="0"/>
        <v>-2437</v>
      </c>
    </row>
    <row r="17" spans="1:4" x14ac:dyDescent="0.2">
      <c r="A17" s="10">
        <v>12</v>
      </c>
      <c r="B17" s="11">
        <v>-80716</v>
      </c>
      <c r="C17" s="11">
        <v>-81880</v>
      </c>
      <c r="D17" s="25">
        <f t="shared" si="0"/>
        <v>-1164</v>
      </c>
    </row>
    <row r="18" spans="1:4" x14ac:dyDescent="0.2">
      <c r="A18" s="10">
        <v>13</v>
      </c>
      <c r="B18" s="11">
        <v>-53012</v>
      </c>
      <c r="C18" s="11">
        <v>-47231</v>
      </c>
      <c r="D18" s="25">
        <f t="shared" si="0"/>
        <v>5781</v>
      </c>
    </row>
    <row r="19" spans="1:4" x14ac:dyDescent="0.2">
      <c r="A19" s="10">
        <v>14</v>
      </c>
      <c r="B19" s="11">
        <v>-39548</v>
      </c>
      <c r="C19" s="11">
        <v>-46164</v>
      </c>
      <c r="D19" s="25">
        <f t="shared" si="0"/>
        <v>-6616</v>
      </c>
    </row>
    <row r="20" spans="1:4" x14ac:dyDescent="0.2">
      <c r="A20" s="10">
        <v>15</v>
      </c>
      <c r="B20" s="11">
        <v>-38282</v>
      </c>
      <c r="C20" s="11">
        <v>-40001</v>
      </c>
      <c r="D20" s="25">
        <f t="shared" si="0"/>
        <v>-1719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08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08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08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-1067392</v>
      </c>
      <c r="C37" s="11">
        <f>SUM(C6:C36)</f>
        <v>-1062338</v>
      </c>
      <c r="D37" s="25">
        <f>SUM(D6:D36)</f>
        <v>5054</v>
      </c>
    </row>
    <row r="38" spans="1:4" x14ac:dyDescent="0.2">
      <c r="A38" s="26"/>
      <c r="C38" s="14"/>
      <c r="D38" s="345">
        <f>+summary!H4</f>
        <v>2.04</v>
      </c>
    </row>
    <row r="39" spans="1:4" x14ac:dyDescent="0.2">
      <c r="D39" s="138">
        <f>+D38*D37</f>
        <v>10310.16</v>
      </c>
    </row>
    <row r="40" spans="1:4" x14ac:dyDescent="0.2">
      <c r="A40" s="57">
        <v>37134</v>
      </c>
      <c r="C40" s="15"/>
      <c r="D40" s="440">
        <v>81630</v>
      </c>
    </row>
    <row r="41" spans="1:4" x14ac:dyDescent="0.2">
      <c r="A41" s="57">
        <v>37149</v>
      </c>
      <c r="C41" s="48"/>
      <c r="D41" s="138">
        <f>+D40+D39</f>
        <v>91940.160000000003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130472</v>
      </c>
    </row>
    <row r="46" spans="1:4" x14ac:dyDescent="0.2">
      <c r="A46" s="49">
        <f>+A41</f>
        <v>37149</v>
      </c>
      <c r="B46" s="32"/>
      <c r="C46" s="32"/>
      <c r="D46" s="377">
        <f>+D37</f>
        <v>5054</v>
      </c>
    </row>
    <row r="47" spans="1:4" x14ac:dyDescent="0.2">
      <c r="A47" s="32"/>
      <c r="B47" s="32"/>
      <c r="C47" s="32"/>
      <c r="D47" s="14">
        <f>+D46+D45</f>
        <v>135526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workbookViewId="3">
      <selection activeCell="B18" sqref="B18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">
      <c r="A17" s="10">
        <v>12</v>
      </c>
      <c r="B17" s="129">
        <v>41778</v>
      </c>
      <c r="C17" s="11">
        <v>36700</v>
      </c>
      <c r="D17" s="25">
        <f t="shared" si="0"/>
        <v>-5078</v>
      </c>
    </row>
    <row r="18" spans="1:4" x14ac:dyDescent="0.2">
      <c r="A18" s="10">
        <v>13</v>
      </c>
      <c r="B18" s="129">
        <v>41979</v>
      </c>
      <c r="C18" s="11">
        <v>33000</v>
      </c>
      <c r="D18" s="25">
        <f t="shared" si="0"/>
        <v>-8979</v>
      </c>
    </row>
    <row r="19" spans="1:4" x14ac:dyDescent="0.2">
      <c r="A19" s="10">
        <v>14</v>
      </c>
      <c r="B19" s="129">
        <v>28295</v>
      </c>
      <c r="C19" s="11">
        <v>32700</v>
      </c>
      <c r="D19" s="25">
        <f t="shared" si="0"/>
        <v>4405</v>
      </c>
    </row>
    <row r="20" spans="1:4" x14ac:dyDescent="0.2">
      <c r="A20" s="10">
        <v>15</v>
      </c>
      <c r="B20" s="129">
        <v>36955</v>
      </c>
      <c r="C20" s="11">
        <v>33000</v>
      </c>
      <c r="D20" s="25">
        <f t="shared" si="0"/>
        <v>-3955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529515</v>
      </c>
      <c r="C37" s="11">
        <f>SUM(C6:C36)</f>
        <v>530228</v>
      </c>
      <c r="D37" s="25">
        <f>SUM(D6:D36)</f>
        <v>713</v>
      </c>
    </row>
    <row r="38" spans="1:4" x14ac:dyDescent="0.2">
      <c r="A38" s="26"/>
      <c r="C38" s="14"/>
      <c r="D38" s="345">
        <f>+summary!H5</f>
        <v>2.09</v>
      </c>
    </row>
    <row r="39" spans="1:4" x14ac:dyDescent="0.2">
      <c r="D39" s="138">
        <f>+D38*D37</f>
        <v>1490.1699999999998</v>
      </c>
    </row>
    <row r="40" spans="1:4" x14ac:dyDescent="0.2">
      <c r="A40" s="57">
        <v>37134</v>
      </c>
      <c r="C40" s="15"/>
      <c r="D40" s="359">
        <v>-36026</v>
      </c>
    </row>
    <row r="41" spans="1:4" x14ac:dyDescent="0.2">
      <c r="A41" s="57">
        <v>37149</v>
      </c>
      <c r="C41" s="48"/>
      <c r="D41" s="138">
        <f>+D40+D39</f>
        <v>-34535.83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-1369</v>
      </c>
    </row>
    <row r="46" spans="1:4" x14ac:dyDescent="0.2">
      <c r="A46" s="49">
        <f>+A41</f>
        <v>37149</v>
      </c>
      <c r="B46" s="32"/>
      <c r="C46" s="32"/>
      <c r="D46" s="377">
        <f>+D37</f>
        <v>713</v>
      </c>
    </row>
    <row r="47" spans="1:4" x14ac:dyDescent="0.2">
      <c r="A47" s="32"/>
      <c r="B47" s="32"/>
      <c r="C47" s="32"/>
      <c r="D47" s="14">
        <f>+D46+D45</f>
        <v>-656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9" workbookViewId="3">
      <selection activeCell="C15" sqref="C15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45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8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4" t="s">
        <v>40</v>
      </c>
      <c r="N4" s="4" t="s">
        <v>20</v>
      </c>
      <c r="O4" s="4" t="s">
        <v>21</v>
      </c>
      <c r="P4" s="44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4"/>
      <c r="N5" s="14"/>
      <c r="O5" s="14"/>
      <c r="P5" s="14">
        <f t="shared" ref="P5:P13" si="1">+O5-N5</f>
        <v>0</v>
      </c>
      <c r="Q5" s="38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4">
        <v>36861</v>
      </c>
      <c r="N6" s="24">
        <v>19698194</v>
      </c>
      <c r="O6" s="24">
        <v>19662410</v>
      </c>
      <c r="P6" s="14">
        <f t="shared" si="1"/>
        <v>-35784</v>
      </c>
      <c r="Q6" s="38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-3303</v>
      </c>
      <c r="M7" s="444">
        <v>36892</v>
      </c>
      <c r="N7" s="24">
        <v>18949781</v>
      </c>
      <c r="O7" s="14">
        <v>18975457</v>
      </c>
      <c r="P7" s="14">
        <f t="shared" si="1"/>
        <v>25676</v>
      </c>
      <c r="Q7" s="38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4">
        <v>36923</v>
      </c>
      <c r="N8" s="24">
        <v>15193330</v>
      </c>
      <c r="O8" s="14">
        <v>15256233</v>
      </c>
      <c r="P8" s="14">
        <f t="shared" si="1"/>
        <v>62903</v>
      </c>
      <c r="Q8" s="38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4">
        <v>36951</v>
      </c>
      <c r="N9" s="24">
        <v>17049350</v>
      </c>
      <c r="O9" s="14">
        <v>17089226</v>
      </c>
      <c r="P9" s="14">
        <f t="shared" si="1"/>
        <v>39876</v>
      </c>
      <c r="Q9" s="38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4">
        <v>36982</v>
      </c>
      <c r="N10" s="24">
        <v>17652369</v>
      </c>
      <c r="O10" s="14">
        <v>17743987</v>
      </c>
      <c r="P10" s="14">
        <f t="shared" si="1"/>
        <v>91618</v>
      </c>
      <c r="Q10" s="38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4">
        <v>37012</v>
      </c>
      <c r="N11" s="24">
        <v>16124989</v>
      </c>
      <c r="O11" s="14">
        <v>16282021</v>
      </c>
      <c r="P11" s="14">
        <f t="shared" si="1"/>
        <v>157032</v>
      </c>
      <c r="Q11" s="38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4">
        <v>37043</v>
      </c>
      <c r="N12" s="24">
        <v>15928675</v>
      </c>
      <c r="O12" s="14">
        <v>15936227</v>
      </c>
      <c r="P12" s="14">
        <f t="shared" si="1"/>
        <v>7552</v>
      </c>
      <c r="Q12" s="38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4">
        <v>37073</v>
      </c>
      <c r="N13" s="24">
        <v>16669639</v>
      </c>
      <c r="O13" s="14">
        <v>16693576</v>
      </c>
      <c r="P13" s="14">
        <f t="shared" si="1"/>
        <v>23937</v>
      </c>
      <c r="Q13" s="38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307301</v>
      </c>
      <c r="C15" s="11">
        <v>313278</v>
      </c>
      <c r="D15" s="11">
        <v>73385</v>
      </c>
      <c r="E15" s="11">
        <v>72956</v>
      </c>
      <c r="F15" s="11">
        <v>73231</v>
      </c>
      <c r="G15" s="11">
        <v>69483</v>
      </c>
      <c r="H15" s="11">
        <v>136385</v>
      </c>
      <c r="I15" s="11">
        <v>129079</v>
      </c>
      <c r="J15" s="11">
        <f t="shared" si="0"/>
        <v>-5506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291092</v>
      </c>
      <c r="C16" s="11">
        <v>300275</v>
      </c>
      <c r="D16" s="11">
        <v>73005</v>
      </c>
      <c r="E16" s="11">
        <v>72956</v>
      </c>
      <c r="F16" s="11">
        <v>55147</v>
      </c>
      <c r="G16" s="11">
        <v>57862</v>
      </c>
      <c r="H16" s="11">
        <v>106009</v>
      </c>
      <c r="I16" s="11">
        <v>89909</v>
      </c>
      <c r="J16" s="11">
        <f t="shared" si="0"/>
        <v>-4251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300435</v>
      </c>
      <c r="C17" s="11">
        <v>306742</v>
      </c>
      <c r="D17" s="11">
        <v>73860</v>
      </c>
      <c r="E17" s="11">
        <v>72956</v>
      </c>
      <c r="F17" s="11">
        <v>72059</v>
      </c>
      <c r="G17" s="11">
        <v>64050</v>
      </c>
      <c r="H17" s="11">
        <v>124226</v>
      </c>
      <c r="I17" s="11">
        <v>122654</v>
      </c>
      <c r="J17" s="11">
        <f t="shared" si="0"/>
        <v>-4178</v>
      </c>
      <c r="M17" s="444"/>
      <c r="N17" s="24"/>
      <c r="O17" s="14"/>
      <c r="P17" s="14">
        <f>+O17-N17</f>
        <v>0</v>
      </c>
      <c r="Q17" s="38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314672</v>
      </c>
      <c r="C18" s="11">
        <v>318527</v>
      </c>
      <c r="D18" s="11">
        <v>67111</v>
      </c>
      <c r="E18" s="11">
        <v>72956</v>
      </c>
      <c r="F18" s="11">
        <v>56443</v>
      </c>
      <c r="G18" s="11">
        <v>55483</v>
      </c>
      <c r="H18" s="11">
        <v>132628</v>
      </c>
      <c r="I18" s="11">
        <v>123921</v>
      </c>
      <c r="J18" s="11">
        <f t="shared" si="0"/>
        <v>33</v>
      </c>
      <c r="M18" s="444"/>
      <c r="N18" s="24"/>
      <c r="O18" s="14"/>
      <c r="P18" s="14"/>
      <c r="Q18" s="38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44"/>
      <c r="N19" s="14"/>
      <c r="O19" s="14"/>
      <c r="P19" s="14"/>
      <c r="Q19" s="38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44"/>
      <c r="N20" s="14"/>
      <c r="O20" s="14"/>
      <c r="P20" s="15"/>
      <c r="Q20" s="38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44"/>
      <c r="N21" s="24"/>
      <c r="O21" s="24"/>
      <c r="P21" s="110"/>
      <c r="Q21" s="44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4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46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46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4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4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4528013</v>
      </c>
      <c r="C35" s="11">
        <f t="shared" ref="C35:I35" si="3">SUM(C4:C34)</f>
        <v>4508724</v>
      </c>
      <c r="D35" s="11">
        <f t="shared" si="3"/>
        <v>998288</v>
      </c>
      <c r="E35" s="11">
        <f t="shared" si="3"/>
        <v>1079339</v>
      </c>
      <c r="F35" s="11">
        <f t="shared" si="3"/>
        <v>936724</v>
      </c>
      <c r="G35" s="11">
        <f t="shared" si="3"/>
        <v>903654</v>
      </c>
      <c r="H35" s="11">
        <f t="shared" si="3"/>
        <v>1582646</v>
      </c>
      <c r="I35" s="11">
        <f t="shared" si="3"/>
        <v>1499062</v>
      </c>
      <c r="J35" s="11">
        <f>SUM(J4:J34)</f>
        <v>-54892</v>
      </c>
      <c r="M35" s="32"/>
      <c r="N35" s="24"/>
      <c r="O35" s="32"/>
      <c r="P35" s="15"/>
      <c r="Q35" s="38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8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68">
        <v>275390</v>
      </c>
      <c r="M38" s="32"/>
      <c r="N38" s="24"/>
      <c r="O38" s="32"/>
      <c r="P38" s="15"/>
      <c r="Q38" s="38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8"/>
      <c r="R39" s="110"/>
      <c r="S39" s="19"/>
      <c r="T39" s="104"/>
      <c r="U39" s="16"/>
      <c r="V39" s="15"/>
      <c r="W39" s="13"/>
    </row>
    <row r="40" spans="1:23" x14ac:dyDescent="0.2">
      <c r="A40" s="33">
        <v>37149</v>
      </c>
      <c r="J40" s="51">
        <f>+J38+J35</f>
        <v>220498</v>
      </c>
      <c r="M40" s="32"/>
      <c r="N40" s="24"/>
      <c r="O40" s="32"/>
      <c r="P40" s="15"/>
      <c r="Q40" s="38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8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8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8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69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37149</v>
      </c>
      <c r="B47" s="32"/>
      <c r="C47" s="32"/>
      <c r="D47" s="406">
        <f>+J35*'by type_area'!J3</f>
        <v>-106490.48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1181747.51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8"/>
      <c r="R48" s="15"/>
      <c r="S48" s="19"/>
      <c r="T48" s="32"/>
    </row>
    <row r="49" spans="1:20" x14ac:dyDescent="0.2">
      <c r="A49" s="139"/>
      <c r="B49" s="119"/>
      <c r="C49" s="140"/>
      <c r="D49" s="40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8"/>
      <c r="R49" s="15"/>
      <c r="S49" s="32"/>
      <c r="T49" s="32"/>
    </row>
    <row r="50" spans="1:20" x14ac:dyDescent="0.2">
      <c r="A50" s="10"/>
      <c r="B50" s="11"/>
      <c r="C50" s="11"/>
      <c r="D50" s="40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6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6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6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4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4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4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4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4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4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4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8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4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42"/>
      <c r="Q255" s="143"/>
      <c r="R255" s="44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3"/>
      <c r="Q256" s="448"/>
      <c r="R256" s="44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47"/>
      <c r="S295" s="1"/>
    </row>
    <row r="296" spans="9:21" x14ac:dyDescent="0.2">
      <c r="K296" s="2"/>
      <c r="M296" s="30"/>
      <c r="N296" s="4"/>
      <c r="O296" s="4"/>
      <c r="P296" s="442"/>
      <c r="Q296" s="143"/>
      <c r="R296" s="44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43"/>
      <c r="Q297" s="448"/>
      <c r="R297" s="44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4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4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4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4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4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4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4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4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4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4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4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4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4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4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4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4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4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4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4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4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4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4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4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4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4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4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4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4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4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4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4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4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47"/>
      <c r="S337" s="1"/>
    </row>
    <row r="338" spans="11:21" x14ac:dyDescent="0.2">
      <c r="K338" s="2"/>
      <c r="M338" s="30"/>
      <c r="N338" s="4"/>
      <c r="O338" s="4"/>
      <c r="P338" s="442"/>
      <c r="Q338" s="143"/>
      <c r="R338" s="44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43"/>
      <c r="Q339" s="448"/>
      <c r="R339" s="44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4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4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4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4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4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4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4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4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4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4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4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4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4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4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4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4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4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4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4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4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4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4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4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4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4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4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4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4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4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4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4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4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47"/>
      <c r="S379" s="1"/>
    </row>
    <row r="380" spans="11:21" x14ac:dyDescent="0.2">
      <c r="K380" s="2"/>
      <c r="M380" s="30"/>
      <c r="N380" s="4"/>
      <c r="O380" s="4"/>
      <c r="P380" s="442"/>
      <c r="Q380" s="143"/>
      <c r="R380" s="44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43"/>
      <c r="Q381" s="448"/>
      <c r="R381" s="44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4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4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4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4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4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4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4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4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4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4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4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4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4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4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4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4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4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4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4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4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4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4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4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4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4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4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4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4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4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4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4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4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47"/>
      <c r="S423" s="1"/>
    </row>
    <row r="424" spans="11:21" x14ac:dyDescent="0.2">
      <c r="K424" s="2"/>
      <c r="M424" s="30"/>
      <c r="N424" s="4"/>
      <c r="O424" s="4"/>
      <c r="P424" s="442"/>
      <c r="Q424" s="143"/>
      <c r="R424" s="44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43"/>
      <c r="Q425" s="448"/>
      <c r="R425" s="44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4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4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4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4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4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4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4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4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4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4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4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4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4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4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4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4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4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4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4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4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4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4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4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4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4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4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4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4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4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4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4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4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4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42"/>
      <c r="Q466" s="143"/>
      <c r="R466" s="44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43"/>
      <c r="Q467" s="448"/>
      <c r="R467" s="44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4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4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4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4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4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4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4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4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4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4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4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4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4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4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4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4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4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4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4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4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4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4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4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4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4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4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4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4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4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4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4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4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A44" sqref="A44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">
      <c r="A17" s="10">
        <v>12</v>
      </c>
      <c r="B17" s="11">
        <v>54763</v>
      </c>
      <c r="C17" s="11">
        <v>53475</v>
      </c>
      <c r="D17" s="25">
        <f t="shared" si="0"/>
        <v>-1288</v>
      </c>
    </row>
    <row r="18" spans="1:4" x14ac:dyDescent="0.2">
      <c r="A18" s="10">
        <v>13</v>
      </c>
      <c r="B18" s="11">
        <v>63725</v>
      </c>
      <c r="C18" s="11">
        <v>61376</v>
      </c>
      <c r="D18" s="25">
        <f t="shared" si="0"/>
        <v>-2349</v>
      </c>
    </row>
    <row r="19" spans="1:4" x14ac:dyDescent="0.2">
      <c r="A19" s="10">
        <v>14</v>
      </c>
      <c r="B19" s="11">
        <v>64469</v>
      </c>
      <c r="C19" s="11">
        <v>63350</v>
      </c>
      <c r="D19" s="25">
        <f t="shared" si="0"/>
        <v>-1119</v>
      </c>
    </row>
    <row r="20" spans="1:4" x14ac:dyDescent="0.2">
      <c r="A20" s="10">
        <v>15</v>
      </c>
      <c r="B20" s="11">
        <v>65261</v>
      </c>
      <c r="C20" s="11">
        <v>64520</v>
      </c>
      <c r="D20" s="25">
        <f t="shared" si="0"/>
        <v>-741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889449</v>
      </c>
      <c r="C37" s="11">
        <f>SUM(C6:C36)</f>
        <v>902281</v>
      </c>
      <c r="D37" s="25">
        <f>SUM(D6:D36)</f>
        <v>12832</v>
      </c>
    </row>
    <row r="38" spans="1:4" x14ac:dyDescent="0.2">
      <c r="A38" s="26"/>
      <c r="C38" s="14"/>
      <c r="D38" s="345">
        <f>+summary!H5</f>
        <v>2.09</v>
      </c>
    </row>
    <row r="39" spans="1:4" x14ac:dyDescent="0.2">
      <c r="D39" s="138">
        <f>+D38*D37</f>
        <v>26818.879999999997</v>
      </c>
    </row>
    <row r="40" spans="1:4" x14ac:dyDescent="0.2">
      <c r="A40" s="57">
        <v>37134</v>
      </c>
      <c r="C40" s="15"/>
      <c r="D40" s="492">
        <v>14916.9</v>
      </c>
    </row>
    <row r="41" spans="1:4" x14ac:dyDescent="0.2">
      <c r="A41" s="57">
        <v>37149</v>
      </c>
      <c r="C41" s="48"/>
      <c r="D41" s="138">
        <f>+D40+D39</f>
        <v>41735.78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477">
        <v>5234</v>
      </c>
    </row>
    <row r="47" spans="1:4" x14ac:dyDescent="0.2">
      <c r="A47" s="49">
        <f>+A41</f>
        <v>37149</v>
      </c>
      <c r="B47" s="32"/>
      <c r="C47" s="32"/>
      <c r="D47" s="377">
        <f>+D37</f>
        <v>12832</v>
      </c>
    </row>
    <row r="48" spans="1:4" x14ac:dyDescent="0.2">
      <c r="A48" s="32"/>
      <c r="B48" s="32"/>
      <c r="C48" s="32"/>
      <c r="D48" s="14">
        <f>+D47+D46</f>
        <v>18066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A41" sqref="A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50" t="s">
        <v>197</v>
      </c>
      <c r="M13" s="189"/>
    </row>
    <row r="14" spans="1:13" x14ac:dyDescent="0.2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51" t="s">
        <v>20</v>
      </c>
      <c r="J14" s="451" t="s">
        <v>21</v>
      </c>
      <c r="K14" s="452" t="s">
        <v>51</v>
      </c>
      <c r="L14" s="450" t="s">
        <v>16</v>
      </c>
      <c r="M14" s="189" t="s">
        <v>28</v>
      </c>
    </row>
    <row r="15" spans="1:13" x14ac:dyDescent="0.2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50">
        <v>8.2100000000000009</v>
      </c>
      <c r="M16" s="455">
        <f t="shared" ref="M16:M22" si="2">+L16*K16</f>
        <v>-148748.78000000003</v>
      </c>
    </row>
    <row r="17" spans="1:15" x14ac:dyDescent="0.2">
      <c r="A17" s="10">
        <v>12</v>
      </c>
      <c r="B17" s="11"/>
      <c r="C17" s="11">
        <v>-408</v>
      </c>
      <c r="D17" s="25">
        <f t="shared" si="0"/>
        <v>-408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50">
        <v>5.62</v>
      </c>
      <c r="M17" s="455">
        <f t="shared" si="2"/>
        <v>-91100.2</v>
      </c>
    </row>
    <row r="18" spans="1:15" x14ac:dyDescent="0.2">
      <c r="A18" s="10">
        <v>13</v>
      </c>
      <c r="B18" s="11"/>
      <c r="C18" s="11">
        <v>-1118</v>
      </c>
      <c r="D18" s="25">
        <f t="shared" si="0"/>
        <v>-1118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50">
        <v>4.9800000000000004</v>
      </c>
      <c r="M18" s="455">
        <f t="shared" si="2"/>
        <v>-118748.1</v>
      </c>
    </row>
    <row r="19" spans="1:15" x14ac:dyDescent="0.2">
      <c r="A19" s="10">
        <v>14</v>
      </c>
      <c r="B19" s="11"/>
      <c r="C19" s="11">
        <v>-346</v>
      </c>
      <c r="D19" s="25">
        <f t="shared" si="0"/>
        <v>-346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50">
        <v>4.87</v>
      </c>
      <c r="M19" s="455">
        <f t="shared" si="2"/>
        <v>63012.93</v>
      </c>
      <c r="O19" s="267"/>
    </row>
    <row r="20" spans="1:15" x14ac:dyDescent="0.2">
      <c r="A20" s="10">
        <v>15</v>
      </c>
      <c r="B20" s="11"/>
      <c r="C20" s="11">
        <v>-369</v>
      </c>
      <c r="D20" s="25">
        <f t="shared" si="0"/>
        <v>-369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50">
        <v>3.82</v>
      </c>
      <c r="M20" s="45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50">
        <v>3.2</v>
      </c>
      <c r="M21" s="45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50">
        <v>2.77</v>
      </c>
      <c r="M22" s="45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53"/>
      <c r="M23" s="454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-8976</v>
      </c>
      <c r="C37" s="11">
        <f>SUM(C6:C36)</f>
        <v>-17265</v>
      </c>
      <c r="D37" s="25">
        <f>SUM(D6:D36)</f>
        <v>-8289</v>
      </c>
    </row>
    <row r="38" spans="1:4" x14ac:dyDescent="0.2">
      <c r="A38" s="26"/>
      <c r="C38" s="14"/>
      <c r="D38" s="345">
        <f>+summary!H4</f>
        <v>2.04</v>
      </c>
    </row>
    <row r="39" spans="1:4" x14ac:dyDescent="0.2">
      <c r="D39" s="138">
        <f>+D38*D37</f>
        <v>-16909.560000000001</v>
      </c>
    </row>
    <row r="40" spans="1:4" x14ac:dyDescent="0.2">
      <c r="A40" s="57">
        <v>37134</v>
      </c>
      <c r="C40" s="15"/>
      <c r="D40" s="484">
        <v>-421481.58</v>
      </c>
    </row>
    <row r="41" spans="1:4" x14ac:dyDescent="0.2">
      <c r="A41" s="57">
        <v>37149</v>
      </c>
      <c r="C41" s="48"/>
      <c r="D41" s="138">
        <f>+D40+D39</f>
        <v>-438391.14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477">
        <v>-77754</v>
      </c>
    </row>
    <row r="49" spans="1:4" x14ac:dyDescent="0.2">
      <c r="A49" s="49">
        <f>+A41</f>
        <v>37149</v>
      </c>
      <c r="B49" s="32"/>
      <c r="C49" s="32"/>
      <c r="D49" s="377">
        <f>+D37</f>
        <v>-8289</v>
      </c>
    </row>
    <row r="50" spans="1:4" x14ac:dyDescent="0.2">
      <c r="A50" s="32"/>
      <c r="B50" s="32"/>
      <c r="C50" s="32"/>
      <c r="D50" s="14">
        <f>+D49+D48</f>
        <v>-86043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8" workbookViewId="3">
      <selection activeCell="C50" sqref="C5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">
      <c r="A11" s="10">
        <v>6</v>
      </c>
      <c r="B11" s="108">
        <v>0</v>
      </c>
      <c r="C11" s="11"/>
      <c r="D11" s="25">
        <f t="shared" si="0"/>
        <v>0</v>
      </c>
    </row>
    <row r="12" spans="1:4" x14ac:dyDescent="0.2">
      <c r="A12" s="10">
        <v>7</v>
      </c>
      <c r="B12" s="11">
        <v>-3</v>
      </c>
      <c r="C12" s="11"/>
      <c r="D12" s="25">
        <f t="shared" si="0"/>
        <v>3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>
        <v>-91</v>
      </c>
      <c r="C17" s="11"/>
      <c r="D17" s="25">
        <f t="shared" si="0"/>
        <v>91</v>
      </c>
    </row>
    <row r="18" spans="1:4" x14ac:dyDescent="0.2">
      <c r="A18" s="10">
        <v>13</v>
      </c>
      <c r="B18" s="11">
        <v>-262</v>
      </c>
      <c r="C18" s="11"/>
      <c r="D18" s="25">
        <f t="shared" si="0"/>
        <v>262</v>
      </c>
    </row>
    <row r="19" spans="1:4" x14ac:dyDescent="0.2">
      <c r="A19" s="10">
        <v>14</v>
      </c>
      <c r="B19" s="11">
        <v>-50241</v>
      </c>
      <c r="C19" s="11">
        <v>-34991</v>
      </c>
      <c r="D19" s="25">
        <f t="shared" si="0"/>
        <v>15250</v>
      </c>
    </row>
    <row r="20" spans="1:4" x14ac:dyDescent="0.2">
      <c r="A20" s="10">
        <v>15</v>
      </c>
      <c r="B20" s="11">
        <v>-73751</v>
      </c>
      <c r="C20" s="11">
        <v>-59903</v>
      </c>
      <c r="D20" s="25">
        <f t="shared" si="0"/>
        <v>13848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-368151</v>
      </c>
      <c r="C37" s="11">
        <f>SUM(C6:C36)</f>
        <v>-308144</v>
      </c>
      <c r="D37" s="25">
        <f>SUM(D6:D36)</f>
        <v>60007</v>
      </c>
    </row>
    <row r="38" spans="1:4" x14ac:dyDescent="0.2">
      <c r="A38" s="26"/>
      <c r="C38" s="14"/>
      <c r="D38" s="345">
        <f>+summary!H4</f>
        <v>2.04</v>
      </c>
    </row>
    <row r="39" spans="1:4" x14ac:dyDescent="0.2">
      <c r="D39" s="138">
        <f>+D38*D37</f>
        <v>122414.28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37149</v>
      </c>
      <c r="C41" s="48"/>
      <c r="D41" s="138">
        <f>+D40+D39</f>
        <v>-51190.720000000001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37149</v>
      </c>
      <c r="B47" s="32"/>
      <c r="C47" s="32"/>
      <c r="D47" s="377">
        <f>+D37</f>
        <v>60007</v>
      </c>
    </row>
    <row r="48" spans="1:4" x14ac:dyDescent="0.2">
      <c r="A48" s="32"/>
      <c r="B48" s="32"/>
      <c r="C48" s="32"/>
      <c r="D48" s="14">
        <f>+D47+D46</f>
        <v>-26177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-16235</v>
      </c>
      <c r="C5" s="90">
        <v>-1890</v>
      </c>
      <c r="D5" s="90">
        <f>+C5-B5</f>
        <v>14345</v>
      </c>
      <c r="E5" s="285"/>
      <c r="F5" s="283"/>
    </row>
    <row r="6" spans="1:13" x14ac:dyDescent="0.2">
      <c r="A6" s="87">
        <v>500046</v>
      </c>
      <c r="B6" s="90">
        <v>-307</v>
      </c>
      <c r="C6" s="90"/>
      <c r="D6" s="90">
        <f t="shared" ref="D6:D11" si="0">+C6-B6</f>
        <v>307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-34804</v>
      </c>
      <c r="C8" s="90"/>
      <c r="D8" s="90">
        <f t="shared" si="0"/>
        <v>34804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49456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2.04</v>
      </c>
      <c r="E13" s="287"/>
      <c r="F13" s="283"/>
    </row>
    <row r="14" spans="1:13" x14ac:dyDescent="0.2">
      <c r="A14" s="87"/>
      <c r="B14" s="88"/>
      <c r="C14" s="88"/>
      <c r="D14" s="96">
        <f>+D13*D12</f>
        <v>100890.24000000001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39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37149</v>
      </c>
      <c r="B18" s="88"/>
      <c r="C18" s="88"/>
      <c r="D18" s="334">
        <f>+D16+D14</f>
        <v>-656902.13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37149</v>
      </c>
      <c r="B23" s="32"/>
      <c r="C23" s="32"/>
      <c r="D23" s="377">
        <f>+D12</f>
        <v>49456</v>
      </c>
    </row>
    <row r="24" spans="1:7" x14ac:dyDescent="0.2">
      <c r="A24" s="32"/>
      <c r="B24" s="32"/>
      <c r="C24" s="32"/>
      <c r="D24" s="14">
        <f>+D23+D22</f>
        <v>-102720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C44" sqref="C44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">
      <c r="A17" s="10">
        <v>12</v>
      </c>
      <c r="B17" s="11">
        <v>-1792</v>
      </c>
      <c r="C17" s="11">
        <v>-4107</v>
      </c>
      <c r="D17" s="25">
        <f t="shared" si="0"/>
        <v>-2315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-33335</v>
      </c>
      <c r="C19" s="11">
        <v>-35000</v>
      </c>
      <c r="D19" s="25">
        <f t="shared" si="0"/>
        <v>-1665</v>
      </c>
    </row>
    <row r="20" spans="1:4" x14ac:dyDescent="0.2">
      <c r="A20" s="10">
        <v>15</v>
      </c>
      <c r="B20" s="11">
        <v>-54147</v>
      </c>
      <c r="C20" s="11">
        <v>-54808</v>
      </c>
      <c r="D20" s="25">
        <f t="shared" si="0"/>
        <v>-661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-390566</v>
      </c>
      <c r="C37" s="11">
        <f>SUM(C6:C36)</f>
        <v>-378664</v>
      </c>
      <c r="D37" s="25">
        <f>SUM(D6:D36)</f>
        <v>11902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68">
        <v>48988</v>
      </c>
    </row>
    <row r="41" spans="1:4" x14ac:dyDescent="0.2">
      <c r="A41" s="57">
        <v>37149</v>
      </c>
      <c r="C41" s="48"/>
      <c r="D41" s="25">
        <f>+D40+D37</f>
        <v>60890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69">
        <v>265496.81</v>
      </c>
    </row>
    <row r="46" spans="1:4" x14ac:dyDescent="0.2">
      <c r="A46" s="49">
        <f>+A41</f>
        <v>37149</v>
      </c>
      <c r="B46" s="32"/>
      <c r="C46" s="32"/>
      <c r="D46" s="406">
        <f>+D37*'by type_area'!J4</f>
        <v>24280.080000000002</v>
      </c>
    </row>
    <row r="47" spans="1:4" x14ac:dyDescent="0.2">
      <c r="A47" s="32"/>
      <c r="B47" s="32"/>
      <c r="C47" s="32"/>
      <c r="D47" s="202">
        <f>+D46+D45</f>
        <v>289776.89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2" workbookViewId="3">
      <selection activeCell="C45" sqref="C45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">
      <c r="A18" s="10">
        <v>12</v>
      </c>
      <c r="B18" s="11">
        <v>97640</v>
      </c>
      <c r="C18" s="11">
        <v>97712</v>
      </c>
      <c r="D18" s="25">
        <f t="shared" si="0"/>
        <v>72</v>
      </c>
    </row>
    <row r="19" spans="1:4" x14ac:dyDescent="0.2">
      <c r="A19" s="10">
        <v>13</v>
      </c>
      <c r="B19" s="11">
        <v>139297</v>
      </c>
      <c r="C19" s="11">
        <v>139125</v>
      </c>
      <c r="D19" s="25">
        <f t="shared" si="0"/>
        <v>-172</v>
      </c>
    </row>
    <row r="20" spans="1:4" x14ac:dyDescent="0.2">
      <c r="A20" s="10">
        <v>14</v>
      </c>
      <c r="B20" s="11">
        <v>88405</v>
      </c>
      <c r="C20" s="11">
        <v>88165</v>
      </c>
      <c r="D20" s="25">
        <f t="shared" si="0"/>
        <v>-240</v>
      </c>
    </row>
    <row r="21" spans="1:4" x14ac:dyDescent="0.2">
      <c r="A21" s="10">
        <v>15</v>
      </c>
      <c r="B21" s="11">
        <v>85109</v>
      </c>
      <c r="C21" s="11">
        <v>84988</v>
      </c>
      <c r="D21" s="25">
        <f t="shared" si="0"/>
        <v>-121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1912582</v>
      </c>
      <c r="C38" s="11">
        <f>SUM(C7:C37)</f>
        <v>1915401</v>
      </c>
      <c r="D38" s="11">
        <f>SUM(D7:D37)</f>
        <v>2819</v>
      </c>
    </row>
    <row r="39" spans="1:4" x14ac:dyDescent="0.2">
      <c r="A39" s="26"/>
      <c r="C39" s="14"/>
      <c r="D39" s="106">
        <f>+summary!H3</f>
        <v>1.94</v>
      </c>
    </row>
    <row r="40" spans="1:4" x14ac:dyDescent="0.2">
      <c r="D40" s="138">
        <f>+D39*D38</f>
        <v>5468.86</v>
      </c>
    </row>
    <row r="41" spans="1:4" x14ac:dyDescent="0.2">
      <c r="A41" s="57">
        <v>37134</v>
      </c>
      <c r="C41" s="15"/>
      <c r="D41" s="369">
        <v>0</v>
      </c>
    </row>
    <row r="42" spans="1:4" x14ac:dyDescent="0.2">
      <c r="A42" s="57">
        <v>37149</v>
      </c>
      <c r="D42" s="337">
        <f>+D41+D40</f>
        <v>5468.86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0</v>
      </c>
    </row>
    <row r="48" spans="1:4" x14ac:dyDescent="0.2">
      <c r="A48" s="49">
        <f>+A42</f>
        <v>37149</v>
      </c>
      <c r="B48" s="32"/>
      <c r="C48" s="32"/>
      <c r="D48" s="377">
        <f>+D38</f>
        <v>2819</v>
      </c>
    </row>
    <row r="49" spans="1:4" x14ac:dyDescent="0.2">
      <c r="A49" s="32"/>
      <c r="B49" s="32"/>
      <c r="C49" s="32"/>
      <c r="D49" s="14">
        <f>+D48+D47</f>
        <v>2819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D43" sqref="D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-41150</v>
      </c>
      <c r="C16" s="11"/>
      <c r="D16" s="11"/>
      <c r="E16" s="11">
        <v>-40658</v>
      </c>
      <c r="F16" s="11">
        <f t="shared" si="0"/>
        <v>492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-30551</v>
      </c>
      <c r="C17" s="11">
        <v>-5000</v>
      </c>
      <c r="D17" s="11"/>
      <c r="E17" s="11">
        <v>-27506</v>
      </c>
      <c r="F17" s="11">
        <f t="shared" si="0"/>
        <v>-1955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-47126</v>
      </c>
      <c r="C18" s="11">
        <v>-6000</v>
      </c>
      <c r="D18" s="11"/>
      <c r="E18" s="11">
        <v>-40998</v>
      </c>
      <c r="F18" s="11">
        <f t="shared" si="0"/>
        <v>128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-87040</v>
      </c>
      <c r="C19" s="11">
        <v>-54000</v>
      </c>
      <c r="D19" s="11"/>
      <c r="E19" s="11">
        <v>-32608</v>
      </c>
      <c r="F19" s="11">
        <f t="shared" si="0"/>
        <v>432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-512086</v>
      </c>
      <c r="C36" s="44">
        <f>SUM(C5:C35)</f>
        <v>-117487</v>
      </c>
      <c r="D36" s="43">
        <f>SUM(D5:D35)</f>
        <v>-34</v>
      </c>
      <c r="E36" s="44">
        <f>SUM(E5:E35)</f>
        <v>-389786</v>
      </c>
      <c r="F36" s="11">
        <f>SUM(F5:F35)</f>
        <v>4847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-394599</v>
      </c>
      <c r="D37" s="24"/>
      <c r="E37" s="24">
        <f>+D36-E36</f>
        <v>389752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479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37149</v>
      </c>
      <c r="C42" s="14"/>
      <c r="D42" s="50"/>
      <c r="E42" s="50"/>
      <c r="F42" s="51">
        <f>+F41+F36</f>
        <v>77850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480">
        <v>71590.87</v>
      </c>
    </row>
    <row r="48" spans="1:12" x14ac:dyDescent="0.2">
      <c r="A48" s="49">
        <f>+B42</f>
        <v>37149</v>
      </c>
      <c r="B48" s="32"/>
      <c r="C48" s="32"/>
      <c r="D48" s="406">
        <f>+F36*'by type_area'!J4</f>
        <v>9887.880000000001</v>
      </c>
    </row>
    <row r="49" spans="1:4" x14ac:dyDescent="0.2">
      <c r="A49" s="32"/>
      <c r="B49" s="32"/>
      <c r="C49" s="32"/>
      <c r="D49" s="202">
        <f>+D48+D47</f>
        <v>81478.75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42" sqref="C42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">
      <c r="A16" s="10">
        <v>13</v>
      </c>
      <c r="B16" s="11">
        <v>-133651</v>
      </c>
      <c r="C16" s="11">
        <v>-133501</v>
      </c>
      <c r="D16" s="25">
        <f t="shared" si="0"/>
        <v>150</v>
      </c>
    </row>
    <row r="17" spans="1:4" x14ac:dyDescent="0.2">
      <c r="A17" s="10">
        <v>14</v>
      </c>
      <c r="B17" s="11">
        <v>-126298</v>
      </c>
      <c r="C17" s="11">
        <v>-125312</v>
      </c>
      <c r="D17" s="25">
        <f t="shared" si="0"/>
        <v>986</v>
      </c>
    </row>
    <row r="18" spans="1:4" x14ac:dyDescent="0.2">
      <c r="A18" s="10">
        <v>15</v>
      </c>
      <c r="B18" s="11">
        <v>-134173</v>
      </c>
      <c r="C18" s="11">
        <v>-132950</v>
      </c>
      <c r="D18" s="25">
        <f t="shared" si="0"/>
        <v>1223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08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08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08"/>
      <c r="C32" s="11"/>
      <c r="D32" s="25">
        <f t="shared" si="0"/>
        <v>0</v>
      </c>
    </row>
    <row r="33" spans="1:30" x14ac:dyDescent="0.2">
      <c r="A33" s="10">
        <v>30</v>
      </c>
      <c r="B33" s="108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-2325484</v>
      </c>
      <c r="C35" s="11">
        <f>SUM(C4:C34)</f>
        <v>-2311817</v>
      </c>
      <c r="D35" s="11">
        <f>SUM(D4:D34)</f>
        <v>13667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247">
        <v>43542</v>
      </c>
    </row>
    <row r="39" spans="1:30" x14ac:dyDescent="0.2">
      <c r="A39" s="12"/>
      <c r="D39" s="24"/>
    </row>
    <row r="40" spans="1:30" x14ac:dyDescent="0.2">
      <c r="A40" s="249">
        <v>37149</v>
      </c>
      <c r="D40" s="24">
        <f>+D38+D35</f>
        <v>57209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37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37149</v>
      </c>
      <c r="B46" s="32"/>
      <c r="C46" s="32"/>
      <c r="D46" s="406">
        <f>+D35*'by type_area'!J4</f>
        <v>27880.68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-76564.320000000007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6" workbookViewId="3">
      <selection activeCell="C22" sqref="B22:C22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">
      <c r="A16" s="10">
        <v>13</v>
      </c>
      <c r="B16" s="11">
        <v>-711977</v>
      </c>
      <c r="C16" s="11">
        <v>-720128</v>
      </c>
      <c r="D16" s="11">
        <v>-31257</v>
      </c>
      <c r="E16" s="11">
        <v>-25000</v>
      </c>
      <c r="F16" s="25">
        <f t="shared" si="0"/>
        <v>-1894</v>
      </c>
      <c r="H16" s="10"/>
      <c r="I16" s="11"/>
      <c r="K16" s="25"/>
    </row>
    <row r="17" spans="1:11" x14ac:dyDescent="0.2">
      <c r="A17" s="10">
        <v>14</v>
      </c>
      <c r="B17" s="11">
        <v>-667051</v>
      </c>
      <c r="C17" s="11">
        <v>-645610</v>
      </c>
      <c r="D17" s="11">
        <v>-441</v>
      </c>
      <c r="E17" s="11"/>
      <c r="F17" s="25">
        <f t="shared" si="0"/>
        <v>21882</v>
      </c>
      <c r="H17" s="10"/>
      <c r="I17" s="11"/>
    </row>
    <row r="18" spans="1:11" x14ac:dyDescent="0.2">
      <c r="A18" s="10">
        <v>15</v>
      </c>
      <c r="B18" s="11">
        <v>-620405</v>
      </c>
      <c r="C18" s="11">
        <v>-615674</v>
      </c>
      <c r="D18" s="11"/>
      <c r="E18" s="11"/>
      <c r="F18" s="25">
        <f t="shared" si="0"/>
        <v>4731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-10223355</v>
      </c>
      <c r="C35" s="11">
        <f>SUM(C4:C34)</f>
        <v>-10210879</v>
      </c>
      <c r="D35" s="11">
        <f>SUM(D4:D34)</f>
        <v>-324768</v>
      </c>
      <c r="E35" s="11">
        <f>SUM(E4:E34)</f>
        <v>-300000</v>
      </c>
      <c r="F35" s="11">
        <f>SUM(F4:F34)</f>
        <v>37244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74">
        <v>151133</v>
      </c>
    </row>
    <row r="39" spans="1:45" x14ac:dyDescent="0.2">
      <c r="A39" s="2"/>
      <c r="F39" s="24"/>
    </row>
    <row r="40" spans="1:45" x14ac:dyDescent="0.2">
      <c r="A40" s="57">
        <v>37149</v>
      </c>
      <c r="F40" s="51">
        <f>+F38+F35</f>
        <v>188377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37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37149</v>
      </c>
      <c r="B46" s="32"/>
      <c r="C46" s="32"/>
      <c r="D46" s="406">
        <f>+F35*'by type_area'!J4</f>
        <v>75977.759999999995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541097.76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E32" sqref="E32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9"/>
      <c r="L4" s="449"/>
      <c r="M4" s="449"/>
      <c r="N4" s="449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50" t="s">
        <v>197</v>
      </c>
      <c r="P5" s="189"/>
      <c r="Q5" s="2"/>
    </row>
    <row r="6" spans="1:17" ht="12.75" x14ac:dyDescent="0.2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51" t="s">
        <v>20</v>
      </c>
      <c r="M6" s="451" t="s">
        <v>21</v>
      </c>
      <c r="N6" s="452" t="s">
        <v>51</v>
      </c>
      <c r="O6" s="45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50">
        <v>8.2100000000000009</v>
      </c>
      <c r="P9" s="45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50">
        <v>5.62</v>
      </c>
      <c r="P10" s="45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50">
        <v>4.9800000000000004</v>
      </c>
      <c r="P11" s="45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50">
        <v>4.87</v>
      </c>
      <c r="P12" s="45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50">
        <v>3.82</v>
      </c>
      <c r="P13" s="45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-71313</v>
      </c>
      <c r="C14" s="11">
        <v>-71801</v>
      </c>
      <c r="D14" s="11"/>
      <c r="E14" s="11"/>
      <c r="F14" s="11"/>
      <c r="G14" s="11"/>
      <c r="H14" s="11">
        <f t="shared" si="0"/>
        <v>-488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50">
        <v>3.2</v>
      </c>
      <c r="P14" s="45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-93812</v>
      </c>
      <c r="C15" s="11">
        <v>-78819</v>
      </c>
      <c r="D15" s="11"/>
      <c r="E15" s="11">
        <v>-14695</v>
      </c>
      <c r="F15" s="11"/>
      <c r="G15" s="11"/>
      <c r="H15" s="11">
        <f t="shared" si="0"/>
        <v>298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50">
        <v>2.77</v>
      </c>
      <c r="P15" s="45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-116838</v>
      </c>
      <c r="C16" s="11">
        <v>-102869</v>
      </c>
      <c r="D16" s="11"/>
      <c r="E16" s="11">
        <v>-14950</v>
      </c>
      <c r="F16" s="11"/>
      <c r="G16" s="11"/>
      <c r="H16" s="11">
        <f t="shared" si="0"/>
        <v>-981</v>
      </c>
      <c r="I16" s="11"/>
      <c r="J16" s="102"/>
      <c r="K16" s="34"/>
      <c r="L16" s="119"/>
      <c r="M16" s="119"/>
      <c r="N16" s="119"/>
      <c r="O16" s="453"/>
      <c r="P16" s="454">
        <f>SUM(P9:P15)</f>
        <v>460835.37</v>
      </c>
      <c r="Q16" s="2"/>
    </row>
    <row r="17" spans="1:17" ht="13.5" thickTop="1" x14ac:dyDescent="0.2">
      <c r="A17" s="41">
        <v>14</v>
      </c>
      <c r="B17" s="11">
        <v>-137469</v>
      </c>
      <c r="C17" s="11">
        <v>-112243</v>
      </c>
      <c r="D17" s="11"/>
      <c r="E17" s="11">
        <v>-23575</v>
      </c>
      <c r="F17" s="11"/>
      <c r="G17" s="11"/>
      <c r="H17" s="11">
        <f t="shared" si="0"/>
        <v>1651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-126241</v>
      </c>
      <c r="C18" s="11">
        <v>-125717</v>
      </c>
      <c r="D18" s="11">
        <v>-24768</v>
      </c>
      <c r="E18" s="11">
        <v>-23900</v>
      </c>
      <c r="F18" s="11"/>
      <c r="G18" s="11"/>
      <c r="H18" s="11">
        <f t="shared" si="0"/>
        <v>1392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-1502420</v>
      </c>
      <c r="C35" s="44">
        <f t="shared" si="3"/>
        <v>-1193541</v>
      </c>
      <c r="D35" s="11">
        <f t="shared" si="3"/>
        <v>-24768</v>
      </c>
      <c r="E35" s="44">
        <f t="shared" si="3"/>
        <v>-332643</v>
      </c>
      <c r="F35" s="11">
        <f t="shared" si="3"/>
        <v>0</v>
      </c>
      <c r="G35" s="11">
        <f t="shared" si="3"/>
        <v>0</v>
      </c>
      <c r="H35" s="11">
        <f t="shared" si="3"/>
        <v>1004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2048.16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4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37149</v>
      </c>
      <c r="F39" s="47"/>
      <c r="G39" s="47"/>
      <c r="H39" s="137">
        <f>+H38+H37</f>
        <v>459983.33999999997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37149</v>
      </c>
      <c r="E47" s="377">
        <f>+H35</f>
        <v>1004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111193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-302287</v>
      </c>
      <c r="E10" s="11">
        <v>-324302</v>
      </c>
      <c r="F10" s="11"/>
      <c r="G10" s="11"/>
      <c r="H10" s="24">
        <f t="shared" si="0"/>
        <v>-22015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25</v>
      </c>
      <c r="C11" s="11"/>
      <c r="D11" s="11">
        <v>-316556</v>
      </c>
      <c r="E11" s="11">
        <v>-315034</v>
      </c>
      <c r="F11" s="11">
        <v>25</v>
      </c>
      <c r="G11" s="11"/>
      <c r="H11" s="24">
        <f t="shared" si="0"/>
        <v>1497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-299575</v>
      </c>
      <c r="E12" s="11">
        <v>-292964</v>
      </c>
      <c r="F12" s="11"/>
      <c r="G12" s="11"/>
      <c r="H12" s="24">
        <f t="shared" si="0"/>
        <v>6611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-299393</v>
      </c>
      <c r="E13" s="11">
        <v>-300098</v>
      </c>
      <c r="F13" s="11"/>
      <c r="G13" s="11"/>
      <c r="H13" s="24">
        <f t="shared" si="0"/>
        <v>-705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-304849</v>
      </c>
      <c r="E14" s="11">
        <v>-290831</v>
      </c>
      <c r="F14" s="11"/>
      <c r="G14" s="11"/>
      <c r="H14" s="24">
        <f t="shared" si="0"/>
        <v>14018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-311901</v>
      </c>
      <c r="E15" s="11">
        <v>-310222</v>
      </c>
      <c r="F15" s="11"/>
      <c r="G15" s="11"/>
      <c r="H15" s="24">
        <f t="shared" si="0"/>
        <v>1679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-316740</v>
      </c>
      <c r="E16" s="11">
        <v>-316878</v>
      </c>
      <c r="F16" s="11"/>
      <c r="G16" s="11"/>
      <c r="H16" s="24">
        <f t="shared" si="0"/>
        <v>-138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-259400</v>
      </c>
      <c r="E17" s="11">
        <v>-259196</v>
      </c>
      <c r="F17" s="11"/>
      <c r="G17" s="11"/>
      <c r="H17" s="24">
        <f t="shared" si="0"/>
        <v>204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-317090</v>
      </c>
      <c r="E18" s="11">
        <v>-321641</v>
      </c>
      <c r="F18" s="11"/>
      <c r="G18" s="11"/>
      <c r="H18" s="24">
        <f t="shared" si="0"/>
        <v>-4551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-294314</v>
      </c>
      <c r="E19" s="11">
        <v>-292920</v>
      </c>
      <c r="F19" s="11"/>
      <c r="G19" s="11"/>
      <c r="H19" s="24">
        <f t="shared" si="0"/>
        <v>1394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-4382942</v>
      </c>
      <c r="E36" s="11">
        <f t="shared" si="15"/>
        <v>-4402205</v>
      </c>
      <c r="F36" s="11">
        <f t="shared" si="15"/>
        <v>25</v>
      </c>
      <c r="G36" s="11">
        <f t="shared" si="15"/>
        <v>0</v>
      </c>
      <c r="H36" s="11">
        <f t="shared" si="15"/>
        <v>-19288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-25</v>
      </c>
      <c r="E37" s="25">
        <f>+E36-D36</f>
        <v>-19263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71">
        <v>64269</v>
      </c>
      <c r="D38" s="338"/>
      <c r="E38" s="470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37149</v>
      </c>
      <c r="B39" s="2" t="s">
        <v>46</v>
      </c>
      <c r="C39" s="131">
        <f>+C38+C37</f>
        <v>64244</v>
      </c>
      <c r="D39" s="259"/>
      <c r="E39" s="131">
        <f>+E38+E37</f>
        <v>-85237</v>
      </c>
      <c r="F39" s="259"/>
      <c r="G39" s="131"/>
      <c r="H39" s="131">
        <f>+H38+H36</f>
        <v>-20993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72">
        <v>-1582961.01</v>
      </c>
      <c r="D44" s="207"/>
      <c r="E44" s="473">
        <v>942518.92</v>
      </c>
      <c r="F44" s="47">
        <f>+E44+C44</f>
        <v>-640442.09</v>
      </c>
      <c r="G44" s="252"/>
      <c r="H44" s="41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37149</v>
      </c>
      <c r="B45" s="32"/>
      <c r="C45" s="47">
        <f>+C37*summary!H4</f>
        <v>-51</v>
      </c>
      <c r="D45" s="207"/>
      <c r="E45" s="408">
        <f>+E37*summary!H3</f>
        <v>-37370.22</v>
      </c>
      <c r="F45" s="47">
        <f>+E45+C45</f>
        <v>-37421.22</v>
      </c>
      <c r="G45" s="252"/>
      <c r="H45" s="41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-1583012.01</v>
      </c>
      <c r="D46" s="207"/>
      <c r="E46" s="408">
        <f>+E45+E44</f>
        <v>905148.70000000007</v>
      </c>
      <c r="F46" s="47">
        <f>+E46+C46</f>
        <v>-677863.30999999994</v>
      </c>
      <c r="G46" s="252"/>
      <c r="H46" s="41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8"/>
      <c r="D47" s="408"/>
      <c r="E47" s="408"/>
      <c r="F47" s="47"/>
      <c r="G47" s="252"/>
      <c r="H47" s="41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5" workbookViewId="3">
      <selection activeCell="C44" sqref="C4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139552</v>
      </c>
      <c r="C9" s="11">
        <v>143874</v>
      </c>
      <c r="D9" s="25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84585</v>
      </c>
      <c r="C11" s="11">
        <v>78803</v>
      </c>
      <c r="D11" s="25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91306</v>
      </c>
      <c r="C12" s="11">
        <v>89095</v>
      </c>
      <c r="D12" s="25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137167</v>
      </c>
      <c r="C13" s="11">
        <v>135312</v>
      </c>
      <c r="D13" s="25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137690</v>
      </c>
      <c r="C14" s="11">
        <v>134643</v>
      </c>
      <c r="D14" s="25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128225</v>
      </c>
      <c r="C15" s="11">
        <v>130397</v>
      </c>
      <c r="D15" s="25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136545</v>
      </c>
      <c r="C16" s="11">
        <v>132866</v>
      </c>
      <c r="D16" s="25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127883</v>
      </c>
      <c r="C17" s="11">
        <v>126132</v>
      </c>
      <c r="D17" s="25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130163</v>
      </c>
      <c r="C18" s="11">
        <v>129359</v>
      </c>
      <c r="D18" s="25">
        <f t="shared" si="0"/>
        <v>-804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142784</v>
      </c>
      <c r="C19" s="11">
        <v>149034</v>
      </c>
      <c r="D19" s="25">
        <f t="shared" si="0"/>
        <v>6250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128945</v>
      </c>
      <c r="C20" s="11">
        <v>128745</v>
      </c>
      <c r="D20" s="25">
        <f t="shared" si="0"/>
        <v>-200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1908272</v>
      </c>
      <c r="C37" s="11">
        <f>SUM(C6:C36)</f>
        <v>1892501</v>
      </c>
      <c r="D37" s="11">
        <f>SUM(D6:D36)</f>
        <v>-15771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479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37149</v>
      </c>
      <c r="C40" s="48"/>
      <c r="D40" s="25">
        <f>+D39+D37</f>
        <v>71299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480">
        <v>495759.6</v>
      </c>
    </row>
    <row r="46" spans="1:16" x14ac:dyDescent="0.2">
      <c r="A46" s="49">
        <f>+A40</f>
        <v>37149</v>
      </c>
      <c r="B46" s="32"/>
      <c r="C46" s="32"/>
      <c r="D46" s="406">
        <f>+D37*'by type_area'!J3</f>
        <v>-30595.739999999998</v>
      </c>
    </row>
    <row r="47" spans="1:16" x14ac:dyDescent="0.2">
      <c r="A47" s="32"/>
      <c r="B47" s="32"/>
      <c r="C47" s="32"/>
      <c r="D47" s="202">
        <f>+D46+D45</f>
        <v>465163.86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2001-09-17T17:16:06Z</cp:lastPrinted>
  <dcterms:created xsi:type="dcterms:W3CDTF">2000-03-28T16:52:23Z</dcterms:created>
  <dcterms:modified xsi:type="dcterms:W3CDTF">2014-09-03T14:38:44Z</dcterms:modified>
</cp:coreProperties>
</file>