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  <workbookView xWindow="360" yWindow="90" windowWidth="9720" windowHeight="6795" tabRatio="895" activeTab="1"/>
    <workbookView xWindow="600" yWindow="285" windowWidth="9720" windowHeight="6600" activeTab="2"/>
    <workbookView xWindow="840" yWindow="480" windowWidth="10860" windowHeight="6405" tabRatio="601" activeTab="1"/>
  </bookViews>
  <sheets>
    <sheet name="by type_area" sheetId="80" r:id="rId1"/>
    <sheet name="summary" sheetId="63" r:id="rId2"/>
    <sheet name="volvalue" sheetId="82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Amoco" sheetId="12" r:id="rId10"/>
    <sheet name="Red C" sheetId="15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burlington" sheetId="69" r:id="rId36"/>
  </sheets>
  <externalReferences>
    <externalReference r:id="rId37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Agave!$A$3:$D$24</definedName>
    <definedName name="_xlnm.Print_Area" localSheetId="9">Amoco!$A$4:$D$40</definedName>
    <definedName name="_xlnm.Print_Area" localSheetId="19">'Amoco Abo'!$A$6:$F$43</definedName>
    <definedName name="_xlnm.Print_Area" localSheetId="0">'by type_area'!$A$2:$M$81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16">Duke!$A$2:$C$54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NGPL!$A$1:$F$40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PGETX!$A$1:$H$41</definedName>
    <definedName name="_xlnm.Print_Area" localSheetId="21">PNM!$A$2:$D$23</definedName>
    <definedName name="_xlnm.Print_Area" localSheetId="10">'Red C'!$A$2:$F$43</definedName>
    <definedName name="_xlnm.Print_Area" localSheetId="6">SoCal!$A$2:$F$41</definedName>
    <definedName name="_xlnm.Print_Area" localSheetId="1">summary!$A$2:$I$48</definedName>
    <definedName name="_xlnm.Print_Area" localSheetId="2">volvalue!$A$3:$L$36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9" i="8"/>
  <c r="A29" i="8"/>
  <c r="A30" i="8"/>
  <c r="D6" i="12"/>
  <c r="D37" i="12" s="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39" i="18" s="1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B39" i="18"/>
  <c r="C39" i="18"/>
  <c r="D39" i="18"/>
  <c r="E39" i="18"/>
  <c r="F40" i="18"/>
  <c r="A47" i="18"/>
  <c r="A48" i="18"/>
  <c r="D48" i="18"/>
  <c r="D49" i="18" s="1"/>
  <c r="D26" i="80" s="1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A47" i="69"/>
  <c r="A48" i="69"/>
  <c r="J3" i="80"/>
  <c r="J46" i="80" s="1"/>
  <c r="K3" i="80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K46" i="80"/>
  <c r="F55" i="80"/>
  <c r="F56" i="80"/>
  <c r="F57" i="80"/>
  <c r="F58" i="80"/>
  <c r="F62" i="80"/>
  <c r="F63" i="80"/>
  <c r="F64" i="80"/>
  <c r="F65" i="80"/>
  <c r="F66" i="80"/>
  <c r="F70" i="80"/>
  <c r="F71" i="80"/>
  <c r="F72" i="80"/>
  <c r="F73" i="80"/>
  <c r="A118" i="80"/>
  <c r="D6" i="74"/>
  <c r="D7" i="74"/>
  <c r="D8" i="74"/>
  <c r="J8" i="74"/>
  <c r="L8" i="74" s="1"/>
  <c r="D9" i="74"/>
  <c r="J9" i="74"/>
  <c r="L9" i="74" s="1"/>
  <c r="M9" i="74" s="1"/>
  <c r="M10" i="74" s="1"/>
  <c r="M11" i="74" s="1"/>
  <c r="M12" i="74" s="1"/>
  <c r="M13" i="74" s="1"/>
  <c r="M14" i="74" s="1"/>
  <c r="D10" i="74"/>
  <c r="J10" i="74"/>
  <c r="L10" i="74"/>
  <c r="D11" i="74"/>
  <c r="H11" i="74"/>
  <c r="J11" i="74"/>
  <c r="L11" i="74" s="1"/>
  <c r="D12" i="74"/>
  <c r="H12" i="74"/>
  <c r="J12" i="74" s="1"/>
  <c r="L12" i="74"/>
  <c r="D13" i="74"/>
  <c r="J13" i="74"/>
  <c r="L13" i="74" s="1"/>
  <c r="D14" i="74"/>
  <c r="J14" i="74"/>
  <c r="L14" i="74"/>
  <c r="D15" i="74"/>
  <c r="D16" i="74"/>
  <c r="D17" i="74"/>
  <c r="D18" i="74"/>
  <c r="D19" i="74"/>
  <c r="I19" i="74"/>
  <c r="J19" i="74" s="1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B5" i="78"/>
  <c r="D5" i="78"/>
  <c r="D6" i="78"/>
  <c r="D7" i="78"/>
  <c r="B8" i="78"/>
  <c r="D8" i="78"/>
  <c r="D9" i="78"/>
  <c r="D10" i="78"/>
  <c r="D11" i="78"/>
  <c r="A22" i="78"/>
  <c r="A23" i="78"/>
  <c r="D6" i="79"/>
  <c r="D37" i="79" s="1"/>
  <c r="D47" i="79" s="1"/>
  <c r="D48" i="79" s="1"/>
  <c r="D13" i="80" s="1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 s="1"/>
  <c r="F5" i="13"/>
  <c r="I5" i="13"/>
  <c r="J5" i="13"/>
  <c r="N5" i="13"/>
  <c r="F6" i="13"/>
  <c r="I6" i="13"/>
  <c r="J6" i="13"/>
  <c r="K6" i="13" s="1"/>
  <c r="M6" i="13" s="1"/>
  <c r="N6" i="13"/>
  <c r="F7" i="13"/>
  <c r="I7" i="13"/>
  <c r="J7" i="13"/>
  <c r="K7" i="13" s="1"/>
  <c r="M7" i="13" s="1"/>
  <c r="N7" i="13"/>
  <c r="N10" i="13" s="1"/>
  <c r="F8" i="13"/>
  <c r="I8" i="13"/>
  <c r="J8" i="13"/>
  <c r="K8" i="13" s="1"/>
  <c r="M8" i="13" s="1"/>
  <c r="N8" i="13"/>
  <c r="F9" i="13"/>
  <c r="I9" i="13"/>
  <c r="J9" i="13"/>
  <c r="K9" i="13" s="1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E36" i="13" s="1"/>
  <c r="F35" i="13"/>
  <c r="D47" i="13" s="1"/>
  <c r="D48" i="13" s="1"/>
  <c r="D25" i="80" s="1"/>
  <c r="C36" i="13"/>
  <c r="F40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H35" i="73"/>
  <c r="I35" i="73"/>
  <c r="I36" i="73" s="1"/>
  <c r="J35" i="73"/>
  <c r="J36" i="73" s="1"/>
  <c r="K36" i="73" s="1"/>
  <c r="K49" i="73" s="1"/>
  <c r="C36" i="73"/>
  <c r="E36" i="73"/>
  <c r="F36" i="73" s="1"/>
  <c r="F39" i="73"/>
  <c r="B9" i="20"/>
  <c r="B12" i="20"/>
  <c r="B17" i="20" s="1"/>
  <c r="F38" i="20" s="1"/>
  <c r="F39" i="20" s="1"/>
  <c r="I39" i="20" s="1"/>
  <c r="I56" i="20" s="1"/>
  <c r="M51" i="73" s="1"/>
  <c r="B13" i="20"/>
  <c r="B14" i="20"/>
  <c r="B15" i="20"/>
  <c r="B16" i="20"/>
  <c r="B30" i="20"/>
  <c r="E37" i="20"/>
  <c r="E38" i="20"/>
  <c r="G38" i="20"/>
  <c r="G39" i="20" s="1"/>
  <c r="B45" i="20"/>
  <c r="H38" i="20" s="1"/>
  <c r="H39" i="20" s="1"/>
  <c r="B5" i="11"/>
  <c r="H5" i="11"/>
  <c r="B6" i="11"/>
  <c r="H6" i="11" s="1"/>
  <c r="B7" i="11"/>
  <c r="H7" i="11" s="1"/>
  <c r="B8" i="11"/>
  <c r="H8" i="11"/>
  <c r="AB8" i="11"/>
  <c r="AC8" i="11"/>
  <c r="AF8" i="11"/>
  <c r="AI8" i="11"/>
  <c r="AL8" i="11"/>
  <c r="AM8" i="11"/>
  <c r="AN8" i="11"/>
  <c r="AO8" i="11"/>
  <c r="AP8" i="11"/>
  <c r="B9" i="11"/>
  <c r="H9" i="11" s="1"/>
  <c r="AC9" i="11"/>
  <c r="AF9" i="11"/>
  <c r="AI9" i="11"/>
  <c r="AL9" i="11"/>
  <c r="AM9" i="11"/>
  <c r="AN9" i="11"/>
  <c r="AO9" i="11"/>
  <c r="AP9" i="11"/>
  <c r="B10" i="11"/>
  <c r="H10" i="11" s="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M16" i="11" s="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F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F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C36" i="11"/>
  <c r="D36" i="11"/>
  <c r="E37" i="11" s="1"/>
  <c r="E36" i="11"/>
  <c r="F36" i="11"/>
  <c r="G36" i="11"/>
  <c r="AC36" i="11"/>
  <c r="AE36" i="11"/>
  <c r="AP36" i="11" s="1"/>
  <c r="AI36" i="11"/>
  <c r="AL36" i="11"/>
  <c r="AM36" i="11"/>
  <c r="AN36" i="11"/>
  <c r="AO36" i="11"/>
  <c r="AA37" i="11"/>
  <c r="AC37" i="11" s="1"/>
  <c r="AF37" i="11"/>
  <c r="AI37" i="11"/>
  <c r="AL37" i="11"/>
  <c r="AN37" i="11"/>
  <c r="AO37" i="11"/>
  <c r="AP37" i="11"/>
  <c r="H38" i="11"/>
  <c r="AC38" i="11"/>
  <c r="AE38" i="11"/>
  <c r="AF38" i="11" s="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46" i="75" s="1"/>
  <c r="D47" i="75" s="1"/>
  <c r="D36" i="80" s="1"/>
  <c r="D38" i="75"/>
  <c r="A45" i="75"/>
  <c r="A46" i="75"/>
  <c r="F6" i="22"/>
  <c r="F7" i="22"/>
  <c r="D8" i="22"/>
  <c r="F8" i="22" s="1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G37" i="22"/>
  <c r="H37" i="22"/>
  <c r="I37" i="22"/>
  <c r="J37" i="22"/>
  <c r="I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7" i="5" s="1"/>
  <c r="C36" i="5"/>
  <c r="D36" i="5"/>
  <c r="E37" i="5" s="1"/>
  <c r="E36" i="5"/>
  <c r="A47" i="5"/>
  <c r="A48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A43" i="67"/>
  <c r="A44" i="67"/>
  <c r="D6" i="65"/>
  <c r="D7" i="65"/>
  <c r="D8" i="65"/>
  <c r="D9" i="65"/>
  <c r="D10" i="65"/>
  <c r="D11" i="65"/>
  <c r="D12" i="65"/>
  <c r="D13" i="65"/>
  <c r="D14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 s="1"/>
  <c r="D17" i="77"/>
  <c r="K17" i="77"/>
  <c r="M17" i="77" s="1"/>
  <c r="D18" i="77"/>
  <c r="K18" i="77"/>
  <c r="M18" i="77" s="1"/>
  <c r="D19" i="77"/>
  <c r="K19" i="77"/>
  <c r="M19" i="77"/>
  <c r="D20" i="77"/>
  <c r="K20" i="77"/>
  <c r="M20" i="77"/>
  <c r="D21" i="77"/>
  <c r="K21" i="77"/>
  <c r="M21" i="77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 s="1"/>
  <c r="AG5" i="7" s="1"/>
  <c r="AF5" i="7"/>
  <c r="AH5" i="7"/>
  <c r="AH6" i="7" s="1"/>
  <c r="F6" i="7"/>
  <c r="Z6" i="7"/>
  <c r="AD6" i="7" s="1"/>
  <c r="AF6" i="7" s="1"/>
  <c r="AG6" i="7"/>
  <c r="AG7" i="7" s="1"/>
  <c r="AG8" i="7" s="1"/>
  <c r="F7" i="7"/>
  <c r="Z7" i="7"/>
  <c r="AD7" i="7"/>
  <c r="AF7" i="7" s="1"/>
  <c r="F8" i="7"/>
  <c r="F36" i="7" s="1"/>
  <c r="Z8" i="7"/>
  <c r="AD8" i="7" s="1"/>
  <c r="AF8" i="7" s="1"/>
  <c r="F9" i="7"/>
  <c r="Z9" i="7"/>
  <c r="AD9" i="7" s="1"/>
  <c r="AF9" i="7" s="1"/>
  <c r="F10" i="7"/>
  <c r="Z10" i="7"/>
  <c r="AD10" i="7" s="1"/>
  <c r="AF10" i="7" s="1"/>
  <c r="F11" i="7"/>
  <c r="Z11" i="7"/>
  <c r="AD11" i="7"/>
  <c r="AF11" i="7" s="1"/>
  <c r="F12" i="7"/>
  <c r="Z12" i="7"/>
  <c r="AD12" i="7"/>
  <c r="AF12" i="7"/>
  <c r="F13" i="7"/>
  <c r="Z13" i="7"/>
  <c r="AD13" i="7" s="1"/>
  <c r="AF13" i="7"/>
  <c r="F14" i="7"/>
  <c r="Z14" i="7"/>
  <c r="AD14" i="7" s="1"/>
  <c r="AF14" i="7" s="1"/>
  <c r="F15" i="7"/>
  <c r="Z15" i="7"/>
  <c r="AD15" i="7"/>
  <c r="AF15" i="7" s="1"/>
  <c r="F16" i="7"/>
  <c r="Z16" i="7"/>
  <c r="AD16" i="7" s="1"/>
  <c r="AF16" i="7" s="1"/>
  <c r="F17" i="7"/>
  <c r="Z17" i="7"/>
  <c r="AD17" i="7"/>
  <c r="AF17" i="7" s="1"/>
  <c r="F18" i="7"/>
  <c r="AI18" i="7"/>
  <c r="F19" i="7"/>
  <c r="Z19" i="7"/>
  <c r="AD19" i="7" s="1"/>
  <c r="F20" i="7"/>
  <c r="Z20" i="7"/>
  <c r="AD20" i="7"/>
  <c r="AF20" i="7" s="1"/>
  <c r="F21" i="7"/>
  <c r="Z21" i="7"/>
  <c r="AD21" i="7" s="1"/>
  <c r="A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7" i="9"/>
  <c r="H8" i="9"/>
  <c r="H9" i="9"/>
  <c r="N9" i="9"/>
  <c r="P9" i="9" s="1"/>
  <c r="H10" i="9"/>
  <c r="N10" i="9"/>
  <c r="P10" i="9" s="1"/>
  <c r="H11" i="9"/>
  <c r="N11" i="9"/>
  <c r="P11" i="9"/>
  <c r="H12" i="9"/>
  <c r="L12" i="9"/>
  <c r="N12" i="9" s="1"/>
  <c r="P12" i="9" s="1"/>
  <c r="H13" i="9"/>
  <c r="N13" i="9"/>
  <c r="P13" i="9"/>
  <c r="H14" i="9"/>
  <c r="L14" i="9"/>
  <c r="N14" i="9"/>
  <c r="P14" i="9" s="1"/>
  <c r="H15" i="9"/>
  <c r="N15" i="9"/>
  <c r="P15" i="9" s="1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6" i="9"/>
  <c r="B46" i="9"/>
  <c r="H46" i="9"/>
  <c r="D5" i="64"/>
  <c r="D6" i="64"/>
  <c r="D7" i="64"/>
  <c r="D8" i="64"/>
  <c r="D9" i="64"/>
  <c r="D10" i="64"/>
  <c r="D11" i="64"/>
  <c r="D12" i="64"/>
  <c r="D13" i="64"/>
  <c r="D17" i="64"/>
  <c r="A28" i="64"/>
  <c r="A29" i="64"/>
  <c r="D29" i="64"/>
  <c r="D30" i="64" s="1"/>
  <c r="D32" i="80" s="1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R39" i="15" s="1"/>
  <c r="AR45" i="15" s="1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 s="1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 s="1"/>
  <c r="AV22" i="15"/>
  <c r="F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 s="1"/>
  <c r="AV27" i="15"/>
  <c r="F28" i="15"/>
  <c r="AF28" i="15"/>
  <c r="AI28" i="15"/>
  <c r="AJ28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AD39" i="15"/>
  <c r="AE39" i="15"/>
  <c r="AH39" i="15"/>
  <c r="AI39" i="15"/>
  <c r="AL39" i="15"/>
  <c r="AM39" i="15"/>
  <c r="AP39" i="15"/>
  <c r="AT39" i="15"/>
  <c r="A50" i="15"/>
  <c r="A51" i="15"/>
  <c r="AH52" i="15"/>
  <c r="AH54" i="15"/>
  <c r="AH56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F101" i="15"/>
  <c r="C101" i="15" s="1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 s="1"/>
  <c r="I114" i="15"/>
  <c r="F126" i="15"/>
  <c r="F127" i="15"/>
  <c r="F128" i="15"/>
  <c r="F129" i="15"/>
  <c r="F130" i="15"/>
  <c r="F131" i="15"/>
  <c r="B132" i="15"/>
  <c r="F132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C166" i="15"/>
  <c r="C168" i="15"/>
  <c r="C174" i="15" s="1"/>
  <c r="F169" i="15"/>
  <c r="F170" i="15"/>
  <c r="F171" i="15"/>
  <c r="F172" i="15"/>
  <c r="F173" i="15"/>
  <c r="B174" i="15"/>
  <c r="C175" i="15"/>
  <c r="C180" i="15" s="1"/>
  <c r="B176" i="15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37" i="76" s="1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D39" i="69" s="1"/>
  <c r="I3" i="63"/>
  <c r="H4" i="63"/>
  <c r="D40" i="19" s="1"/>
  <c r="D41" i="19" s="1"/>
  <c r="D43" i="19" s="1"/>
  <c r="H5" i="63"/>
  <c r="J5" i="80" s="1"/>
  <c r="J48" i="80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9" i="63"/>
  <c r="D40" i="63"/>
  <c r="D41" i="63"/>
  <c r="D42" i="63"/>
  <c r="D8" i="19"/>
  <c r="D9" i="19"/>
  <c r="D10" i="19"/>
  <c r="D11" i="19"/>
  <c r="D39" i="19" s="1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A49" i="19"/>
  <c r="D49" i="19"/>
  <c r="D50" i="19" s="1"/>
  <c r="D19" i="80" s="1"/>
  <c r="B16" i="82"/>
  <c r="C16" i="82"/>
  <c r="D16" i="82"/>
  <c r="E16" i="82"/>
  <c r="F16" i="82"/>
  <c r="G19" i="82" s="1"/>
  <c r="G20" i="82" s="1"/>
  <c r="G16" i="82"/>
  <c r="H19" i="82" s="1"/>
  <c r="H40" i="82" s="1"/>
  <c r="H16" i="82"/>
  <c r="I19" i="82" s="1"/>
  <c r="I20" i="82" s="1"/>
  <c r="I16" i="82"/>
  <c r="J19" i="82" s="1"/>
  <c r="K20" i="82" s="1"/>
  <c r="J16" i="82"/>
  <c r="K16" i="82"/>
  <c r="L16" i="82"/>
  <c r="L18" i="82"/>
  <c r="C19" i="82"/>
  <c r="D19" i="82"/>
  <c r="D20" i="82" s="1"/>
  <c r="E19" i="82"/>
  <c r="F19" i="82"/>
  <c r="K19" i="82"/>
  <c r="L19" i="82"/>
  <c r="B27" i="82"/>
  <c r="C30" i="82" s="1"/>
  <c r="C27" i="82"/>
  <c r="D30" i="82" s="1"/>
  <c r="D27" i="82"/>
  <c r="E27" i="82"/>
  <c r="F27" i="82"/>
  <c r="G27" i="82"/>
  <c r="H27" i="82"/>
  <c r="I27" i="82"/>
  <c r="J30" i="82" s="1"/>
  <c r="J27" i="82"/>
  <c r="K30" i="82" s="1"/>
  <c r="K27" i="82"/>
  <c r="L27" i="82"/>
  <c r="L38" i="82" s="1"/>
  <c r="L29" i="82"/>
  <c r="E30" i="82"/>
  <c r="F30" i="82"/>
  <c r="F31" i="82" s="1"/>
  <c r="G30" i="82"/>
  <c r="H31" i="82" s="1"/>
  <c r="H30" i="82"/>
  <c r="E31" i="82"/>
  <c r="K38" i="82"/>
  <c r="J4" i="2"/>
  <c r="J35" i="2" s="1"/>
  <c r="J5" i="2"/>
  <c r="P5" i="2"/>
  <c r="R5" i="2"/>
  <c r="J6" i="2"/>
  <c r="P6" i="2"/>
  <c r="R6" i="2" s="1"/>
  <c r="J7" i="2"/>
  <c r="P7" i="2"/>
  <c r="R7" i="2"/>
  <c r="J8" i="2"/>
  <c r="P8" i="2"/>
  <c r="R8" i="2" s="1"/>
  <c r="J9" i="2"/>
  <c r="P9" i="2"/>
  <c r="R9" i="2"/>
  <c r="J10" i="2"/>
  <c r="P10" i="2"/>
  <c r="R10" i="2" s="1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 s="1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/>
  <c r="D39" i="76" l="1"/>
  <c r="D41" i="76" s="1"/>
  <c r="D47" i="76"/>
  <c r="D48" i="76" s="1"/>
  <c r="D34" i="80" s="1"/>
  <c r="F34" i="82"/>
  <c r="J40" i="2"/>
  <c r="D47" i="2"/>
  <c r="D48" i="2" s="1"/>
  <c r="D62" i="80" s="1"/>
  <c r="AR48" i="15"/>
  <c r="AR51" i="15"/>
  <c r="R22" i="2"/>
  <c r="M13" i="13"/>
  <c r="K40" i="82"/>
  <c r="K42" i="82" s="1"/>
  <c r="K31" i="82"/>
  <c r="K34" i="82" s="1"/>
  <c r="B19" i="80"/>
  <c r="B29" i="63"/>
  <c r="C29" i="63" s="1"/>
  <c r="K114" i="15"/>
  <c r="J31" i="82"/>
  <c r="J34" i="82" s="1"/>
  <c r="B72" i="80"/>
  <c r="C26" i="63"/>
  <c r="B26" i="63" s="1"/>
  <c r="AI6" i="7"/>
  <c r="AH7" i="7"/>
  <c r="J20" i="82"/>
  <c r="F35" i="6"/>
  <c r="D46" i="16"/>
  <c r="D47" i="16" s="1"/>
  <c r="D72" i="80" s="1"/>
  <c r="AL48" i="11"/>
  <c r="M53" i="73"/>
  <c r="D28" i="80" s="1"/>
  <c r="J40" i="82"/>
  <c r="H20" i="82"/>
  <c r="AH57" i="15"/>
  <c r="H35" i="9"/>
  <c r="E47" i="9" s="1"/>
  <c r="E48" i="9" s="1"/>
  <c r="D31" i="80" s="1"/>
  <c r="AF20" i="11"/>
  <c r="AJ39" i="15"/>
  <c r="AJ45" i="15" s="1"/>
  <c r="H34" i="82"/>
  <c r="E20" i="82"/>
  <c r="E34" i="82" s="1"/>
  <c r="F20" i="82"/>
  <c r="AU39" i="15"/>
  <c r="AV39" i="15"/>
  <c r="D18" i="8"/>
  <c r="I30" i="82"/>
  <c r="H38" i="82"/>
  <c r="P22" i="2"/>
  <c r="J38" i="82"/>
  <c r="C176" i="15"/>
  <c r="F176" i="15" s="1"/>
  <c r="D39" i="75"/>
  <c r="D41" i="75" s="1"/>
  <c r="E45" i="11"/>
  <c r="E39" i="11"/>
  <c r="B65" i="80" s="1"/>
  <c r="C65" i="80" s="1"/>
  <c r="I38" i="82"/>
  <c r="F133" i="15"/>
  <c r="C133" i="15" s="1"/>
  <c r="AG9" i="7"/>
  <c r="AG10" i="7" s="1"/>
  <c r="AG11" i="7" s="1"/>
  <c r="AG12" i="7" s="1"/>
  <c r="AG13" i="7" s="1"/>
  <c r="AG14" i="7" s="1"/>
  <c r="AG15" i="7" s="1"/>
  <c r="AG16" i="7" s="1"/>
  <c r="AG17" i="7" s="1"/>
  <c r="K13" i="13"/>
  <c r="L17" i="74"/>
  <c r="D38" i="69"/>
  <c r="D48" i="69" s="1"/>
  <c r="D49" i="69" s="1"/>
  <c r="D20" i="80" s="1"/>
  <c r="D21" i="80" s="1"/>
  <c r="D46" i="12"/>
  <c r="D47" i="12" s="1"/>
  <c r="D64" i="80" s="1"/>
  <c r="D40" i="12"/>
  <c r="E48" i="7"/>
  <c r="E49" i="7" s="1"/>
  <c r="D66" i="80" s="1"/>
  <c r="F41" i="7"/>
  <c r="F35" i="73"/>
  <c r="D75" i="2"/>
  <c r="G31" i="82"/>
  <c r="G34" i="82" s="1"/>
  <c r="D31" i="82"/>
  <c r="D34" i="82" s="1"/>
  <c r="B133" i="15"/>
  <c r="B136" i="15" s="1"/>
  <c r="AN39" i="15"/>
  <c r="AF39" i="15"/>
  <c r="AF45" i="15" s="1"/>
  <c r="H37" i="9"/>
  <c r="H39" i="9" s="1"/>
  <c r="AF19" i="7"/>
  <c r="AH19" i="7" s="1"/>
  <c r="AG19" i="7"/>
  <c r="AG20" i="7" s="1"/>
  <c r="AG21" i="7" s="1"/>
  <c r="M23" i="77"/>
  <c r="D18" i="65"/>
  <c r="D33" i="65" s="1"/>
  <c r="D34" i="65" s="1"/>
  <c r="D24" i="80" s="1"/>
  <c r="J39" i="17"/>
  <c r="D48" i="17" s="1"/>
  <c r="D49" i="17" s="1"/>
  <c r="D30" i="80" s="1"/>
  <c r="D12" i="78"/>
  <c r="D23" i="78" s="1"/>
  <c r="D24" i="78" s="1"/>
  <c r="D15" i="80" s="1"/>
  <c r="D39" i="72"/>
  <c r="D48" i="72" s="1"/>
  <c r="D49" i="72" s="1"/>
  <c r="D29" i="80" s="1"/>
  <c r="AI5" i="7"/>
  <c r="F38" i="22"/>
  <c r="F37" i="22"/>
  <c r="D47" i="22" s="1"/>
  <c r="D48" i="22" s="1"/>
  <c r="D27" i="80" s="1"/>
  <c r="AF36" i="11"/>
  <c r="B36" i="11"/>
  <c r="C37" i="11" s="1"/>
  <c r="C37" i="73"/>
  <c r="D37" i="74"/>
  <c r="D46" i="74" s="1"/>
  <c r="D47" i="74" s="1"/>
  <c r="D12" i="80" s="1"/>
  <c r="F41" i="18"/>
  <c r="F43" i="18" s="1"/>
  <c r="F39" i="15"/>
  <c r="F34" i="67"/>
  <c r="F36" i="5"/>
  <c r="AC16" i="11"/>
  <c r="K5" i="13"/>
  <c r="M5" i="13" s="1"/>
  <c r="N11" i="13" s="1"/>
  <c r="D35" i="28"/>
  <c r="D37" i="81"/>
  <c r="D37" i="77"/>
  <c r="D49" i="77" s="1"/>
  <c r="D50" i="77" s="1"/>
  <c r="D14" i="80" s="1"/>
  <c r="D35" i="68"/>
  <c r="J35" i="70"/>
  <c r="D47" i="70" s="1"/>
  <c r="D48" i="70" s="1"/>
  <c r="D33" i="80" s="1"/>
  <c r="AM37" i="11"/>
  <c r="F39" i="71"/>
  <c r="D49" i="71" s="1"/>
  <c r="D50" i="71" s="1"/>
  <c r="D35" i="80" s="1"/>
  <c r="J17" i="74"/>
  <c r="J24" i="74" s="1"/>
  <c r="C37" i="13"/>
  <c r="D18" i="64"/>
  <c r="D19" i="64" s="1"/>
  <c r="D23" i="64" s="1"/>
  <c r="J4" i="80"/>
  <c r="J47" i="80" s="1"/>
  <c r="D38" i="74"/>
  <c r="F40" i="71"/>
  <c r="F41" i="71" s="1"/>
  <c r="F43" i="71" s="1"/>
  <c r="B31" i="20"/>
  <c r="J40" i="17"/>
  <c r="D40" i="72"/>
  <c r="D19" i="65"/>
  <c r="D20" i="65" s="1"/>
  <c r="D24" i="65" s="1"/>
  <c r="D38" i="77"/>
  <c r="D39" i="77" s="1"/>
  <c r="D41" i="77" s="1"/>
  <c r="D13" i="78"/>
  <c r="J36" i="70"/>
  <c r="J37" i="70" s="1"/>
  <c r="J41" i="70" s="1"/>
  <c r="H36" i="11"/>
  <c r="H39" i="11" s="1"/>
  <c r="C42" i="63" s="1"/>
  <c r="D38" i="79"/>
  <c r="D39" i="79" s="1"/>
  <c r="D41" i="79" s="1"/>
  <c r="AQ39" i="15"/>
  <c r="B32" i="80" l="1"/>
  <c r="C32" i="80" s="1"/>
  <c r="E32" i="80" s="1"/>
  <c r="B19" i="63"/>
  <c r="C19" i="63" s="1"/>
  <c r="E37" i="13"/>
  <c r="E38" i="13" s="1"/>
  <c r="C38" i="13"/>
  <c r="C41" i="13" s="1"/>
  <c r="D41" i="81"/>
  <c r="D46" i="81"/>
  <c r="D47" i="81" s="1"/>
  <c r="D71" i="80" s="1"/>
  <c r="C23" i="63"/>
  <c r="B23" i="63" s="1"/>
  <c r="B66" i="80"/>
  <c r="C66" i="80" s="1"/>
  <c r="E66" i="80" s="1"/>
  <c r="D40" i="28"/>
  <c r="D46" i="28"/>
  <c r="D47" i="28" s="1"/>
  <c r="D58" i="80" s="1"/>
  <c r="C38" i="73"/>
  <c r="C40" i="73" s="1"/>
  <c r="E37" i="73"/>
  <c r="AN45" i="15"/>
  <c r="B102" i="15"/>
  <c r="J41" i="17"/>
  <c r="J43" i="17" s="1"/>
  <c r="C45" i="11"/>
  <c r="C46" i="11" s="1"/>
  <c r="C39" i="11"/>
  <c r="C27" i="63"/>
  <c r="B27" i="63" s="1"/>
  <c r="B64" i="80"/>
  <c r="C64" i="80" s="1"/>
  <c r="E64" i="80" s="1"/>
  <c r="D30" i="8"/>
  <c r="D31" i="8" s="1"/>
  <c r="D37" i="80" s="1"/>
  <c r="D38" i="80" s="1"/>
  <c r="D20" i="8"/>
  <c r="D24" i="8" s="1"/>
  <c r="C19" i="80"/>
  <c r="B62" i="80"/>
  <c r="C15" i="63"/>
  <c r="B15" i="63" s="1"/>
  <c r="B24" i="80"/>
  <c r="B14" i="63"/>
  <c r="C14" i="63" s="1"/>
  <c r="D16" i="80"/>
  <c r="D40" i="80"/>
  <c r="D41" i="72"/>
  <c r="D43" i="72" s="1"/>
  <c r="I31" i="82"/>
  <c r="I34" i="82" s="1"/>
  <c r="I40" i="82"/>
  <c r="F40" i="6"/>
  <c r="D46" i="6"/>
  <c r="D47" i="6" s="1"/>
  <c r="D56" i="80" s="1"/>
  <c r="B13" i="80"/>
  <c r="C13" i="80" s="1"/>
  <c r="E13" i="80" s="1"/>
  <c r="B32" i="63"/>
  <c r="C32" i="63" s="1"/>
  <c r="C31" i="20"/>
  <c r="C32" i="20" s="1"/>
  <c r="B18" i="20"/>
  <c r="C18" i="20" s="1"/>
  <c r="C19" i="20" s="1"/>
  <c r="B46" i="20"/>
  <c r="C46" i="20" s="1"/>
  <c r="C47" i="20" s="1"/>
  <c r="AH8" i="7"/>
  <c r="AI7" i="7"/>
  <c r="B14" i="80"/>
  <c r="C14" i="80" s="1"/>
  <c r="E14" i="80" s="1"/>
  <c r="B40" i="63"/>
  <c r="C40" i="63" s="1"/>
  <c r="B26" i="80"/>
  <c r="C26" i="80" s="1"/>
  <c r="E26" i="80" s="1"/>
  <c r="B13" i="63"/>
  <c r="C13" i="63" s="1"/>
  <c r="B31" i="80"/>
  <c r="C31" i="80" s="1"/>
  <c r="E31" i="80" s="1"/>
  <c r="B10" i="63"/>
  <c r="C10" i="63" s="1"/>
  <c r="B35" i="80"/>
  <c r="C35" i="80" s="1"/>
  <c r="E35" i="80" s="1"/>
  <c r="B34" i="63"/>
  <c r="C34" i="63" s="1"/>
  <c r="D40" i="69"/>
  <c r="D42" i="69" s="1"/>
  <c r="B36" i="80"/>
  <c r="C36" i="80" s="1"/>
  <c r="E36" i="80" s="1"/>
  <c r="B41" i="63"/>
  <c r="C41" i="63" s="1"/>
  <c r="B33" i="80"/>
  <c r="C33" i="80" s="1"/>
  <c r="E33" i="80" s="1"/>
  <c r="B28" i="63"/>
  <c r="C28" i="63" s="1"/>
  <c r="K19" i="74"/>
  <c r="L19" i="74" s="1"/>
  <c r="L24" i="74" s="1"/>
  <c r="L26" i="74" s="1"/>
  <c r="D39" i="74"/>
  <c r="D41" i="74" s="1"/>
  <c r="F38" i="67"/>
  <c r="D44" i="67"/>
  <c r="D45" i="67" s="1"/>
  <c r="D70" i="80" s="1"/>
  <c r="F42" i="5"/>
  <c r="D48" i="5"/>
  <c r="D49" i="5" s="1"/>
  <c r="D73" i="80" s="1"/>
  <c r="F39" i="22"/>
  <c r="F41" i="22" s="1"/>
  <c r="D14" i="78"/>
  <c r="D18" i="78" s="1"/>
  <c r="D40" i="68"/>
  <c r="D46" i="68"/>
  <c r="D47" i="68" s="1"/>
  <c r="D55" i="80" s="1"/>
  <c r="F43" i="15"/>
  <c r="D51" i="15"/>
  <c r="D52" i="15" s="1"/>
  <c r="D63" i="80" s="1"/>
  <c r="AH20" i="7"/>
  <c r="AI19" i="7"/>
  <c r="C72" i="80"/>
  <c r="E72" i="80" s="1"/>
  <c r="B34" i="80"/>
  <c r="C34" i="80" s="1"/>
  <c r="E34" i="80" s="1"/>
  <c r="B35" i="63"/>
  <c r="C35" i="63" s="1"/>
  <c r="B73" i="80" l="1"/>
  <c r="C73" i="80" s="1"/>
  <c r="E73" i="80" s="1"/>
  <c r="C22" i="63"/>
  <c r="B22" i="63" s="1"/>
  <c r="B20" i="80"/>
  <c r="B33" i="63"/>
  <c r="C33" i="63" s="1"/>
  <c r="F102" i="15"/>
  <c r="F103" i="15" s="1"/>
  <c r="B103" i="15"/>
  <c r="B105" i="15" s="1"/>
  <c r="F105" i="15" s="1"/>
  <c r="B63" i="80"/>
  <c r="C63" i="80" s="1"/>
  <c r="E63" i="80" s="1"/>
  <c r="C18" i="63"/>
  <c r="B18" i="63" s="1"/>
  <c r="C24" i="80"/>
  <c r="C31" i="63"/>
  <c r="B31" i="63" s="1"/>
  <c r="B71" i="80"/>
  <c r="C71" i="80" s="1"/>
  <c r="E71" i="80" s="1"/>
  <c r="B12" i="80"/>
  <c r="B30" i="63"/>
  <c r="C30" i="63" s="1"/>
  <c r="AH9" i="7"/>
  <c r="AI8" i="7"/>
  <c r="B56" i="80"/>
  <c r="C56" i="80" s="1"/>
  <c r="E56" i="80" s="1"/>
  <c r="C9" i="63"/>
  <c r="B9" i="63" s="1"/>
  <c r="E38" i="73"/>
  <c r="F37" i="73"/>
  <c r="B37" i="80"/>
  <c r="C37" i="80" s="1"/>
  <c r="E37" i="80" s="1"/>
  <c r="B25" i="63"/>
  <c r="C25" i="63" s="1"/>
  <c r="D74" i="80"/>
  <c r="B70" i="80"/>
  <c r="C20" i="63"/>
  <c r="B20" i="63" s="1"/>
  <c r="B55" i="80"/>
  <c r="C17" i="63"/>
  <c r="B17" i="63" s="1"/>
  <c r="F45" i="11"/>
  <c r="C62" i="80"/>
  <c r="B67" i="80"/>
  <c r="F38" i="13"/>
  <c r="E41" i="13"/>
  <c r="F41" i="13" s="1"/>
  <c r="B15" i="80"/>
  <c r="C15" i="80" s="1"/>
  <c r="E15" i="80" s="1"/>
  <c r="B39" i="63"/>
  <c r="C56" i="20"/>
  <c r="F51" i="73" s="1"/>
  <c r="E19" i="80"/>
  <c r="B57" i="80"/>
  <c r="C57" i="80" s="1"/>
  <c r="E57" i="80" s="1"/>
  <c r="B42" i="63"/>
  <c r="B16" i="63"/>
  <c r="C16" i="63" s="1"/>
  <c r="B30" i="80"/>
  <c r="C30" i="80" s="1"/>
  <c r="E30" i="80" s="1"/>
  <c r="AH21" i="7"/>
  <c r="AI21" i="7" s="1"/>
  <c r="AI20" i="7"/>
  <c r="B27" i="80"/>
  <c r="C27" i="80" s="1"/>
  <c r="E27" i="80" s="1"/>
  <c r="B8" i="63"/>
  <c r="B29" i="80"/>
  <c r="C29" i="80" s="1"/>
  <c r="E29" i="80" s="1"/>
  <c r="B11" i="63"/>
  <c r="C11" i="63" s="1"/>
  <c r="F46" i="11"/>
  <c r="D65" i="80" s="1"/>
  <c r="D57" i="80"/>
  <c r="D59" i="80" s="1"/>
  <c r="B58" i="80"/>
  <c r="C58" i="80" s="1"/>
  <c r="E58" i="80" s="1"/>
  <c r="C21" i="63"/>
  <c r="B21" i="63" s="1"/>
  <c r="D76" i="80" l="1"/>
  <c r="D67" i="80"/>
  <c r="E65" i="80"/>
  <c r="C70" i="80"/>
  <c r="B74" i="80"/>
  <c r="C8" i="63"/>
  <c r="F38" i="73"/>
  <c r="E40" i="73"/>
  <c r="F40" i="73" s="1"/>
  <c r="F49" i="73" s="1"/>
  <c r="F53" i="73" s="1"/>
  <c r="C103" i="15"/>
  <c r="C39" i="63"/>
  <c r="C43" i="63" s="1"/>
  <c r="B43" i="63"/>
  <c r="B59" i="80"/>
  <c r="B76" i="80" s="1"/>
  <c r="C55" i="80"/>
  <c r="B25" i="80"/>
  <c r="B12" i="63"/>
  <c r="C12" i="63" s="1"/>
  <c r="C67" i="80"/>
  <c r="E62" i="80"/>
  <c r="E67" i="80" s="1"/>
  <c r="C12" i="80"/>
  <c r="B16" i="80"/>
  <c r="C20" i="80"/>
  <c r="B21" i="80"/>
  <c r="AH10" i="7"/>
  <c r="AI9" i="7"/>
  <c r="E24" i="80"/>
  <c r="B24" i="63" l="1"/>
  <c r="C24" i="63" s="1"/>
  <c r="B28" i="80"/>
  <c r="C28" i="80" s="1"/>
  <c r="E28" i="80" s="1"/>
  <c r="C25" i="80"/>
  <c r="C16" i="80"/>
  <c r="E12" i="80"/>
  <c r="C40" i="80"/>
  <c r="B80" i="80" s="1"/>
  <c r="B36" i="63"/>
  <c r="B45" i="63" s="1"/>
  <c r="C36" i="63"/>
  <c r="C45" i="63" s="1"/>
  <c r="E70" i="80"/>
  <c r="E74" i="80" s="1"/>
  <c r="C74" i="80"/>
  <c r="E20" i="80"/>
  <c r="E21" i="80" s="1"/>
  <c r="C21" i="80"/>
  <c r="C59" i="80"/>
  <c r="C76" i="80"/>
  <c r="E55" i="80"/>
  <c r="AH11" i="7"/>
  <c r="AI10" i="7"/>
  <c r="AI11" i="7" l="1"/>
  <c r="AH12" i="7"/>
  <c r="E25" i="80"/>
  <c r="E38" i="80" s="1"/>
  <c r="C38" i="80"/>
  <c r="E16" i="80"/>
  <c r="E40" i="80"/>
  <c r="B38" i="80"/>
  <c r="E59" i="80"/>
  <c r="E76" i="80"/>
  <c r="B40" i="80"/>
  <c r="B79" i="80" s="1"/>
  <c r="AI12" i="7" l="1"/>
  <c r="AH13" i="7"/>
  <c r="AI13" i="7" l="1"/>
  <c r="AH14" i="7"/>
  <c r="AH15" i="7" l="1"/>
  <c r="AI14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<sst xmlns="http://schemas.openxmlformats.org/spreadsheetml/2006/main" count="700" uniqueCount="217">
  <si>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</si>
  <si>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</si>
  <si>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</si>
  <si>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</si>
  <si>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</si>
  <si>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</si>
  <si>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</si>
  <si>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</si>
  <si>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</si>
  <si>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</si>
  <si>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</si>
  <si>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</si>
  <si>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</si>
  <si>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</si>
  <si>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</si>
  <si>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</si>
  <si>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</si>
  <si>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</si>
  <si>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</si>
  <si>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</si>
  <si>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</si>
  <si>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</si>
  <si>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</si>
  <si>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</si>
  <si>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</si>
  <si>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</si>
  <si>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</si>
  <si>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</si>
  <si>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</si>
  <si>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</si>
  <si>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</si>
  <si>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</si>
  <si>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</si>
  <si>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</si>
  <si>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</si>
  <si>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</si>
  <si>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</si>
  <si>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</si>
  <si>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</si>
  <si>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</si>
  <si>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</si>
  <si>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</si>
  <si>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</si>
  <si>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</si>
  <si>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</si>
  <si>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</si>
  <si>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</si>
  <si>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</si>
  <si>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</si>
  <si>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</si>
  <si>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</si>
  <si>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</si>
  <si>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</si>
  <si>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</si>
  <si>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</si>
  <si>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</si>
  <si>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</si>
  <si>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</si>
  <si>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</si>
  <si>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</si>
  <si>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</si>
  <si>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</si>
  <si>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</si>
  <si>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</si>
  <si>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</si>
  <si>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</si>
  <si>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</si>
  <si>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</si>
  <si>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</si>
  <si>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</si>
  <si>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</si>
  <si>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</si>
  <si>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</si>
  <si>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</si>
  <si>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</si>
  <si>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</si>
  <si>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</si>
  <si>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</si>
  <si>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</si>
  <si>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</si>
  <si>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</si>
  <si>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</si>
  <si>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</si>
  <si>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</si>
  <si>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</si>
  <si>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</si>
  <si>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</si>
  <si>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</si>
  <si>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</si>
  <si>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</si>
  <si>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</si>
  <si>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</si>
  <si>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</si>
  <si>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</si>
  <si>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</si>
  <si>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</si>
  <si>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</si>
  <si>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</si>
  <si>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</si>
  <si>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</si>
  <si>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</si>
  <si>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</si>
  <si>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</si>
  <si>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</si>
  <si>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</si>
  <si>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</si>
  <si>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</si>
  <si>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</si>
  <si>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</si>
  <si>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</si>
  <si>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</si>
  <si>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</si>
  <si>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</si>
  <si>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</si>
  <si>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</si>
  <si>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</si>
  <si>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</si>
  <si>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</si>
  <si>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</si>
  <si>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</si>
  <si>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</si>
  <si>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</si>
  <si>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</si>
  <si>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</si>
  <si>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</si>
  <si>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</si>
  <si>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</si>
  <si>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</si>
  <si>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</si>
  <si>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</si>
  <si>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</si>
  <si>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</si>
  <si>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</si>
  <si>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</si>
  <si>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</si>
  <si>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</si>
  <si>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</si>
  <si>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</si>
  <si>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</si>
  <si>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</si>
  <si>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</si>
  <si>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</si>
  <si>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</si>
  <si>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</si>
  <si>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</si>
  <si>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</si>
  <si>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</si>
  <si>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</si>
  <si>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</si>
  <si>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</si>
  <si>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</si>
  <si>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</si>
  <si>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</si>
  <si>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</si>
  <si>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</si>
  <si>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</si>
  <si>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</si>
  <si>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</si>
  <si>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</si>
  <si>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</si>
  <si>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</si>
  <si>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</si>
  <si>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</si>
  <si>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</si>
  <si>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</si>
  <si>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</si>
  <si>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</si>
  <si>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</si>
  <si>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</si>
  <si>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</si>
  <si>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</si>
  <si>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</si>
  <si>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</si>
  <si>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</si>
  <si>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</si>
  <si>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</si>
  <si>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</si>
  <si>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</si>
  <si>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</si>
  <si>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</si>
  <si>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</si>
  <si>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</si>
  <si>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</si>
  <si>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</si>
  <si>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</si>
  <si>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</si>
  <si>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</si>
  <si>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</si>
  <si>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</si>
  <si>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</si>
  <si>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</si>
  <si>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</si>
  <si>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</si>
  <si>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</si>
  <si>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</si>
  <si>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</si>
  <si>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</si>
  <si>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</si>
  <si>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Equilavent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</si>
  <si>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</si>
  <si>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</si>
  <si>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</si>
  <si>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</si>
  <si>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</si>
  <si>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</si>
  <si>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</si>
  <si>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</si>
  <si>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</si>
  <si>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</si>
  <si>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</si>
  <si>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</si>
  <si>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</si>
  <si>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Amoco-Florida Plant</t>
  </si>
  <si>
    <t>NGPL - Winkler</t>
  </si>
  <si>
    <t>NGPL - Gray</t>
  </si>
  <si>
    <t>TW average index</t>
  </si>
  <si>
    <t>TW San Juan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</si>
</sst>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2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3" fillId="0" borderId="0" xfId="0" applyFont="1"/>
    <xf numFmtId="5" fontId="33" fillId="0" borderId="0" xfId="0" applyNumberFormat="1" applyFont="1" applyAlignment="1">
      <alignment horizontal="right"/>
    </xf>
    <xf numFmtId="37" fontId="33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3" fillId="0" borderId="0" xfId="0" applyFont="1" applyAlignment="1">
      <alignment horizontal="center"/>
    </xf>
    <xf numFmtId="43" fontId="0" fillId="0" borderId="0" xfId="1" applyFont="1"/>
    <xf numFmtId="5" fontId="34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5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5" fontId="22" fillId="0" borderId="0" xfId="1" applyNumberFormat="1" applyFont="1"/>
    <xf numFmtId="7" fontId="36" fillId="0" borderId="1" xfId="1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7" fillId="0" borderId="0" xfId="0" applyNumberFormat="1" applyFont="1"/>
    <xf numFmtId="37" fontId="37" fillId="0" borderId="0" xfId="1" applyNumberFormat="1" applyFont="1"/>
    <xf numFmtId="0" fontId="37" fillId="0" borderId="0" xfId="0" applyFont="1"/>
    <xf numFmtId="0" fontId="3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166" fontId="25" fillId="5" borderId="1" xfId="1" applyNumberFormat="1" applyFont="1" applyFill="1" applyBorder="1"/>
    <xf numFmtId="5" fontId="22" fillId="5" borderId="0" xfId="1" applyNumberFormat="1" applyFont="1" applyFill="1"/>
    <xf numFmtId="37" fontId="25" fillId="5" borderId="0" xfId="1" applyNumberFormat="1" applyFont="1" applyFill="1" applyBorder="1"/>
    <xf numFmtId="37" fontId="25" fillId="5" borderId="0" xfId="1" applyNumberFormat="1" applyFont="1" applyFill="1"/>
    <xf numFmtId="5" fontId="22" fillId="5" borderId="0" xfId="0" applyNumberFormat="1" applyFont="1" applyFill="1"/>
    <xf numFmtId="5" fontId="25" fillId="5" borderId="0" xfId="1" applyNumberFormat="1" applyFont="1" applyFill="1" applyAlignment="1"/>
    <xf numFmtId="166" fontId="25" fillId="5" borderId="0" xfId="1" applyNumberFormat="1" applyFont="1" applyFill="1" applyBorder="1"/>
    <xf numFmtId="5" fontId="25" fillId="5" borderId="0" xfId="1" applyNumberFormat="1" applyFont="1" applyFill="1"/>
    <xf numFmtId="5" fontId="25" fillId="5" borderId="1" xfId="1" applyNumberFormat="1" applyFont="1" applyFill="1" applyBorder="1"/>
    <xf numFmtId="166" fontId="22" fillId="5" borderId="0" xfId="1" applyNumberFormat="1" applyFont="1" applyFill="1"/>
    <xf numFmtId="166" fontId="25" fillId="5" borderId="0" xfId="1" applyNumberFormat="1" applyFont="1" applyFill="1"/>
    <xf numFmtId="5" fontId="9" fillId="5" borderId="0" xfId="1" applyNumberFormat="1" applyFont="1" applyFill="1"/>
    <xf numFmtId="44" fontId="25" fillId="5" borderId="0" xfId="2" applyFont="1" applyFill="1"/>
    <xf numFmtId="7" fontId="25" fillId="5" borderId="1" xfId="0" applyNumberFormat="1" applyFont="1" applyFill="1" applyBorder="1"/>
    <xf numFmtId="7" fontId="36" fillId="5" borderId="1" xfId="1" applyNumberFormat="1" applyFont="1" applyFill="1" applyBorder="1"/>
    <xf numFmtId="5" fontId="25" fillId="5" borderId="1" xfId="0" applyNumberFormat="1" applyFont="1" applyFill="1" applyBorder="1"/>
    <xf numFmtId="192" fontId="25" fillId="5" borderId="0" xfId="0" applyNumberFormat="1" applyFont="1" applyFill="1"/>
    <xf numFmtId="5" fontId="25" fillId="5" borderId="0" xfId="0" applyNumberFormat="1" applyFont="1" applyFill="1" applyBorder="1"/>
    <xf numFmtId="7" fontId="25" fillId="5" borderId="0" xfId="0" applyNumberFormat="1" applyFont="1" applyFill="1"/>
    <xf numFmtId="166" fontId="9" fillId="5" borderId="0" xfId="1" applyNumberFormat="1" applyFont="1" applyFill="1"/>
    <xf numFmtId="5" fontId="3" fillId="5" borderId="0" xfId="1" applyNumberFormat="1" applyFont="1" applyFill="1"/>
    <xf numFmtId="7" fontId="3" fillId="5" borderId="0" xfId="0" applyNumberFormat="1" applyFont="1" applyFill="1"/>
    <xf numFmtId="5" fontId="25" fillId="5" borderId="0" xfId="0" applyNumberFormat="1" applyFont="1" applyFill="1"/>
    <xf numFmtId="5" fontId="34" fillId="5" borderId="1" xfId="0" applyNumberFormat="1" applyFont="1" applyFill="1" applyBorder="1"/>
    <xf numFmtId="5" fontId="25" fillId="5" borderId="0" xfId="0" applyNumberFormat="1" applyFont="1" applyFill="1" applyAlignment="1">
      <alignment horizontal="left" indent="2"/>
    </xf>
    <xf numFmtId="166" fontId="3" fillId="6" borderId="0" xfId="1" applyNumberFormat="1" applyFont="1" applyFill="1"/>
    <xf numFmtId="5" fontId="22" fillId="6" borderId="0" xfId="1" applyNumberFormat="1" applyFont="1" applyFill="1"/>
    <xf numFmtId="166" fontId="9" fillId="6" borderId="0" xfId="1" applyNumberFormat="1" applyFont="1" applyFill="1"/>
    <xf numFmtId="5" fontId="25" fillId="6" borderId="1" xfId="0" applyNumberFormat="1" applyFont="1" applyFill="1" applyBorder="1"/>
    <xf numFmtId="166" fontId="22" fillId="6" borderId="0" xfId="1" applyNumberFormat="1" applyFont="1" applyFill="1"/>
    <xf numFmtId="166" fontId="25" fillId="6" borderId="1" xfId="0" applyNumberFormat="1" applyFont="1" applyFill="1" applyBorder="1"/>
    <xf numFmtId="5" fontId="34" fillId="6" borderId="1" xfId="0" applyNumberFormat="1" applyFont="1" applyFill="1" applyBorder="1"/>
    <xf numFmtId="5" fontId="9" fillId="6" borderId="0" xfId="1" applyNumberFormat="1" applyFont="1" applyFill="1"/>
    <xf numFmtId="0" fontId="33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7" fontId="27" fillId="5" borderId="0" xfId="1" applyNumberFormat="1" applyFont="1" applyFill="1"/>
    <xf numFmtId="5" fontId="11" fillId="0" borderId="0" xfId="2" applyNumberFormat="1" applyFont="1"/>
    <xf numFmtId="166" fontId="11" fillId="0" borderId="0" xfId="1" applyNumberFormat="1" applyFont="1" applyFill="1" applyAlignment="1"/>
    <xf numFmtId="166" fontId="27" fillId="5" borderId="0" xfId="1" applyNumberFormat="1" applyFont="1" applyFill="1"/>
    <xf numFmtId="166" fontId="11" fillId="3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3" fillId="2" borderId="0" xfId="0" applyFont="1" applyFill="1" applyBorder="1"/>
    <xf numFmtId="5" fontId="0" fillId="2" borderId="0" xfId="0" applyNumberFormat="1" applyFill="1" applyBorder="1"/>
    <xf numFmtId="37" fontId="0" fillId="0" borderId="0" xfId="1" applyNumberFormat="1" applyFont="1" applyBorder="1"/>
    <xf numFmtId="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17" fontId="6" fillId="0" borderId="0" xfId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/>
    <xf numFmtId="17" fontId="9" fillId="0" borderId="0" xfId="0" applyNumberFormat="1" applyFont="1" applyBorder="1"/>
    <xf numFmtId="17" fontId="0" fillId="0" borderId="0" xfId="0" applyNumberFormat="1" applyBorder="1"/>
    <xf numFmtId="0" fontId="14" fillId="0" borderId="0" xfId="0" applyFont="1" applyBorder="1"/>
    <xf numFmtId="5" fontId="0" fillId="0" borderId="0" xfId="0" applyNumberFormat="1" applyBorder="1"/>
    <xf numFmtId="17" fontId="6" fillId="0" borderId="0" xfId="0" applyNumberFormat="1" applyFont="1" applyFill="1" applyBorder="1" applyAlignment="1">
      <alignment horizontal="center"/>
    </xf>
    <xf numFmtId="166" fontId="8" fillId="0" borderId="0" xfId="1" applyNumberFormat="1" applyFont="1" applyBorder="1" applyAlignment="1"/>
    <xf numFmtId="166" fontId="8" fillId="0" borderId="0" xfId="1" applyNumberFormat="1" applyFont="1" applyBorder="1"/>
    <xf numFmtId="166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 applyAlignment="1">
      <alignment horizontal="right"/>
    </xf>
    <xf numFmtId="166" fontId="38" fillId="0" borderId="0" xfId="1" applyNumberFormat="1" applyFont="1" applyBorder="1"/>
    <xf numFmtId="0" fontId="9" fillId="0" borderId="0" xfId="0" applyFont="1" applyFill="1" applyBorder="1"/>
    <xf numFmtId="166" fontId="8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/>
    <xf numFmtId="0" fontId="14" fillId="0" borderId="0" xfId="0" applyFont="1" applyBorder="1" applyAlignment="1">
      <alignment horizontal="right"/>
    </xf>
    <xf numFmtId="43" fontId="8" fillId="0" borderId="0" xfId="1" applyNumberFormat="1" applyFont="1" applyBorder="1"/>
    <xf numFmtId="5" fontId="8" fillId="0" borderId="0" xfId="1" applyNumberFormat="1" applyFont="1" applyBorder="1"/>
    <xf numFmtId="5" fontId="8" fillId="0" borderId="0" xfId="1" applyNumberFormat="1" applyFont="1" applyBorder="1" applyAlignment="1"/>
    <xf numFmtId="5" fontId="8" fillId="0" borderId="0" xfId="0" applyNumberFormat="1" applyFont="1" applyBorder="1"/>
    <xf numFmtId="166" fontId="8" fillId="0" borderId="0" xfId="0" applyNumberFormat="1" applyFont="1" applyBorder="1"/>
    <xf numFmtId="171" fontId="8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1.75</v>
          </cell>
          <cell r="K39">
            <v>1.6</v>
          </cell>
          <cell r="M39">
            <v>1.7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topLeftCell="A49" workbookViewId="3">
      <selection activeCell="C67" sqref="C67"/>
    </sheetView>
  </sheetViews>
  <sheetFormatPr defaultRowHeight="12.75" outlineLevelRow="2" x14ac:dyDescent="0.2"/>
  <cols>
    <col min="1" max="1" width="18.85546875" style="293" customWidth="1"/>
    <col min="2" max="2" width="11.140625" style="250" bestFit="1" customWidth="1"/>
    <col min="3" max="3" width="10.5703125" style="294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0.42578125" bestFit="1" customWidth="1"/>
    <col min="13" max="13" width="34.42578125" customWidth="1"/>
  </cols>
  <sheetData>
    <row r="1" spans="1:32" ht="15" x14ac:dyDescent="0.25">
      <c r="A1" s="360"/>
    </row>
    <row r="2" spans="1:32" ht="12.95" customHeight="1" x14ac:dyDescent="0.2">
      <c r="A2" s="34" t="s">
        <v>143</v>
      </c>
      <c r="D2" s="7"/>
      <c r="I2" s="408" t="s">
        <v>79</v>
      </c>
      <c r="J2" s="411"/>
      <c r="K2" s="32"/>
    </row>
    <row r="3" spans="1:32" ht="12.95" customHeight="1" x14ac:dyDescent="0.2">
      <c r="D3" s="7"/>
      <c r="I3" s="409" t="s">
        <v>30</v>
      </c>
      <c r="J3" s="412">
        <f>+summary!H3</f>
        <v>1.6</v>
      </c>
      <c r="K3" s="429">
        <f ca="1">NOW()</f>
        <v>41885.693853472221</v>
      </c>
    </row>
    <row r="4" spans="1:32" ht="12.95" customHeight="1" x14ac:dyDescent="0.2">
      <c r="A4" s="34" t="s">
        <v>149</v>
      </c>
      <c r="C4" s="34" t="s">
        <v>5</v>
      </c>
      <c r="D4" s="7"/>
      <c r="I4" s="410" t="s">
        <v>31</v>
      </c>
      <c r="J4" s="412">
        <f>+summary!H4</f>
        <v>1.7</v>
      </c>
      <c r="K4" s="32"/>
    </row>
    <row r="5" spans="1:32" ht="12.95" customHeight="1" x14ac:dyDescent="0.2">
      <c r="D5" s="7"/>
      <c r="I5" s="409" t="s">
        <v>118</v>
      </c>
      <c r="J5" s="412">
        <f>+summary!H5</f>
        <v>1.75</v>
      </c>
      <c r="K5" s="32"/>
    </row>
    <row r="6" spans="1:32" ht="12" customHeight="1" x14ac:dyDescent="0.2"/>
    <row r="7" spans="1:32" ht="12.95" customHeight="1" x14ac:dyDescent="0.2">
      <c r="A7" s="427" t="s">
        <v>169</v>
      </c>
      <c r="B7" s="428"/>
      <c r="AD7" s="32"/>
      <c r="AE7" s="32"/>
      <c r="AF7" s="32"/>
    </row>
    <row r="8" spans="1:32" ht="15.95" customHeight="1" outlineLevel="2" x14ac:dyDescent="0.2">
      <c r="A8" s="32"/>
      <c r="B8" s="507" t="s">
        <v>205</v>
      </c>
      <c r="C8" s="425" t="s">
        <v>0</v>
      </c>
      <c r="D8" s="12" t="s">
        <v>204</v>
      </c>
      <c r="E8" s="12" t="s">
        <v>202</v>
      </c>
      <c r="F8" s="2" t="s">
        <v>152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1" t="s">
        <v>90</v>
      </c>
      <c r="B9" s="417" t="s">
        <v>206</v>
      </c>
      <c r="C9" s="426" t="s">
        <v>199</v>
      </c>
      <c r="D9" s="457" t="s">
        <v>203</v>
      </c>
      <c r="E9" s="39" t="s">
        <v>201</v>
      </c>
      <c r="F9" s="39" t="s">
        <v>150</v>
      </c>
      <c r="G9" s="415" t="s">
        <v>155</v>
      </c>
      <c r="H9" s="392" t="s">
        <v>102</v>
      </c>
      <c r="I9" s="391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1" t="s">
        <v>161</v>
      </c>
    </row>
    <row r="12" spans="1:32" ht="15.95" customHeight="1" outlineLevel="1" x14ac:dyDescent="0.2">
      <c r="A12" s="206" t="s">
        <v>130</v>
      </c>
      <c r="B12" s="367">
        <f>+Calpine!D41</f>
        <v>29914.200000000004</v>
      </c>
      <c r="C12" s="394">
        <f>+B12/$J$4</f>
        <v>17596.588235294119</v>
      </c>
      <c r="D12" s="14">
        <f>+Calpine!D47</f>
        <v>100906</v>
      </c>
      <c r="E12" s="70">
        <f>+C12-D12</f>
        <v>-83309.411764705874</v>
      </c>
      <c r="F12" s="389">
        <f>+Calpine!A41</f>
        <v>37171</v>
      </c>
      <c r="G12" s="205"/>
      <c r="H12" s="206" t="s">
        <v>100</v>
      </c>
      <c r="I12" s="373"/>
      <c r="J12" s="70"/>
      <c r="K12" s="32"/>
    </row>
    <row r="13" spans="1:32" ht="15.95" customHeight="1" outlineLevel="2" x14ac:dyDescent="0.2">
      <c r="A13" s="32" t="s">
        <v>142</v>
      </c>
      <c r="B13" s="367">
        <f>+'Citizens-Griffith'!D41</f>
        <v>13168.699999999997</v>
      </c>
      <c r="C13" s="393">
        <f>+B13/$J$4</f>
        <v>7746.2941176470576</v>
      </c>
      <c r="D13" s="14">
        <f>+'Citizens-Griffith'!D48</f>
        <v>16037</v>
      </c>
      <c r="E13" s="70">
        <f>+C13-D13</f>
        <v>-8290.7058823529424</v>
      </c>
      <c r="F13" s="389">
        <f>+'Citizens-Griffith'!A41</f>
        <v>37171</v>
      </c>
      <c r="G13" s="205" t="s">
        <v>158</v>
      </c>
      <c r="H13" s="32" t="s">
        <v>100</v>
      </c>
      <c r="I13" s="32"/>
      <c r="J13" s="32"/>
      <c r="K13" s="32"/>
    </row>
    <row r="14" spans="1:32" ht="15.95" customHeight="1" outlineLevel="2" x14ac:dyDescent="0.2">
      <c r="A14" s="32" t="s">
        <v>136</v>
      </c>
      <c r="B14" s="367">
        <f>+'NS Steel'!D41</f>
        <v>-470393.8</v>
      </c>
      <c r="C14" s="393">
        <f>+B14/$J$4</f>
        <v>-276702.23529411765</v>
      </c>
      <c r="D14" s="14">
        <f>+'NS Steel'!D50</f>
        <v>-105000</v>
      </c>
      <c r="E14" s="70">
        <f>+C14-D14</f>
        <v>-171702.23529411765</v>
      </c>
      <c r="F14" s="390">
        <f>+'NS Steel'!A41</f>
        <v>37170</v>
      </c>
      <c r="G14" s="205" t="s">
        <v>158</v>
      </c>
      <c r="H14" s="32" t="s">
        <v>101</v>
      </c>
      <c r="I14" s="32" t="s">
        <v>186</v>
      </c>
      <c r="J14" s="32"/>
      <c r="K14" s="32"/>
    </row>
    <row r="15" spans="1:32" ht="15.95" customHeight="1" outlineLevel="1" x14ac:dyDescent="0.2">
      <c r="A15" s="206" t="s">
        <v>138</v>
      </c>
      <c r="B15" s="370">
        <f>+Citizens!D18</f>
        <v>-580413.11</v>
      </c>
      <c r="C15" s="395">
        <f>+B15/$J$4</f>
        <v>-341419.47647058824</v>
      </c>
      <c r="D15" s="371">
        <f>+Citizens!D24</f>
        <v>-57241</v>
      </c>
      <c r="E15" s="72">
        <f>+C15-D15</f>
        <v>-284178.47647058824</v>
      </c>
      <c r="F15" s="389">
        <f>+Citizens!A18</f>
        <v>37170</v>
      </c>
      <c r="G15" s="205"/>
      <c r="H15" s="206" t="s">
        <v>100</v>
      </c>
      <c r="I15" s="449" t="s">
        <v>185</v>
      </c>
      <c r="J15" s="32"/>
      <c r="K15" s="32"/>
      <c r="T15" s="265"/>
    </row>
    <row r="16" spans="1:32" ht="15.95" customHeight="1" outlineLevel="2" x14ac:dyDescent="0.2">
      <c r="A16" s="153" t="s">
        <v>162</v>
      </c>
      <c r="B16" s="413">
        <f>SUBTOTAL(9,B12:B15)</f>
        <v>-1007724.01</v>
      </c>
      <c r="C16" s="420">
        <f>SUBTOTAL(9,C12:C15)</f>
        <v>-592778.82941176475</v>
      </c>
      <c r="D16" s="421">
        <f>SUBTOTAL(9,D12:D15)</f>
        <v>-45298</v>
      </c>
      <c r="E16" s="422">
        <f>SUBTOTAL(9,E12:E15)</f>
        <v>-547480.82941176463</v>
      </c>
      <c r="F16" s="389"/>
      <c r="G16" s="205"/>
      <c r="H16" s="206"/>
      <c r="I16" s="373"/>
      <c r="J16" s="32"/>
      <c r="K16" s="32"/>
      <c r="T16" s="265"/>
    </row>
    <row r="17" spans="1:20" ht="12.95" customHeight="1" outlineLevel="2" x14ac:dyDescent="0.2">
      <c r="G17" s="7"/>
    </row>
    <row r="18" spans="1:20" ht="15.95" customHeight="1" outlineLevel="2" x14ac:dyDescent="0.2">
      <c r="A18" s="424" t="s">
        <v>58</v>
      </c>
      <c r="G18" s="7"/>
    </row>
    <row r="19" spans="1:20" ht="15.95" customHeight="1" outlineLevel="2" x14ac:dyDescent="0.2">
      <c r="A19" s="32" t="s">
        <v>72</v>
      </c>
      <c r="B19" s="368">
        <f>+transcol!$D$43</f>
        <v>46042.9</v>
      </c>
      <c r="C19" s="393">
        <f>+B19/$J$4</f>
        <v>27084.058823529413</v>
      </c>
      <c r="D19" s="14">
        <f>+transcol!D50</f>
        <v>-33907</v>
      </c>
      <c r="E19" s="70">
        <f>+C19-D19</f>
        <v>60991.058823529413</v>
      </c>
      <c r="F19" s="390">
        <f>+transcol!A43</f>
        <v>37171</v>
      </c>
      <c r="G19" s="205" t="s">
        <v>157</v>
      </c>
      <c r="H19" s="32" t="s">
        <v>116</v>
      </c>
      <c r="I19" s="32"/>
      <c r="J19" s="32"/>
      <c r="K19" s="32"/>
      <c r="T19" s="265"/>
    </row>
    <row r="20" spans="1:20" ht="15.95" customHeight="1" outlineLevel="2" x14ac:dyDescent="0.2">
      <c r="A20" s="206" t="s">
        <v>96</v>
      </c>
      <c r="B20" s="370">
        <f>+burlington!D42</f>
        <v>17597.8</v>
      </c>
      <c r="C20" s="397">
        <f>+B20/$J$3</f>
        <v>10998.624999999998</v>
      </c>
      <c r="D20" s="371">
        <f>+burlington!D49</f>
        <v>10200</v>
      </c>
      <c r="E20" s="72">
        <f>+C20-D20</f>
        <v>798.62499999999818</v>
      </c>
      <c r="F20" s="389">
        <f>+burlington!A42</f>
        <v>37170</v>
      </c>
      <c r="G20" s="205" t="s">
        <v>158</v>
      </c>
      <c r="H20" s="32" t="s">
        <v>114</v>
      </c>
      <c r="I20" s="32" t="s">
        <v>147</v>
      </c>
      <c r="J20" s="32"/>
      <c r="K20" s="32"/>
    </row>
    <row r="21" spans="1:20" ht="15.95" customHeight="1" outlineLevel="2" x14ac:dyDescent="0.2">
      <c r="A21" s="153" t="s">
        <v>164</v>
      </c>
      <c r="B21" s="413">
        <f>SUBTOTAL(9,B19:B20)</f>
        <v>63640.7</v>
      </c>
      <c r="C21" s="414">
        <f>SUBTOTAL(9,C19:C20)</f>
        <v>38082.683823529413</v>
      </c>
      <c r="D21" s="421">
        <f>SUBTOTAL(9,D19:D20)</f>
        <v>-23707</v>
      </c>
      <c r="E21" s="422">
        <f>SUBTOTAL(9,E19:E20)</f>
        <v>61789.683823529413</v>
      </c>
      <c r="F21" s="389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1" t="s">
        <v>165</v>
      </c>
      <c r="B23" s="453"/>
      <c r="C23" s="454"/>
      <c r="D23" s="455"/>
      <c r="E23" s="455"/>
      <c r="F23" s="455"/>
      <c r="G23" s="456"/>
      <c r="H23" s="455"/>
      <c r="I23" s="455"/>
    </row>
    <row r="24" spans="1:20" ht="15.95" customHeight="1" outlineLevel="2" x14ac:dyDescent="0.2">
      <c r="A24" s="206" t="s">
        <v>88</v>
      </c>
      <c r="B24" s="367">
        <f>+NNG!$D$24</f>
        <v>370340.4</v>
      </c>
      <c r="C24" s="393">
        <f t="shared" ref="C24:C35" si="0">+B24/$J$4</f>
        <v>217847.29411764708</v>
      </c>
      <c r="D24" s="14">
        <f>+NNG!D34</f>
        <v>-46845</v>
      </c>
      <c r="E24" s="70">
        <f t="shared" ref="E24:E37" si="1">+C24-D24</f>
        <v>264692.29411764711</v>
      </c>
      <c r="F24" s="389">
        <f>+NNG!A24</f>
        <v>37170</v>
      </c>
      <c r="G24" s="416" t="s">
        <v>156</v>
      </c>
      <c r="H24" s="206" t="s">
        <v>101</v>
      </c>
      <c r="I24" s="32"/>
      <c r="J24" s="32"/>
      <c r="K24" s="32"/>
    </row>
    <row r="25" spans="1:20" ht="15.95" customHeight="1" outlineLevel="2" x14ac:dyDescent="0.2">
      <c r="A25" s="32" t="s">
        <v>81</v>
      </c>
      <c r="B25" s="367">
        <f>+Conoco!$F$41</f>
        <v>389020.63</v>
      </c>
      <c r="C25" s="393">
        <f t="shared" si="0"/>
        <v>228835.66470588237</v>
      </c>
      <c r="D25" s="14">
        <f>+Conoco!D48</f>
        <v>-11035</v>
      </c>
      <c r="E25" s="70">
        <f t="shared" si="1"/>
        <v>239870.66470588237</v>
      </c>
      <c r="F25" s="389">
        <f>+Conoco!A41</f>
        <v>37170</v>
      </c>
      <c r="G25" s="205" t="s">
        <v>158</v>
      </c>
      <c r="H25" s="32" t="s">
        <v>114</v>
      </c>
      <c r="I25" s="32" t="s">
        <v>181</v>
      </c>
      <c r="J25" s="32"/>
      <c r="K25" s="32"/>
    </row>
    <row r="26" spans="1:20" ht="15.95" customHeight="1" outlineLevel="2" x14ac:dyDescent="0.2">
      <c r="A26" s="32" t="s">
        <v>3</v>
      </c>
      <c r="B26" s="367">
        <f>+'Amoco Abo'!$F$43</f>
        <v>380561.10000000003</v>
      </c>
      <c r="C26" s="393">
        <f t="shared" si="0"/>
        <v>223859.47058823533</v>
      </c>
      <c r="D26" s="14">
        <f>+'Amoco Abo'!D49</f>
        <v>-266889</v>
      </c>
      <c r="E26" s="70">
        <f t="shared" si="1"/>
        <v>490748.4705882353</v>
      </c>
      <c r="F26" s="390">
        <f>+'Amoco Abo'!A43</f>
        <v>37170</v>
      </c>
      <c r="G26" s="205" t="s">
        <v>157</v>
      </c>
      <c r="H26" s="32" t="s">
        <v>116</v>
      </c>
      <c r="I26" s="32" t="s">
        <v>182</v>
      </c>
      <c r="J26" s="32"/>
      <c r="K26" s="32"/>
    </row>
    <row r="27" spans="1:20" ht="15.95" customHeight="1" outlineLevel="2" x14ac:dyDescent="0.2">
      <c r="A27" s="32" t="s">
        <v>108</v>
      </c>
      <c r="B27" s="367">
        <f>+KN_Westar!F41</f>
        <v>507929.10000000003</v>
      </c>
      <c r="C27" s="393">
        <f t="shared" si="0"/>
        <v>298781.82352941181</v>
      </c>
      <c r="D27" s="14">
        <f>+KN_Westar!D48</f>
        <v>50849</v>
      </c>
      <c r="E27" s="70">
        <f t="shared" si="1"/>
        <v>247932.82352941181</v>
      </c>
      <c r="F27" s="390">
        <f>+KN_Westar!A41</f>
        <v>37170</v>
      </c>
      <c r="G27" s="205" t="s">
        <v>158</v>
      </c>
      <c r="H27" s="32" t="s">
        <v>101</v>
      </c>
      <c r="I27" s="32"/>
      <c r="J27" s="32"/>
      <c r="K27" s="32"/>
    </row>
    <row r="28" spans="1:20" ht="15.95" customHeight="1" outlineLevel="2" x14ac:dyDescent="0.2">
      <c r="A28" s="32" t="s">
        <v>129</v>
      </c>
      <c r="B28" s="367">
        <f>+DEFS!F53</f>
        <v>88493.549999999814</v>
      </c>
      <c r="C28" s="394">
        <f t="shared" si="0"/>
        <v>52055.029411764597</v>
      </c>
      <c r="D28" s="14">
        <f>+DEFS!M53</f>
        <v>372311</v>
      </c>
      <c r="E28" s="70">
        <f t="shared" si="1"/>
        <v>-320255.97058823542</v>
      </c>
      <c r="F28" s="390">
        <f>+DEFS!A40</f>
        <v>37171</v>
      </c>
      <c r="G28" s="205" t="s">
        <v>157</v>
      </c>
      <c r="H28" s="32" t="s">
        <v>101</v>
      </c>
      <c r="I28" s="32" t="s">
        <v>119</v>
      </c>
      <c r="J28" s="32"/>
      <c r="K28" s="32"/>
    </row>
    <row r="29" spans="1:20" ht="15.95" customHeight="1" outlineLevel="2" x14ac:dyDescent="0.2">
      <c r="A29" s="32" t="s">
        <v>111</v>
      </c>
      <c r="B29" s="367">
        <f>+CIG!D43</f>
        <v>394424</v>
      </c>
      <c r="C29" s="393">
        <f t="shared" si="0"/>
        <v>232014.11764705883</v>
      </c>
      <c r="D29" s="14">
        <f>+CIG!D49</f>
        <v>21580</v>
      </c>
      <c r="E29" s="70">
        <f t="shared" si="1"/>
        <v>210434.11764705883</v>
      </c>
      <c r="F29" s="390">
        <f>+CIG!A43</f>
        <v>37170</v>
      </c>
      <c r="G29" s="205" t="s">
        <v>158</v>
      </c>
      <c r="H29" s="32" t="s">
        <v>114</v>
      </c>
      <c r="I29" s="32" t="s">
        <v>190</v>
      </c>
      <c r="J29" s="32"/>
      <c r="K29" s="32"/>
    </row>
    <row r="30" spans="1:20" ht="18" customHeight="1" outlineLevel="1" x14ac:dyDescent="0.2">
      <c r="A30" s="32" t="s">
        <v>2</v>
      </c>
      <c r="B30" s="367">
        <f>+mewborne!$J$43</f>
        <v>357686.7</v>
      </c>
      <c r="C30" s="393">
        <f t="shared" si="0"/>
        <v>210403.9411764706</v>
      </c>
      <c r="D30" s="14">
        <f>+mewborne!D49</f>
        <v>143775</v>
      </c>
      <c r="E30" s="70">
        <f t="shared" si="1"/>
        <v>66628.941176470602</v>
      </c>
      <c r="F30" s="390">
        <f>+mewborne!A43</f>
        <v>37170</v>
      </c>
      <c r="G30" s="205" t="s">
        <v>158</v>
      </c>
      <c r="H30" s="32" t="s">
        <v>100</v>
      </c>
      <c r="I30" s="32"/>
      <c r="J30" s="32"/>
      <c r="K30" s="32"/>
    </row>
    <row r="31" spans="1:20" ht="18" customHeight="1" x14ac:dyDescent="0.2">
      <c r="A31" s="32" t="s">
        <v>151</v>
      </c>
      <c r="B31" s="367">
        <f>+PGETX!$H$39</f>
        <v>443738.9</v>
      </c>
      <c r="C31" s="393">
        <f t="shared" si="0"/>
        <v>261022.8823529412</v>
      </c>
      <c r="D31" s="14">
        <f>+PGETX!E48</f>
        <v>102489</v>
      </c>
      <c r="E31" s="70">
        <f t="shared" si="1"/>
        <v>158533.8823529412</v>
      </c>
      <c r="F31" s="390">
        <f>+PGETX!E39</f>
        <v>37170</v>
      </c>
      <c r="G31" s="205" t="s">
        <v>156</v>
      </c>
      <c r="H31" s="32" t="s">
        <v>103</v>
      </c>
      <c r="I31" s="32" t="s">
        <v>184</v>
      </c>
      <c r="J31" s="32"/>
      <c r="K31" s="32"/>
    </row>
    <row r="32" spans="1:20" ht="17.100000000000001" customHeight="1" x14ac:dyDescent="0.2">
      <c r="A32" s="32" t="s">
        <v>83</v>
      </c>
      <c r="B32" s="367">
        <f>+PNM!$D$23</f>
        <v>245437.53</v>
      </c>
      <c r="C32" s="393">
        <f t="shared" si="0"/>
        <v>144375.01764705882</v>
      </c>
      <c r="D32" s="14">
        <f>+PNM!D30</f>
        <v>69316</v>
      </c>
      <c r="E32" s="70">
        <f t="shared" si="1"/>
        <v>75059.017647058819</v>
      </c>
      <c r="F32" s="390">
        <f>+PNM!A23</f>
        <v>37170</v>
      </c>
      <c r="G32" s="205" t="s">
        <v>157</v>
      </c>
      <c r="H32" s="32" t="s">
        <v>116</v>
      </c>
      <c r="I32" s="32"/>
      <c r="J32" s="32"/>
      <c r="K32" s="32"/>
    </row>
    <row r="33" spans="1:12" ht="17.100000000000001" customHeight="1" x14ac:dyDescent="0.2">
      <c r="A33" s="32" t="s">
        <v>104</v>
      </c>
      <c r="B33" s="367">
        <f>+EOG!J41</f>
        <v>54641.1</v>
      </c>
      <c r="C33" s="393">
        <f t="shared" si="0"/>
        <v>32141.823529411766</v>
      </c>
      <c r="D33" s="14">
        <f>+EOG!D48</f>
        <v>-100217</v>
      </c>
      <c r="E33" s="70">
        <f t="shared" si="1"/>
        <v>132358.82352941178</v>
      </c>
      <c r="F33" s="389">
        <f>+EOG!A41</f>
        <v>37170</v>
      </c>
      <c r="G33" s="205" t="s">
        <v>158</v>
      </c>
      <c r="H33" s="32" t="s">
        <v>103</v>
      </c>
      <c r="I33" s="32"/>
      <c r="J33" s="32"/>
      <c r="K33" s="32"/>
    </row>
    <row r="34" spans="1:12" ht="17.100000000000001" customHeight="1" x14ac:dyDescent="0.2">
      <c r="A34" s="32" t="s">
        <v>134</v>
      </c>
      <c r="B34" s="367">
        <f>+SidR!D41</f>
        <v>9666.5</v>
      </c>
      <c r="C34" s="393">
        <f t="shared" si="0"/>
        <v>5686.1764705882351</v>
      </c>
      <c r="D34" s="14">
        <f>+SidR!D48</f>
        <v>2707</v>
      </c>
      <c r="E34" s="70">
        <f t="shared" si="1"/>
        <v>2979.1764705882351</v>
      </c>
      <c r="F34" s="390">
        <f>+SidR!A41</f>
        <v>37171</v>
      </c>
      <c r="G34" s="205" t="s">
        <v>156</v>
      </c>
      <c r="H34" s="32" t="s">
        <v>103</v>
      </c>
      <c r="I34" s="32"/>
      <c r="J34" s="32"/>
      <c r="K34" s="32"/>
    </row>
    <row r="35" spans="1:12" ht="17.100000000000001" customHeight="1" x14ac:dyDescent="0.2">
      <c r="A35" s="32" t="s">
        <v>110</v>
      </c>
      <c r="B35" s="367">
        <f>+Continental!F43</f>
        <v>16353.2</v>
      </c>
      <c r="C35" s="394">
        <f t="shared" si="0"/>
        <v>9619.5294117647063</v>
      </c>
      <c r="D35" s="14">
        <f>+Continental!D50</f>
        <v>-7711</v>
      </c>
      <c r="E35" s="70">
        <f t="shared" si="1"/>
        <v>17330.529411764706</v>
      </c>
      <c r="F35" s="390">
        <f>+Continental!A43</f>
        <v>37170</v>
      </c>
      <c r="G35" s="205" t="s">
        <v>158</v>
      </c>
      <c r="H35" s="32" t="s">
        <v>116</v>
      </c>
      <c r="I35" s="32"/>
      <c r="J35" s="32"/>
      <c r="K35" s="32"/>
    </row>
    <row r="36" spans="1:12" ht="17.100000000000001" customHeight="1" x14ac:dyDescent="0.2">
      <c r="A36" s="32" t="s">
        <v>132</v>
      </c>
      <c r="B36" s="367">
        <f>+EPFS!D41</f>
        <v>-57292.25</v>
      </c>
      <c r="C36" s="394">
        <f>+B36/$J$5</f>
        <v>-32738.428571428572</v>
      </c>
      <c r="D36" s="14">
        <f>+EPFS!D47</f>
        <v>-13076</v>
      </c>
      <c r="E36" s="70">
        <f t="shared" si="1"/>
        <v>-19662.428571428572</v>
      </c>
      <c r="F36" s="389">
        <f>+EPFS!A41</f>
        <v>37171</v>
      </c>
      <c r="G36" s="205" t="s">
        <v>157</v>
      </c>
      <c r="H36" s="32" t="s">
        <v>103</v>
      </c>
      <c r="I36" s="32"/>
      <c r="J36" s="32"/>
      <c r="K36" s="32"/>
    </row>
    <row r="37" spans="1:12" ht="17.100000000000001" customHeight="1" x14ac:dyDescent="0.2">
      <c r="A37" s="206" t="s">
        <v>80</v>
      </c>
      <c r="B37" s="370">
        <f>+Agave!$D$24</f>
        <v>82056.73</v>
      </c>
      <c r="C37" s="395">
        <f>+B37/$J$4</f>
        <v>48268.664705882351</v>
      </c>
      <c r="D37" s="371">
        <f>+Agave!D31</f>
        <v>11444</v>
      </c>
      <c r="E37" s="72">
        <f t="shared" si="1"/>
        <v>36824.664705882351</v>
      </c>
      <c r="F37" s="389">
        <f>+Agave!A24</f>
        <v>37170</v>
      </c>
      <c r="G37" s="205" t="s">
        <v>187</v>
      </c>
      <c r="H37" s="206" t="s">
        <v>103</v>
      </c>
      <c r="I37" s="32"/>
      <c r="J37" s="32"/>
      <c r="K37" s="32"/>
    </row>
    <row r="38" spans="1:12" ht="17.100000000000001" customHeight="1" x14ac:dyDescent="0.2">
      <c r="A38" s="153" t="s">
        <v>167</v>
      </c>
      <c r="B38" s="413">
        <f>SUBTOTAL(9,B24:B37)</f>
        <v>3283057.1900000004</v>
      </c>
      <c r="C38" s="420">
        <f>SUBTOTAL(9,C24:C37)</f>
        <v>1932173.0067226891</v>
      </c>
      <c r="D38" s="421">
        <f>SUBTOTAL(9,D24:D37)</f>
        <v>328698</v>
      </c>
      <c r="E38" s="422">
        <f>SUBTOTAL(9,E24:E37)</f>
        <v>1603475.0067226891</v>
      </c>
      <c r="F38" s="389"/>
      <c r="G38" s="374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168</v>
      </c>
      <c r="B40" s="413">
        <f>SUBTOTAL(9,B12:B37)</f>
        <v>2338973.88</v>
      </c>
      <c r="C40" s="420">
        <f>SUBTOTAL(9,C12:C37)</f>
        <v>1377476.8611344537</v>
      </c>
      <c r="D40" s="421">
        <f>SUBTOTAL(9,D12:D37)</f>
        <v>259693</v>
      </c>
      <c r="E40" s="422">
        <f>SUBTOTAL(9,E12:E37)</f>
        <v>1117783.8611344537</v>
      </c>
      <c r="F40" s="389"/>
      <c r="G40" s="206"/>
      <c r="H40" s="32"/>
      <c r="I40" s="206"/>
      <c r="J40" s="32"/>
      <c r="K40" s="32"/>
      <c r="L40" s="32"/>
    </row>
    <row r="41" spans="1:12" ht="12.95" customHeight="1" x14ac:dyDescent="0.2">
      <c r="A41" s="206"/>
      <c r="B41" s="367"/>
      <c r="C41" s="393"/>
      <c r="D41" s="393"/>
      <c r="E41" s="393"/>
      <c r="F41" s="374"/>
      <c r="G41" s="32"/>
      <c r="I41" s="32"/>
      <c r="J41" s="32"/>
      <c r="K41" s="32"/>
      <c r="L41" s="32"/>
    </row>
    <row r="42" spans="1:12" ht="14.1" customHeight="1" x14ac:dyDescent="0.2"/>
    <row r="43" spans="1:12" ht="12.95" customHeight="1" x14ac:dyDescent="0.2"/>
    <row r="44" spans="1:12" ht="13.5" customHeight="1" x14ac:dyDescent="0.2"/>
    <row r="45" spans="1:12" ht="13.5" customHeight="1" outlineLevel="2" x14ac:dyDescent="0.2">
      <c r="A45" s="34" t="s">
        <v>143</v>
      </c>
      <c r="D45" s="7"/>
      <c r="I45" s="408" t="s">
        <v>79</v>
      </c>
      <c r="J45" s="411"/>
      <c r="K45" s="32"/>
    </row>
    <row r="46" spans="1:12" ht="13.5" customHeight="1" outlineLevel="2" x14ac:dyDescent="0.2">
      <c r="D46" s="7"/>
      <c r="I46" s="409" t="s">
        <v>30</v>
      </c>
      <c r="J46" s="412">
        <f>+J3</f>
        <v>1.6</v>
      </c>
      <c r="K46" s="429">
        <f ca="1">NOW()</f>
        <v>41885.693853472221</v>
      </c>
    </row>
    <row r="47" spans="1:12" ht="13.5" customHeight="1" outlineLevel="2" x14ac:dyDescent="0.2">
      <c r="A47" s="34" t="s">
        <v>149</v>
      </c>
      <c r="C47" s="34" t="s">
        <v>5</v>
      </c>
      <c r="D47" s="7"/>
      <c r="I47" s="410" t="s">
        <v>31</v>
      </c>
      <c r="J47" s="412">
        <f>+J4</f>
        <v>1.7</v>
      </c>
      <c r="K47" s="32"/>
    </row>
    <row r="48" spans="1:12" ht="13.5" customHeight="1" outlineLevel="1" x14ac:dyDescent="0.2">
      <c r="D48" s="7"/>
      <c r="I48" s="409" t="s">
        <v>118</v>
      </c>
      <c r="J48" s="412">
        <f>+J5</f>
        <v>1.75</v>
      </c>
      <c r="K48" s="32"/>
    </row>
    <row r="49" spans="1:19" ht="13.5" customHeight="1" outlineLevel="2" x14ac:dyDescent="0.2"/>
    <row r="50" spans="1:19" ht="13.5" customHeight="1" outlineLevel="2" x14ac:dyDescent="0.2">
      <c r="A50" s="427" t="s">
        <v>170</v>
      </c>
      <c r="B50" s="428"/>
      <c r="E50" s="12" t="s">
        <v>209</v>
      </c>
    </row>
    <row r="51" spans="1:19" ht="13.5" customHeight="1" outlineLevel="2" x14ac:dyDescent="0.2">
      <c r="A51" s="32"/>
      <c r="B51" s="430" t="s">
        <v>200</v>
      </c>
      <c r="C51" s="430" t="s">
        <v>207</v>
      </c>
      <c r="D51" s="430" t="s">
        <v>204</v>
      </c>
      <c r="E51" s="12" t="s">
        <v>210</v>
      </c>
      <c r="F51" s="2" t="s">
        <v>152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">
      <c r="A52" s="391" t="s">
        <v>90</v>
      </c>
      <c r="B52" s="426" t="s">
        <v>0</v>
      </c>
      <c r="C52" s="403" t="s">
        <v>172</v>
      </c>
      <c r="D52" s="39" t="s">
        <v>208</v>
      </c>
      <c r="E52" s="39" t="s">
        <v>211</v>
      </c>
      <c r="F52" s="39" t="s">
        <v>150</v>
      </c>
      <c r="G52" s="415" t="s">
        <v>155</v>
      </c>
      <c r="H52" s="392" t="s">
        <v>102</v>
      </c>
      <c r="I52" s="391" t="s">
        <v>99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">
      <c r="B53" s="294"/>
      <c r="C53" s="250"/>
    </row>
    <row r="54" spans="1:19" ht="13.5" customHeight="1" outlineLevel="1" x14ac:dyDescent="0.2">
      <c r="A54" s="391" t="s">
        <v>161</v>
      </c>
      <c r="B54" s="294"/>
      <c r="C54" s="250"/>
    </row>
    <row r="55" spans="1:19" ht="13.5" customHeight="1" outlineLevel="2" x14ac:dyDescent="0.2">
      <c r="A55" s="32" t="s">
        <v>95</v>
      </c>
      <c r="B55" s="393">
        <f>+Mojave!D40</f>
        <v>160020</v>
      </c>
      <c r="C55" s="367">
        <f>+B55*$J$4</f>
        <v>272034</v>
      </c>
      <c r="D55" s="47">
        <f>+Mojave!D47</f>
        <v>140963.6</v>
      </c>
      <c r="E55" s="47">
        <f>+C55-D55</f>
        <v>131070.39999999999</v>
      </c>
      <c r="F55" s="390">
        <f>+Mojave!A40</f>
        <v>37170</v>
      </c>
      <c r="H55" s="32" t="s">
        <v>101</v>
      </c>
      <c r="I55" s="32" t="s">
        <v>175</v>
      </c>
      <c r="J55" s="32"/>
      <c r="K55" s="32"/>
    </row>
    <row r="56" spans="1:19" ht="15" customHeight="1" outlineLevel="2" x14ac:dyDescent="0.2">
      <c r="A56" s="32" t="s">
        <v>33</v>
      </c>
      <c r="B56" s="394">
        <f>+SoCal!F40</f>
        <v>298254</v>
      </c>
      <c r="C56" s="367">
        <f>+B56*$J$4</f>
        <v>507031.8</v>
      </c>
      <c r="D56" s="47">
        <f>+SoCal!D47</f>
        <v>740676.9</v>
      </c>
      <c r="E56" s="47">
        <f>+C56-D56</f>
        <v>-233645.10000000003</v>
      </c>
      <c r="F56" s="390">
        <f>+SoCal!A40</f>
        <v>37171</v>
      </c>
      <c r="H56" s="32" t="s">
        <v>103</v>
      </c>
      <c r="I56" s="32"/>
      <c r="J56" s="32"/>
      <c r="K56" s="32"/>
    </row>
    <row r="57" spans="1:19" ht="15" customHeight="1" outlineLevel="2" x14ac:dyDescent="0.2">
      <c r="A57" s="32" t="s">
        <v>188</v>
      </c>
      <c r="B57" s="393">
        <f>+'El Paso'!C39</f>
        <v>56573</v>
      </c>
      <c r="C57" s="367">
        <f>+B57*$J$4</f>
        <v>96174.099999999991</v>
      </c>
      <c r="D57" s="47">
        <f>+'El Paso'!C46</f>
        <v>-1596048.7</v>
      </c>
      <c r="E57" s="47">
        <f>+C57-D57</f>
        <v>1692222.8</v>
      </c>
      <c r="F57" s="390">
        <f>+'El Paso'!A39</f>
        <v>37170</v>
      </c>
      <c r="G57" s="450"/>
      <c r="H57" s="32" t="s">
        <v>101</v>
      </c>
      <c r="I57" s="32" t="s">
        <v>179</v>
      </c>
      <c r="J57" s="32"/>
      <c r="K57" s="32"/>
    </row>
    <row r="58" spans="1:19" ht="15" customHeight="1" outlineLevel="1" x14ac:dyDescent="0.2">
      <c r="A58" s="32" t="s">
        <v>115</v>
      </c>
      <c r="B58" s="395">
        <f>+'PG&amp;E'!D40</f>
        <v>76041</v>
      </c>
      <c r="C58" s="370">
        <f>+B58*$J$4</f>
        <v>129269.7</v>
      </c>
      <c r="D58" s="370">
        <f>+'PG&amp;E'!D47</f>
        <v>-43875.4</v>
      </c>
      <c r="E58" s="370">
        <f>+C58-D58</f>
        <v>173145.1</v>
      </c>
      <c r="F58" s="390">
        <f>+'PG&amp;E'!A40</f>
        <v>37171</v>
      </c>
      <c r="H58" s="32" t="s">
        <v>103</v>
      </c>
      <c r="I58" s="32"/>
      <c r="J58" s="32"/>
      <c r="K58" s="32"/>
    </row>
    <row r="59" spans="1:19" ht="15" customHeight="1" x14ac:dyDescent="0.2">
      <c r="A59" s="2" t="s">
        <v>162</v>
      </c>
      <c r="B59" s="420">
        <f>SUBTOTAL(9,B55:B58)</f>
        <v>590888</v>
      </c>
      <c r="C59" s="413">
        <f>SUBTOTAL(9,C55:C58)</f>
        <v>1004509.6</v>
      </c>
      <c r="D59" s="413">
        <f>SUBTOTAL(9,D55:D58)</f>
        <v>-758283.6</v>
      </c>
      <c r="E59" s="413">
        <f>SUBTOTAL(9,E55:E58)</f>
        <v>1762793.2000000002</v>
      </c>
      <c r="F59" s="390"/>
      <c r="G59" s="205"/>
      <c r="H59" s="32"/>
      <c r="I59" s="32"/>
      <c r="J59" s="32"/>
      <c r="K59" s="32"/>
    </row>
    <row r="60" spans="1:19" ht="12.95" customHeight="1" x14ac:dyDescent="0.2">
      <c r="B60" s="294"/>
      <c r="C60" s="250"/>
      <c r="G60" s="205"/>
    </row>
    <row r="61" spans="1:19" ht="15" customHeight="1" x14ac:dyDescent="0.2">
      <c r="A61" s="391" t="s">
        <v>58</v>
      </c>
      <c r="B61" s="294"/>
      <c r="C61" s="250"/>
      <c r="G61" s="205"/>
    </row>
    <row r="62" spans="1:19" x14ac:dyDescent="0.2">
      <c r="A62" s="206" t="s">
        <v>29</v>
      </c>
      <c r="B62" s="393">
        <f>+williams!J40</f>
        <v>225951</v>
      </c>
      <c r="C62" s="367">
        <f>+B62*$J$3</f>
        <v>361521.60000000003</v>
      </c>
      <c r="D62" s="47">
        <f>+williams!D48</f>
        <v>1203021.3999999999</v>
      </c>
      <c r="E62" s="47">
        <f>+C62-D62</f>
        <v>-841499.79999999981</v>
      </c>
      <c r="F62" s="389">
        <f>+williams!A40</f>
        <v>37171</v>
      </c>
      <c r="G62" s="205" t="s">
        <v>157</v>
      </c>
      <c r="H62" s="206" t="s">
        <v>148</v>
      </c>
      <c r="I62" s="32" t="s">
        <v>178</v>
      </c>
      <c r="J62" s="32"/>
      <c r="K62" s="32"/>
    </row>
    <row r="63" spans="1:19" x14ac:dyDescent="0.2">
      <c r="A63" s="32" t="s">
        <v>24</v>
      </c>
      <c r="B63" s="393">
        <f>+'Red C'!F43</f>
        <v>158988</v>
      </c>
      <c r="C63" s="368">
        <f>+B63*J3</f>
        <v>254380.80000000002</v>
      </c>
      <c r="D63" s="202">
        <f>+'Red C'!D52</f>
        <v>706357.6</v>
      </c>
      <c r="E63" s="47">
        <f>+C63-D63</f>
        <v>-451976.79999999993</v>
      </c>
      <c r="F63" s="389">
        <f>+'Red C'!B43</f>
        <v>37171</v>
      </c>
      <c r="G63" s="205" t="s">
        <v>157</v>
      </c>
      <c r="H63" s="32" t="s">
        <v>116</v>
      </c>
      <c r="I63" s="32" t="s">
        <v>176</v>
      </c>
      <c r="J63" s="32"/>
      <c r="K63" s="32"/>
    </row>
    <row r="64" spans="1:19" x14ac:dyDescent="0.2">
      <c r="A64" s="32" t="s">
        <v>6</v>
      </c>
      <c r="B64" s="393">
        <f>+Amoco!D40</f>
        <v>46855</v>
      </c>
      <c r="C64" s="367">
        <f>+B64*$J$3</f>
        <v>74968</v>
      </c>
      <c r="D64" s="47">
        <f>+Amoco!D47</f>
        <v>427450.4</v>
      </c>
      <c r="E64" s="47">
        <f>+C64-D64</f>
        <v>-352482.4</v>
      </c>
      <c r="F64" s="390">
        <f>+Amoco!A40</f>
        <v>37171</v>
      </c>
      <c r="G64" s="205" t="s">
        <v>157</v>
      </c>
      <c r="H64" s="32" t="s">
        <v>116</v>
      </c>
      <c r="I64" s="32" t="s">
        <v>177</v>
      </c>
      <c r="J64" s="32"/>
      <c r="K64" s="32"/>
    </row>
    <row r="65" spans="1:12" x14ac:dyDescent="0.2">
      <c r="A65" s="32" t="s">
        <v>189</v>
      </c>
      <c r="B65" s="393">
        <f>+'El Paso'!E39</f>
        <v>-75692</v>
      </c>
      <c r="C65" s="367">
        <f>+B65*$J$3</f>
        <v>-121107.20000000001</v>
      </c>
      <c r="D65" s="47">
        <f>+'El Paso'!F46</f>
        <v>-670341.69999999995</v>
      </c>
      <c r="E65" s="47">
        <f>+C65-D65</f>
        <v>549234.5</v>
      </c>
      <c r="F65" s="390">
        <f>+'El Paso'!A39</f>
        <v>37170</v>
      </c>
      <c r="G65" s="450"/>
      <c r="H65" s="32" t="s">
        <v>101</v>
      </c>
      <c r="I65" s="32" t="s">
        <v>179</v>
      </c>
      <c r="J65" s="32"/>
      <c r="K65" s="32"/>
    </row>
    <row r="66" spans="1:12" x14ac:dyDescent="0.2">
      <c r="A66" s="32" t="s">
        <v>1</v>
      </c>
      <c r="B66" s="395">
        <f>+NW!$F$41</f>
        <v>62369</v>
      </c>
      <c r="C66" s="370">
        <f>+B66*$J$3</f>
        <v>99790.400000000009</v>
      </c>
      <c r="D66" s="370">
        <f>+NW!E49</f>
        <v>-329155.20000000001</v>
      </c>
      <c r="E66" s="370">
        <f>+C66-D66</f>
        <v>428945.60000000003</v>
      </c>
      <c r="F66" s="389">
        <f>+NW!B41</f>
        <v>37171</v>
      </c>
      <c r="G66" s="205" t="s">
        <v>157</v>
      </c>
      <c r="H66" s="32" t="s">
        <v>116</v>
      </c>
      <c r="I66" s="32"/>
      <c r="J66" s="32"/>
      <c r="K66" s="32"/>
    </row>
    <row r="67" spans="1:12" x14ac:dyDescent="0.2">
      <c r="A67" s="32" t="s">
        <v>163</v>
      </c>
      <c r="B67" s="420">
        <f>SUBTOTAL(9,B62:B66)</f>
        <v>418471</v>
      </c>
      <c r="C67" s="413">
        <f>SUBTOTAL(9,C62:C66)</f>
        <v>669553.6</v>
      </c>
      <c r="D67" s="413">
        <f>SUBTOTAL(9,D62:D66)</f>
        <v>1337332.5</v>
      </c>
      <c r="E67" s="413">
        <f>SUBTOTAL(9,E62:E66)</f>
        <v>-667778.89999999944</v>
      </c>
      <c r="F67" s="389"/>
      <c r="G67" s="205"/>
      <c r="H67" s="32"/>
      <c r="I67" s="32"/>
      <c r="J67" s="32"/>
      <c r="K67" s="32"/>
    </row>
    <row r="68" spans="1:12" x14ac:dyDescent="0.2">
      <c r="B68" s="294"/>
      <c r="C68" s="250"/>
      <c r="G68" s="205"/>
    </row>
    <row r="69" spans="1:12" x14ac:dyDescent="0.2">
      <c r="A69" s="391" t="s">
        <v>165</v>
      </c>
      <c r="B69" s="294"/>
      <c r="C69" s="250"/>
      <c r="G69" s="205"/>
    </row>
    <row r="70" spans="1:12" x14ac:dyDescent="0.2">
      <c r="A70" s="32" t="s">
        <v>89</v>
      </c>
      <c r="B70" s="393">
        <f>+NGPL!F38</f>
        <v>129823</v>
      </c>
      <c r="C70" s="367">
        <f>+B70*$J$4</f>
        <v>220699.1</v>
      </c>
      <c r="D70" s="47">
        <f>+NGPL!D45</f>
        <v>336393</v>
      </c>
      <c r="E70" s="47">
        <f>+C70-D70</f>
        <v>-115693.9</v>
      </c>
      <c r="F70" s="390">
        <f>+NGPL!A38</f>
        <v>37170</v>
      </c>
      <c r="G70" s="205"/>
      <c r="H70" s="32" t="s">
        <v>116</v>
      </c>
      <c r="I70" s="32"/>
      <c r="J70" s="32"/>
      <c r="K70" s="32"/>
    </row>
    <row r="71" spans="1:12" x14ac:dyDescent="0.2">
      <c r="A71" s="32" t="s">
        <v>145</v>
      </c>
      <c r="B71" s="393">
        <f>+PEPL!D41</f>
        <v>3069</v>
      </c>
      <c r="C71" s="368">
        <f>+B71*$J$4</f>
        <v>5217.3</v>
      </c>
      <c r="D71" s="47">
        <f>+PEPL!D47</f>
        <v>-91161.9</v>
      </c>
      <c r="E71" s="47">
        <f>+C71-D71</f>
        <v>96379.199999999997</v>
      </c>
      <c r="F71" s="390">
        <f>+PEPL!A41</f>
        <v>37171</v>
      </c>
      <c r="H71" s="32" t="s">
        <v>101</v>
      </c>
      <c r="I71" s="32" t="s">
        <v>144</v>
      </c>
      <c r="J71" s="32"/>
      <c r="K71" s="32"/>
    </row>
    <row r="72" spans="1:12" x14ac:dyDescent="0.2">
      <c r="A72" s="32" t="s">
        <v>7</v>
      </c>
      <c r="B72" s="394">
        <f>+Oasis!D40</f>
        <v>47554</v>
      </c>
      <c r="C72" s="367">
        <f>+B72*$J$4</f>
        <v>80841.8</v>
      </c>
      <c r="D72" s="47">
        <f>+Oasis!D47</f>
        <v>-251385.8</v>
      </c>
      <c r="E72" s="47">
        <f>+C72-D72</f>
        <v>332227.59999999998</v>
      </c>
      <c r="F72" s="390">
        <f>+Oasis!B40</f>
        <v>37170</v>
      </c>
      <c r="H72" s="32" t="s">
        <v>103</v>
      </c>
      <c r="I72" s="32"/>
      <c r="J72" s="32"/>
      <c r="K72" s="32"/>
    </row>
    <row r="73" spans="1:12" x14ac:dyDescent="0.2">
      <c r="A73" s="32" t="s">
        <v>32</v>
      </c>
      <c r="B73" s="397">
        <f>+Lonestar!F42</f>
        <v>69226</v>
      </c>
      <c r="C73" s="370">
        <f>+B73*$J$4</f>
        <v>117684.2</v>
      </c>
      <c r="D73" s="370">
        <f>+Lonestar!D49</f>
        <v>64614.400000000001</v>
      </c>
      <c r="E73" s="370">
        <f>+C73-D73</f>
        <v>53069.799999999996</v>
      </c>
      <c r="F73" s="389">
        <f>+Lonestar!B42</f>
        <v>37171</v>
      </c>
      <c r="H73" s="32" t="s">
        <v>103</v>
      </c>
      <c r="I73" s="32"/>
      <c r="J73" s="32"/>
      <c r="K73" s="32"/>
    </row>
    <row r="74" spans="1:12" x14ac:dyDescent="0.2">
      <c r="A74" s="2" t="s">
        <v>166</v>
      </c>
      <c r="B74" s="414">
        <f>SUBTOTAL(9,B70:B73)</f>
        <v>249672</v>
      </c>
      <c r="C74" s="413">
        <f>SUBTOTAL(9,C70:C73)</f>
        <v>424442.4</v>
      </c>
      <c r="D74" s="413">
        <f>SUBTOTAL(9,D70:D73)</f>
        <v>58459.700000000019</v>
      </c>
      <c r="E74" s="413">
        <f>SUBTOTAL(9,E70:E73)</f>
        <v>365982.69999999995</v>
      </c>
      <c r="F74" s="389"/>
      <c r="H74" s="32"/>
      <c r="I74" s="32"/>
      <c r="J74" s="32"/>
      <c r="K74" s="32"/>
    </row>
    <row r="75" spans="1:12" x14ac:dyDescent="0.2">
      <c r="B75" s="294"/>
      <c r="C75" s="250"/>
    </row>
    <row r="76" spans="1:12" x14ac:dyDescent="0.2">
      <c r="A76" s="2" t="s">
        <v>171</v>
      </c>
      <c r="B76" s="414">
        <f>SUBTOTAL(9,B55:B73)</f>
        <v>1259031</v>
      </c>
      <c r="C76" s="413">
        <f>SUBTOTAL(9,C55:C73)</f>
        <v>2098505.6</v>
      </c>
      <c r="D76" s="413">
        <f>SUBTOTAL(9,D55:D73)</f>
        <v>637508.6</v>
      </c>
      <c r="E76" s="413">
        <f>SUBTOTAL(9,E55:E73)</f>
        <v>1460997.0000000007</v>
      </c>
      <c r="F76" s="389"/>
      <c r="H76" s="32"/>
      <c r="I76" s="32"/>
      <c r="J76" s="32"/>
      <c r="K76" s="32"/>
    </row>
    <row r="77" spans="1:12" x14ac:dyDescent="0.2">
      <c r="A77" s="32"/>
      <c r="B77" s="367"/>
      <c r="C77" s="394"/>
      <c r="D77" s="367"/>
      <c r="E77" s="367"/>
      <c r="F77" s="389"/>
      <c r="H77" s="32"/>
      <c r="I77" s="32"/>
      <c r="J77" s="32"/>
      <c r="K77" s="32"/>
    </row>
    <row r="78" spans="1:12" x14ac:dyDescent="0.2">
      <c r="A78" s="32"/>
      <c r="B78" s="370"/>
      <c r="C78" s="393"/>
      <c r="D78" s="302"/>
      <c r="E78" s="302"/>
      <c r="F78" s="389"/>
      <c r="G78" s="32"/>
      <c r="I78" s="32"/>
      <c r="J78" s="32"/>
      <c r="K78" s="32"/>
      <c r="L78" s="32"/>
    </row>
    <row r="79" spans="1:12" ht="13.5" thickBot="1" x14ac:dyDescent="0.25">
      <c r="A79" s="2" t="s">
        <v>173</v>
      </c>
      <c r="B79" s="423">
        <f>+C76+B40</f>
        <v>4437479.4800000004</v>
      </c>
      <c r="C79" s="208"/>
      <c r="D79" s="367"/>
      <c r="E79" s="367"/>
      <c r="F79" s="374"/>
      <c r="H79" s="32"/>
      <c r="I79" s="32"/>
      <c r="J79" s="32"/>
      <c r="K79" s="32"/>
    </row>
    <row r="80" spans="1:12" ht="13.5" thickTop="1" x14ac:dyDescent="0.2">
      <c r="A80" s="2" t="s">
        <v>174</v>
      </c>
      <c r="B80" s="14">
        <f>+B76+C40</f>
        <v>2636507.8611344537</v>
      </c>
      <c r="C80" s="396"/>
      <c r="D80" s="452"/>
      <c r="E80" s="302"/>
      <c r="F80" s="374"/>
      <c r="G80" s="32"/>
      <c r="H80" s="32"/>
      <c r="I80" s="32"/>
      <c r="J80" s="32"/>
    </row>
    <row r="81" spans="1:10" x14ac:dyDescent="0.2">
      <c r="A81" s="32"/>
      <c r="B81" s="47"/>
      <c r="C81" s="398"/>
      <c r="D81" s="302"/>
      <c r="E81" s="302"/>
      <c r="F81" s="206"/>
      <c r="G81" s="32"/>
      <c r="H81" s="32"/>
      <c r="I81" s="32"/>
      <c r="J81" s="32"/>
    </row>
    <row r="82" spans="1:10" x14ac:dyDescent="0.2">
      <c r="A82" s="32"/>
      <c r="B82" s="47"/>
      <c r="C82" s="69"/>
      <c r="E82" s="32"/>
      <c r="F82" s="32"/>
      <c r="G82" s="32"/>
      <c r="H82" s="32"/>
      <c r="I82" s="32"/>
    </row>
    <row r="83" spans="1:10" x14ac:dyDescent="0.2">
      <c r="A83" s="32"/>
      <c r="B83" s="47"/>
      <c r="C83" s="69"/>
      <c r="D83" s="32"/>
      <c r="E83" s="32"/>
      <c r="F83" s="32"/>
      <c r="G83" s="32"/>
      <c r="H83" s="32"/>
    </row>
    <row r="84" spans="1:10" x14ac:dyDescent="0.2">
      <c r="A84" s="32"/>
      <c r="B84" s="202"/>
      <c r="C84" s="303"/>
      <c r="D84" s="16"/>
      <c r="E84" s="32"/>
      <c r="F84" s="32"/>
      <c r="G84" s="32"/>
      <c r="H84" s="32"/>
    </row>
    <row r="90" spans="1:10" x14ac:dyDescent="0.2">
      <c r="A90" s="32"/>
      <c r="B90" s="202"/>
      <c r="C90" s="69"/>
      <c r="D90" s="70"/>
      <c r="E90" s="32"/>
      <c r="F90" s="32"/>
      <c r="G90" s="32"/>
      <c r="H90" s="32"/>
    </row>
    <row r="91" spans="1:10" x14ac:dyDescent="0.2">
      <c r="A91" s="32"/>
      <c r="B91" s="47"/>
      <c r="C91" s="14"/>
      <c r="D91" s="32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202"/>
      <c r="C93" s="14"/>
      <c r="D93" s="70"/>
      <c r="E93" s="32"/>
      <c r="F93" s="32"/>
      <c r="G93" s="32"/>
      <c r="H93" s="32"/>
    </row>
    <row r="94" spans="1:10" x14ac:dyDescent="0.2">
      <c r="A94" s="32"/>
      <c r="B94" s="202"/>
      <c r="C94" s="69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32"/>
      <c r="E95" s="32"/>
      <c r="F95" s="32"/>
      <c r="G95" s="32"/>
      <c r="H95" s="32"/>
    </row>
    <row r="96" spans="1:10" x14ac:dyDescent="0.2">
      <c r="A96" s="32"/>
      <c r="B96" s="202"/>
      <c r="C96" s="387"/>
      <c r="D96" s="32"/>
      <c r="E96" s="32"/>
      <c r="F96" s="32"/>
      <c r="G96" s="32"/>
      <c r="H96" s="32"/>
    </row>
    <row r="97" spans="1:8" x14ac:dyDescent="0.2">
      <c r="A97" s="32"/>
      <c r="B97" s="47"/>
      <c r="C97" s="69"/>
      <c r="D97" s="32"/>
      <c r="E97" s="32"/>
      <c r="F97" s="32"/>
      <c r="G97" s="32"/>
      <c r="H97" s="32"/>
    </row>
    <row r="98" spans="1:8" x14ac:dyDescent="0.2">
      <c r="A98" s="32"/>
      <c r="B98" s="47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C122" s="69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9" workbookViewId="3">
      <selection activeCell="C32" sqref="C32"/>
    </sheetView>
  </sheetViews>
  <sheetFormatPr defaultRowHeight="12.75" x14ac:dyDescent="0.2"/>
  <cols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194</v>
      </c>
      <c r="C4" s="293"/>
      <c r="D4" s="293"/>
      <c r="E4" s="3"/>
      <c r="F4" s="1"/>
      <c r="I4" s="3"/>
      <c r="J4" s="1"/>
      <c r="M4" s="3"/>
      <c r="N4" s="1"/>
    </row>
    <row r="5" spans="1:16" x14ac:dyDescent="0.2">
      <c r="A5" s="361" t="s">
        <v>11</v>
      </c>
      <c r="B5" s="492" t="s">
        <v>20</v>
      </c>
      <c r="C5" s="492" t="s">
        <v>21</v>
      </c>
      <c r="D5" s="492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93">
        <v>1</v>
      </c>
      <c r="B6" s="441">
        <v>138803</v>
      </c>
      <c r="C6" s="441">
        <v>136722</v>
      </c>
      <c r="D6" s="319">
        <f>+C6-B6</f>
        <v>-2081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93">
        <v>2</v>
      </c>
      <c r="B7" s="501">
        <v>134400</v>
      </c>
      <c r="C7" s="441">
        <v>136722</v>
      </c>
      <c r="D7" s="319">
        <f>+C7-B7</f>
        <v>2322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93">
        <v>3</v>
      </c>
      <c r="B8" s="501">
        <v>160965</v>
      </c>
      <c r="C8" s="441">
        <v>159041</v>
      </c>
      <c r="D8" s="319">
        <f t="shared" ref="D8:D36" si="0">+C8-B8</f>
        <v>-1924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93">
        <v>4</v>
      </c>
      <c r="B9" s="501">
        <v>159527</v>
      </c>
      <c r="C9" s="441">
        <v>157036</v>
      </c>
      <c r="D9" s="319">
        <f t="shared" si="0"/>
        <v>-2491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93">
        <v>5</v>
      </c>
      <c r="B10" s="501">
        <v>159470</v>
      </c>
      <c r="C10" s="441">
        <v>157036</v>
      </c>
      <c r="D10" s="319">
        <f t="shared" si="0"/>
        <v>-2434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93">
        <v>6</v>
      </c>
      <c r="B11" s="501">
        <v>140398</v>
      </c>
      <c r="C11" s="441">
        <v>138664</v>
      </c>
      <c r="D11" s="319">
        <f t="shared" si="0"/>
        <v>-1734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93">
        <v>7</v>
      </c>
      <c r="B12" s="501">
        <v>138409</v>
      </c>
      <c r="C12" s="441">
        <v>137035</v>
      </c>
      <c r="D12" s="319">
        <f t="shared" si="0"/>
        <v>-1374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93">
        <v>8</v>
      </c>
      <c r="B13" s="441"/>
      <c r="C13" s="441"/>
      <c r="D13" s="319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93">
        <v>9</v>
      </c>
      <c r="B14" s="441"/>
      <c r="C14" s="441"/>
      <c r="D14" s="319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93">
        <v>10</v>
      </c>
      <c r="B15" s="441"/>
      <c r="C15" s="441"/>
      <c r="D15" s="319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93">
        <v>11</v>
      </c>
      <c r="B16" s="441"/>
      <c r="C16" s="441"/>
      <c r="D16" s="319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93">
        <v>12</v>
      </c>
      <c r="B17" s="441"/>
      <c r="C17" s="441"/>
      <c r="D17" s="319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93">
        <v>13</v>
      </c>
      <c r="B18" s="441"/>
      <c r="C18" s="441"/>
      <c r="D18" s="319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93">
        <v>14</v>
      </c>
      <c r="B19" s="441"/>
      <c r="C19" s="441"/>
      <c r="D19" s="319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93">
        <v>15</v>
      </c>
      <c r="B20" s="441"/>
      <c r="C20" s="441"/>
      <c r="D20" s="319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93">
        <v>16</v>
      </c>
      <c r="B21" s="441"/>
      <c r="C21" s="441"/>
      <c r="D21" s="319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93">
        <v>17</v>
      </c>
      <c r="B22" s="503"/>
      <c r="C22" s="441"/>
      <c r="D22" s="319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93">
        <v>18</v>
      </c>
      <c r="B23" s="441"/>
      <c r="C23" s="441"/>
      <c r="D23" s="319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93">
        <v>19</v>
      </c>
      <c r="B24" s="441"/>
      <c r="C24" s="441"/>
      <c r="D24" s="319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93">
        <v>20</v>
      </c>
      <c r="B25" s="441"/>
      <c r="C25" s="441"/>
      <c r="D25" s="319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93">
        <v>21</v>
      </c>
      <c r="B26" s="441"/>
      <c r="C26" s="441"/>
      <c r="D26" s="319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93">
        <v>22</v>
      </c>
      <c r="B27" s="441"/>
      <c r="C27" s="441"/>
      <c r="D27" s="319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93">
        <v>23</v>
      </c>
      <c r="B28" s="441"/>
      <c r="C28" s="441"/>
      <c r="D28" s="319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93">
        <v>24</v>
      </c>
      <c r="B29" s="441"/>
      <c r="C29" s="441"/>
      <c r="D29" s="319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93">
        <v>25</v>
      </c>
      <c r="B30" s="441"/>
      <c r="C30" s="441"/>
      <c r="D30" s="319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93">
        <v>26</v>
      </c>
      <c r="B31" s="441"/>
      <c r="C31" s="441"/>
      <c r="D31" s="319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93">
        <v>27</v>
      </c>
      <c r="B32" s="441"/>
      <c r="C32" s="441"/>
      <c r="D32" s="319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93">
        <v>28</v>
      </c>
      <c r="B33" s="441"/>
      <c r="C33" s="441"/>
      <c r="D33" s="319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93">
        <v>29</v>
      </c>
      <c r="B34" s="441"/>
      <c r="C34" s="441"/>
      <c r="D34" s="319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93">
        <v>30</v>
      </c>
      <c r="B35" s="441"/>
      <c r="C35" s="441"/>
      <c r="D35" s="319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93">
        <v>31</v>
      </c>
      <c r="B36" s="441"/>
      <c r="C36" s="441"/>
      <c r="D36" s="319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93"/>
      <c r="B37" s="441">
        <f>SUM(B6:B36)</f>
        <v>1031972</v>
      </c>
      <c r="C37" s="441">
        <f>SUM(C6:C36)</f>
        <v>1022256</v>
      </c>
      <c r="D37" s="441">
        <f>SUM(D6:D36)</f>
        <v>-9716</v>
      </c>
      <c r="E37" s="10"/>
      <c r="F37" s="11"/>
      <c r="G37" s="11"/>
      <c r="H37" s="129"/>
      <c r="I37" s="266"/>
      <c r="J37" s="129"/>
      <c r="K37" s="129"/>
      <c r="L37" s="129"/>
      <c r="M37" s="10"/>
      <c r="N37" s="11"/>
      <c r="O37" s="11"/>
      <c r="P37" s="11"/>
    </row>
    <row r="38" spans="1:16" x14ac:dyDescent="0.2">
      <c r="A38" s="494"/>
      <c r="B38" s="293"/>
      <c r="C38" s="495"/>
      <c r="D38" s="293"/>
      <c r="E38" s="26"/>
      <c r="G38" s="14"/>
      <c r="H38" s="248"/>
      <c r="I38" s="267"/>
      <c r="J38" s="248"/>
      <c r="K38" s="268"/>
      <c r="L38" s="248"/>
      <c r="M38" s="26"/>
      <c r="O38" s="14"/>
    </row>
    <row r="39" spans="1:16" x14ac:dyDescent="0.2">
      <c r="A39" s="56">
        <v>37164</v>
      </c>
      <c r="B39" s="293"/>
      <c r="C39" s="498"/>
      <c r="D39" s="502">
        <v>56571</v>
      </c>
      <c r="E39" s="57"/>
      <c r="G39" s="15"/>
      <c r="H39" s="51"/>
      <c r="I39" s="269"/>
      <c r="J39" s="248"/>
      <c r="K39" s="270"/>
      <c r="L39" s="51"/>
      <c r="M39" s="57"/>
      <c r="O39" s="15"/>
      <c r="P39" s="24"/>
    </row>
    <row r="40" spans="1:16" x14ac:dyDescent="0.2">
      <c r="A40" s="56">
        <v>37171</v>
      </c>
      <c r="B40" s="293"/>
      <c r="C40" s="500"/>
      <c r="D40" s="319">
        <f>+D39+D37</f>
        <v>46855</v>
      </c>
      <c r="E40" s="57"/>
      <c r="G40" s="48"/>
      <c r="H40" s="131"/>
      <c r="I40" s="269"/>
      <c r="J40" s="248"/>
      <c r="K40" s="271"/>
      <c r="L40" s="131"/>
      <c r="M40" s="57"/>
      <c r="O40" s="48"/>
      <c r="P40" s="130"/>
    </row>
    <row r="41" spans="1:16" x14ac:dyDescent="0.2">
      <c r="C41" s="47"/>
      <c r="H41" s="248"/>
      <c r="I41" s="248"/>
      <c r="J41" s="248"/>
      <c r="K41" s="248"/>
      <c r="L41" s="248"/>
    </row>
    <row r="42" spans="1:16" x14ac:dyDescent="0.2">
      <c r="A42" s="57"/>
      <c r="C42" s="50"/>
      <c r="D42" s="25"/>
      <c r="H42" s="248"/>
      <c r="I42" s="248"/>
      <c r="J42" s="248"/>
      <c r="K42" s="248"/>
      <c r="L42" s="248"/>
    </row>
    <row r="43" spans="1:16" x14ac:dyDescent="0.2">
      <c r="A43" s="57"/>
      <c r="C43" s="50"/>
      <c r="H43" s="248"/>
      <c r="I43" s="248"/>
      <c r="J43" s="248"/>
      <c r="K43" s="248"/>
      <c r="L43" s="248"/>
    </row>
    <row r="44" spans="1:16" x14ac:dyDescent="0.2">
      <c r="A44" s="32" t="s">
        <v>154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">
      <c r="A45" s="49">
        <f>+A39</f>
        <v>37164</v>
      </c>
      <c r="B45" s="32"/>
      <c r="C45" s="32"/>
      <c r="D45" s="470">
        <v>442996</v>
      </c>
    </row>
    <row r="46" spans="1:16" x14ac:dyDescent="0.2">
      <c r="A46" s="49">
        <f>+A40</f>
        <v>37171</v>
      </c>
      <c r="B46" s="32"/>
      <c r="C46" s="32"/>
      <c r="D46" s="400">
        <f>+D37*'by type_area'!J3</f>
        <v>-15545.6</v>
      </c>
    </row>
    <row r="47" spans="1:16" x14ac:dyDescent="0.2">
      <c r="A47" s="32"/>
      <c r="B47" s="32"/>
      <c r="C47" s="32"/>
      <c r="D47" s="202">
        <f>+D46+D45</f>
        <v>427450.4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4" workbookViewId="3">
      <selection activeCell="E36" sqref="E3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8"/>
      <c r="J6" s="277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2"/>
      <c r="J7" s="276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145353</v>
      </c>
      <c r="C8" s="11">
        <v>146854</v>
      </c>
      <c r="D8" s="11">
        <v>9099</v>
      </c>
      <c r="E8" s="11">
        <v>8482</v>
      </c>
      <c r="F8" s="11">
        <f>+C8-B8+E8-D8</f>
        <v>884</v>
      </c>
      <c r="G8" s="143"/>
      <c r="H8" s="139"/>
      <c r="I8" s="272"/>
      <c r="J8" s="276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148871</v>
      </c>
      <c r="C9" s="11">
        <v>147629</v>
      </c>
      <c r="D9" s="11">
        <v>11309</v>
      </c>
      <c r="E9" s="11">
        <v>11028</v>
      </c>
      <c r="F9" s="11">
        <f t="shared" ref="F9:F39" si="5">+C9-B9+E9-D9</f>
        <v>-1523</v>
      </c>
      <c r="G9" s="143"/>
      <c r="H9" s="139"/>
      <c r="I9" s="272"/>
      <c r="J9" s="276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132260</v>
      </c>
      <c r="C10" s="11">
        <v>131198</v>
      </c>
      <c r="D10" s="11">
        <v>12061</v>
      </c>
      <c r="E10" s="11">
        <v>11023</v>
      </c>
      <c r="F10" s="11">
        <f t="shared" si="5"/>
        <v>-2100</v>
      </c>
      <c r="G10" s="143"/>
      <c r="H10" s="139"/>
      <c r="I10" s="272"/>
      <c r="J10" s="276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158287</v>
      </c>
      <c r="C11" s="11">
        <v>161331</v>
      </c>
      <c r="D11" s="11">
        <v>11215</v>
      </c>
      <c r="E11" s="11">
        <v>10026</v>
      </c>
      <c r="F11" s="11">
        <f t="shared" si="5"/>
        <v>1855</v>
      </c>
      <c r="G11" s="143"/>
      <c r="H11" s="139"/>
      <c r="I11" s="279"/>
      <c r="J11" s="276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150005</v>
      </c>
      <c r="C12" s="11">
        <v>155485</v>
      </c>
      <c r="D12" s="11">
        <v>11187</v>
      </c>
      <c r="E12" s="11">
        <v>10026</v>
      </c>
      <c r="F12" s="11">
        <f t="shared" si="5"/>
        <v>4319</v>
      </c>
      <c r="G12" s="143"/>
      <c r="H12" s="139"/>
      <c r="I12" s="276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147020</v>
      </c>
      <c r="C13" s="11">
        <v>147623</v>
      </c>
      <c r="D13" s="11">
        <v>10981</v>
      </c>
      <c r="E13" s="11">
        <v>10527</v>
      </c>
      <c r="F13" s="11">
        <f t="shared" si="5"/>
        <v>149</v>
      </c>
      <c r="G13" s="143"/>
      <c r="H13" s="139"/>
      <c r="I13" s="276"/>
      <c r="J13" s="276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147379</v>
      </c>
      <c r="C14" s="11">
        <v>147623</v>
      </c>
      <c r="D14" s="11">
        <v>11164</v>
      </c>
      <c r="E14" s="11">
        <v>10527</v>
      </c>
      <c r="F14" s="11">
        <f t="shared" si="5"/>
        <v>-393</v>
      </c>
      <c r="G14" s="143"/>
      <c r="H14" s="139"/>
      <c r="I14" s="276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76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6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6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74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/>
      <c r="C25" s="11"/>
      <c r="D25" s="11"/>
      <c r="E25" s="11"/>
      <c r="F25" s="11">
        <f t="shared" si="5"/>
        <v>0</v>
      </c>
      <c r="G25" s="318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15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15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15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1029175</v>
      </c>
      <c r="C39" s="150">
        <f>SUM(C8:C38)</f>
        <v>1037743</v>
      </c>
      <c r="D39" s="150">
        <f>SUM(D8:D38)</f>
        <v>77016</v>
      </c>
      <c r="E39" s="150">
        <f>SUM(E8:E38)</f>
        <v>71639</v>
      </c>
      <c r="F39" s="11">
        <f t="shared" si="5"/>
        <v>3191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37164</v>
      </c>
      <c r="C42" s="153"/>
      <c r="D42" s="153"/>
      <c r="E42" s="153"/>
      <c r="F42" s="465">
        <v>155797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37171</v>
      </c>
      <c r="C43" s="142"/>
      <c r="D43" s="142"/>
      <c r="E43" s="142"/>
      <c r="F43" s="150">
        <f>+F42+F39</f>
        <v>158988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19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4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159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37164</v>
      </c>
      <c r="B50" s="32"/>
      <c r="C50" s="32"/>
      <c r="D50" s="460">
        <v>701252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37171</v>
      </c>
      <c r="B51" s="32"/>
      <c r="C51" s="32"/>
      <c r="D51" s="400">
        <f>+F39*'by type_area'!J3</f>
        <v>5105.6000000000004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706357.6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9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3" workbookViewId="3">
      <selection activeCell="B41" sqref="B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-89582</v>
      </c>
      <c r="C5" s="24">
        <v>-90050</v>
      </c>
      <c r="D5" s="24">
        <f>+C5-B5</f>
        <v>-468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-89081</v>
      </c>
      <c r="C6" s="51">
        <v>-90000</v>
      </c>
      <c r="D6" s="24">
        <f t="shared" ref="D6:D36" si="0">+C6-B6</f>
        <v>-919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-84203</v>
      </c>
      <c r="C7" s="51">
        <v>-85000</v>
      </c>
      <c r="D7" s="24">
        <f t="shared" si="0"/>
        <v>-797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-85082</v>
      </c>
      <c r="C8" s="51">
        <v>-86388</v>
      </c>
      <c r="D8" s="24">
        <f t="shared" si="0"/>
        <v>-1306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-80771</v>
      </c>
      <c r="C9" s="24">
        <v>-80000</v>
      </c>
      <c r="D9" s="24">
        <f t="shared" si="0"/>
        <v>771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-82815</v>
      </c>
      <c r="C10" s="24">
        <v>-87500</v>
      </c>
      <c r="D10" s="24">
        <f t="shared" si="0"/>
        <v>-4685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2"/>
      <c r="W34" s="302"/>
      <c r="X34" s="302"/>
      <c r="Y34" s="302"/>
      <c r="Z34" s="149"/>
      <c r="AA34" s="150"/>
      <c r="AB34" s="150"/>
      <c r="AC34" s="150"/>
      <c r="AD34" s="302"/>
      <c r="AE34" s="302"/>
      <c r="AF34" s="302"/>
      <c r="AG34" s="302"/>
      <c r="AH34" s="302"/>
      <c r="AI34" s="302"/>
      <c r="AJ34" s="302"/>
      <c r="AK34" s="302"/>
      <c r="AL34" s="302"/>
      <c r="AM34" s="302"/>
      <c r="AN34" s="302"/>
      <c r="AO34" s="302"/>
      <c r="AP34" s="302"/>
      <c r="AQ34" s="302"/>
      <c r="AR34" s="302"/>
      <c r="AS34" s="302"/>
      <c r="AT34" s="302"/>
      <c r="AU34" s="302"/>
      <c r="AV34" s="302"/>
      <c r="AW34" s="302"/>
      <c r="AX34" s="302"/>
      <c r="AY34" s="302"/>
      <c r="AZ34" s="302"/>
      <c r="BA34" s="302"/>
      <c r="BB34" s="302"/>
      <c r="BC34" s="302"/>
      <c r="BD34" s="302"/>
      <c r="BE34" s="302"/>
      <c r="BF34" s="302"/>
      <c r="BG34" s="302"/>
      <c r="BH34" s="302"/>
      <c r="BI34" s="302"/>
      <c r="BJ34" s="302"/>
      <c r="BK34" s="302"/>
      <c r="BL34" s="302"/>
      <c r="BM34" s="302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2"/>
      <c r="W35" s="302"/>
      <c r="X35" s="302"/>
      <c r="Y35" s="302"/>
      <c r="Z35" s="149"/>
      <c r="AA35" s="150"/>
      <c r="AB35" s="150"/>
      <c r="AC35" s="150"/>
      <c r="AD35" s="302"/>
      <c r="AE35" s="302"/>
      <c r="AF35" s="302"/>
      <c r="AG35" s="302"/>
      <c r="AH35" s="302"/>
      <c r="AI35" s="302"/>
      <c r="AJ35" s="302"/>
      <c r="AK35" s="302"/>
      <c r="AL35" s="302"/>
      <c r="AM35" s="302"/>
      <c r="AN35" s="302"/>
      <c r="AO35" s="302"/>
      <c r="AP35" s="302"/>
      <c r="AQ35" s="302"/>
      <c r="AR35" s="302"/>
      <c r="AS35" s="302"/>
      <c r="AT35" s="302"/>
      <c r="AU35" s="302"/>
      <c r="AV35" s="302"/>
      <c r="AW35" s="302"/>
      <c r="AX35" s="302"/>
      <c r="AY35" s="302"/>
      <c r="AZ35" s="302"/>
      <c r="BA35" s="302"/>
      <c r="BB35" s="302"/>
      <c r="BC35" s="302"/>
      <c r="BD35" s="302"/>
      <c r="BE35" s="302"/>
      <c r="BF35" s="302"/>
      <c r="BG35" s="302"/>
      <c r="BH35" s="302"/>
      <c r="BI35" s="302"/>
      <c r="BJ35" s="302"/>
      <c r="BK35" s="302"/>
      <c r="BL35" s="302"/>
      <c r="BM35" s="302"/>
    </row>
    <row r="36" spans="1:65" ht="14.1" customHeight="1" x14ac:dyDescent="0.2">
      <c r="A36" s="12"/>
      <c r="B36" s="24">
        <f>SUM(B5:B35)</f>
        <v>-511534</v>
      </c>
      <c r="C36" s="24">
        <f>SUM(C5:C35)</f>
        <v>-518938</v>
      </c>
      <c r="D36" s="24">
        <f t="shared" si="0"/>
        <v>-7404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2"/>
      <c r="W36" s="302"/>
      <c r="X36" s="302"/>
      <c r="Y36" s="302"/>
      <c r="Z36" s="149"/>
      <c r="AA36" s="150"/>
      <c r="AB36" s="150"/>
      <c r="AC36" s="150"/>
      <c r="AD36" s="302"/>
      <c r="AE36" s="302"/>
      <c r="AF36" s="302"/>
      <c r="AG36" s="302"/>
      <c r="AH36" s="302"/>
      <c r="AI36" s="302"/>
      <c r="AJ36" s="302"/>
      <c r="AK36" s="302"/>
      <c r="AL36" s="302"/>
      <c r="AM36" s="302"/>
      <c r="AN36" s="302"/>
      <c r="AO36" s="302"/>
      <c r="AP36" s="302"/>
      <c r="AQ36" s="302"/>
      <c r="AR36" s="302"/>
      <c r="AS36" s="302"/>
      <c r="AT36" s="302"/>
      <c r="AU36" s="302"/>
      <c r="AV36" s="302"/>
      <c r="AW36" s="302"/>
      <c r="AX36" s="302"/>
      <c r="AY36" s="302"/>
      <c r="AZ36" s="302"/>
      <c r="BA36" s="302"/>
      <c r="BB36" s="302"/>
      <c r="BC36" s="302"/>
      <c r="BD36" s="302"/>
      <c r="BE36" s="302"/>
      <c r="BF36" s="302"/>
      <c r="BG36" s="302"/>
      <c r="BH36" s="302"/>
      <c r="BI36" s="302"/>
      <c r="BJ36" s="302"/>
      <c r="BK36" s="302"/>
      <c r="BL36" s="302"/>
      <c r="BM36" s="302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2"/>
      <c r="W37" s="302"/>
      <c r="X37" s="302"/>
      <c r="Y37" s="302"/>
      <c r="Z37" s="206"/>
      <c r="AA37" s="208"/>
      <c r="AB37" s="208"/>
      <c r="AC37" s="208"/>
      <c r="AD37" s="302"/>
      <c r="AE37" s="302"/>
      <c r="AF37" s="302"/>
      <c r="AG37" s="302"/>
      <c r="AH37" s="302"/>
      <c r="AI37" s="302"/>
      <c r="AJ37" s="302"/>
      <c r="AK37" s="302"/>
      <c r="AL37" s="302"/>
      <c r="AM37" s="302"/>
      <c r="AN37" s="302"/>
      <c r="AO37" s="302"/>
      <c r="AP37" s="302"/>
      <c r="AQ37" s="302"/>
      <c r="AR37" s="302"/>
      <c r="AS37" s="302"/>
      <c r="AT37" s="302"/>
      <c r="AU37" s="302"/>
      <c r="AV37" s="302"/>
      <c r="AW37" s="302"/>
      <c r="AX37" s="302"/>
      <c r="AY37" s="302"/>
      <c r="AZ37" s="302"/>
      <c r="BA37" s="302"/>
      <c r="BB37" s="302"/>
      <c r="BC37" s="302"/>
      <c r="BD37" s="302"/>
      <c r="BE37" s="302"/>
      <c r="BF37" s="302"/>
      <c r="BG37" s="302"/>
      <c r="BH37" s="302"/>
      <c r="BI37" s="302"/>
      <c r="BJ37" s="302"/>
      <c r="BK37" s="302"/>
      <c r="BL37" s="302"/>
      <c r="BM37" s="302"/>
    </row>
    <row r="38" spans="1:65" x14ac:dyDescent="0.2">
      <c r="B38" s="253">
        <v>37164</v>
      </c>
      <c r="C38" s="24"/>
      <c r="D38" s="459">
        <v>54958</v>
      </c>
      <c r="E38" s="2"/>
      <c r="G38" s="24"/>
      <c r="H38" s="24"/>
      <c r="I38" s="150"/>
      <c r="J38" s="302"/>
      <c r="K38" s="150"/>
      <c r="L38" s="150"/>
      <c r="M38" s="150"/>
      <c r="N38" s="302"/>
      <c r="O38" s="150"/>
      <c r="P38" s="150"/>
      <c r="Q38" s="150"/>
      <c r="R38" s="302"/>
      <c r="S38" s="150"/>
      <c r="T38" s="150"/>
      <c r="U38" s="150"/>
      <c r="V38" s="302"/>
      <c r="W38" s="302"/>
      <c r="X38" s="302"/>
      <c r="Y38" s="302"/>
      <c r="Z38" s="302"/>
      <c r="AA38" s="150"/>
      <c r="AB38" s="150"/>
      <c r="AC38" s="150"/>
      <c r="AD38" s="302"/>
      <c r="AE38" s="302"/>
      <c r="AF38" s="302"/>
      <c r="AG38" s="302"/>
      <c r="AH38" s="302"/>
      <c r="AI38" s="302"/>
      <c r="AJ38" s="302"/>
      <c r="AK38" s="302"/>
      <c r="AL38" s="302"/>
      <c r="AM38" s="302"/>
      <c r="AN38" s="302"/>
      <c r="AO38" s="302"/>
      <c r="AP38" s="302"/>
      <c r="AQ38" s="302"/>
      <c r="AR38" s="302"/>
      <c r="AS38" s="302"/>
      <c r="AT38" s="302"/>
      <c r="AU38" s="302"/>
      <c r="AV38" s="302"/>
      <c r="AW38" s="302"/>
      <c r="AX38" s="302"/>
      <c r="AY38" s="302"/>
      <c r="AZ38" s="302"/>
      <c r="BA38" s="302"/>
      <c r="BB38" s="302"/>
      <c r="BC38" s="302"/>
      <c r="BD38" s="302"/>
      <c r="BE38" s="302"/>
      <c r="BF38" s="302"/>
      <c r="BG38" s="302"/>
      <c r="BH38" s="302"/>
      <c r="BI38" s="302"/>
      <c r="BJ38" s="302"/>
      <c r="BK38" s="302"/>
      <c r="BL38" s="302"/>
      <c r="BM38" s="302"/>
    </row>
    <row r="39" spans="1:65" x14ac:dyDescent="0.2">
      <c r="B39" s="253"/>
      <c r="C39" s="24"/>
      <c r="D39" s="24"/>
      <c r="E39" s="2"/>
      <c r="G39" s="24"/>
      <c r="H39" s="24"/>
      <c r="I39" s="150"/>
      <c r="J39" s="302"/>
      <c r="K39" s="150"/>
      <c r="L39" s="150"/>
      <c r="M39" s="150"/>
      <c r="N39" s="302"/>
      <c r="O39" s="150"/>
      <c r="P39" s="150"/>
      <c r="Q39" s="150"/>
      <c r="R39" s="302"/>
      <c r="S39" s="150"/>
      <c r="T39" s="150"/>
      <c r="U39" s="150"/>
      <c r="V39" s="302"/>
      <c r="W39" s="302"/>
      <c r="X39" s="302"/>
      <c r="Y39" s="302"/>
      <c r="Z39" s="302"/>
      <c r="AA39" s="150"/>
      <c r="AB39" s="150"/>
      <c r="AC39" s="150"/>
      <c r="AD39" s="302"/>
      <c r="AE39" s="302"/>
      <c r="AF39" s="302"/>
      <c r="AG39" s="302"/>
      <c r="AH39" s="302"/>
      <c r="AI39" s="302"/>
      <c r="AJ39" s="302"/>
      <c r="AK39" s="302"/>
      <c r="AL39" s="302"/>
      <c r="AM39" s="302"/>
      <c r="AN39" s="302"/>
      <c r="AO39" s="302"/>
      <c r="AP39" s="302"/>
      <c r="AQ39" s="302"/>
      <c r="AR39" s="302"/>
      <c r="AS39" s="302"/>
      <c r="AT39" s="302"/>
      <c r="AU39" s="302"/>
      <c r="AV39" s="302"/>
      <c r="AW39" s="302"/>
      <c r="AX39" s="302"/>
      <c r="AY39" s="302"/>
      <c r="AZ39" s="302"/>
      <c r="BA39" s="302"/>
      <c r="BB39" s="302"/>
      <c r="BC39" s="302"/>
      <c r="BD39" s="302"/>
      <c r="BE39" s="302"/>
      <c r="BF39" s="302"/>
      <c r="BG39" s="302"/>
      <c r="BH39" s="302"/>
      <c r="BI39" s="302"/>
      <c r="BJ39" s="302"/>
      <c r="BK39" s="302"/>
      <c r="BL39" s="302"/>
      <c r="BM39" s="302"/>
    </row>
    <row r="40" spans="1:65" ht="13.5" thickBot="1" x14ac:dyDescent="0.25">
      <c r="B40" s="253">
        <v>37170</v>
      </c>
      <c r="C40" s="24"/>
      <c r="D40" s="195">
        <f>+D36+D38</f>
        <v>47554</v>
      </c>
      <c r="E40" s="196"/>
      <c r="G40" s="24"/>
      <c r="H40" s="24"/>
      <c r="I40" s="150"/>
      <c r="J40" s="302"/>
      <c r="K40" s="150"/>
      <c r="L40" s="150"/>
      <c r="M40" s="150"/>
      <c r="N40" s="302"/>
      <c r="O40" s="150"/>
      <c r="P40" s="150"/>
      <c r="Q40" s="169"/>
      <c r="R40" s="302"/>
      <c r="S40" s="150"/>
      <c r="T40" s="150"/>
      <c r="U40" s="169"/>
      <c r="V40" s="302"/>
      <c r="W40" s="302"/>
      <c r="X40" s="302"/>
      <c r="Y40" s="302"/>
      <c r="Z40" s="302"/>
      <c r="AA40" s="150"/>
      <c r="AB40" s="150"/>
      <c r="AC40" s="169"/>
      <c r="AD40" s="302"/>
      <c r="AE40" s="302"/>
      <c r="AF40" s="302"/>
      <c r="AG40" s="302"/>
      <c r="AH40" s="302"/>
      <c r="AI40" s="302"/>
      <c r="AJ40" s="302"/>
      <c r="AK40" s="302"/>
      <c r="AL40" s="302"/>
      <c r="AM40" s="302"/>
      <c r="AN40" s="302"/>
      <c r="AO40" s="302"/>
      <c r="AP40" s="302"/>
      <c r="AQ40" s="302"/>
      <c r="AR40" s="302"/>
      <c r="AS40" s="302"/>
      <c r="AT40" s="302"/>
      <c r="AU40" s="302"/>
      <c r="AV40" s="302"/>
      <c r="AW40" s="302"/>
      <c r="AX40" s="302"/>
      <c r="AY40" s="302"/>
      <c r="AZ40" s="302"/>
      <c r="BA40" s="302"/>
      <c r="BB40" s="302"/>
      <c r="BC40" s="302"/>
      <c r="BD40" s="302"/>
      <c r="BE40" s="302"/>
      <c r="BF40" s="302"/>
      <c r="BG40" s="302"/>
      <c r="BH40" s="302"/>
      <c r="BI40" s="302"/>
      <c r="BJ40" s="302"/>
      <c r="BK40" s="302"/>
      <c r="BL40" s="302"/>
      <c r="BM40" s="302"/>
    </row>
    <row r="41" spans="1:65" ht="13.5" thickTop="1" x14ac:dyDescent="0.2">
      <c r="B41" s="254"/>
      <c r="C41"/>
      <c r="D41"/>
      <c r="E41" s="2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302"/>
      <c r="Z41" s="302"/>
      <c r="AA41" s="302"/>
      <c r="AB41" s="302"/>
      <c r="AC41" s="302"/>
      <c r="AD41" s="302"/>
      <c r="AE41" s="302"/>
      <c r="AF41" s="302"/>
      <c r="AG41" s="302"/>
      <c r="AH41" s="302"/>
      <c r="AI41" s="302"/>
      <c r="AJ41" s="302"/>
      <c r="AK41" s="302"/>
      <c r="AL41" s="302"/>
      <c r="AM41" s="302"/>
      <c r="AN41" s="302"/>
      <c r="AO41" s="302"/>
      <c r="AP41" s="302"/>
      <c r="AQ41" s="302"/>
      <c r="AR41" s="302"/>
      <c r="AS41" s="302"/>
      <c r="AT41" s="302"/>
      <c r="AU41" s="302"/>
      <c r="AV41" s="302"/>
      <c r="AW41" s="302"/>
      <c r="AX41" s="302"/>
      <c r="AY41" s="302"/>
      <c r="AZ41" s="302"/>
      <c r="BA41" s="302"/>
      <c r="BB41" s="302"/>
      <c r="BC41" s="302"/>
      <c r="BD41" s="302"/>
      <c r="BE41" s="302"/>
      <c r="BF41" s="302"/>
      <c r="BG41" s="302"/>
      <c r="BH41" s="302"/>
      <c r="BI41" s="302"/>
      <c r="BJ41" s="302"/>
      <c r="BK41" s="302"/>
      <c r="BL41" s="302"/>
      <c r="BM41" s="302"/>
    </row>
    <row r="42" spans="1:65" x14ac:dyDescent="0.2">
      <c r="B42" s="2"/>
      <c r="C42"/>
      <c r="D42"/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D42" s="302"/>
      <c r="AE42" s="302"/>
      <c r="AF42" s="302"/>
      <c r="AG42" s="302"/>
      <c r="AH42" s="302"/>
      <c r="AI42" s="302"/>
      <c r="AJ42" s="302"/>
      <c r="AK42" s="302"/>
      <c r="AL42" s="302"/>
      <c r="AM42" s="302"/>
      <c r="AN42" s="302"/>
      <c r="AO42" s="302"/>
      <c r="AP42" s="302"/>
      <c r="AQ42" s="302"/>
      <c r="AR42" s="302"/>
      <c r="AS42" s="302"/>
      <c r="AT42" s="302"/>
      <c r="AU42" s="302"/>
      <c r="AV42" s="302"/>
      <c r="AW42" s="302"/>
      <c r="AX42" s="302"/>
      <c r="AY42" s="302"/>
      <c r="AZ42" s="302"/>
      <c r="BA42" s="302"/>
      <c r="BB42" s="302"/>
      <c r="BC42" s="302"/>
      <c r="BD42" s="302"/>
      <c r="BE42" s="302"/>
      <c r="BF42" s="302"/>
      <c r="BG42" s="302"/>
      <c r="BH42" s="302"/>
      <c r="BI42" s="302"/>
      <c r="BJ42" s="302"/>
      <c r="BK42" s="302"/>
      <c r="BL42" s="302"/>
      <c r="BM42" s="302"/>
    </row>
    <row r="43" spans="1:65" x14ac:dyDescent="0.2">
      <c r="B43"/>
      <c r="C43"/>
      <c r="D43"/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  <c r="T43" s="302"/>
      <c r="U43" s="302"/>
      <c r="V43" s="302"/>
      <c r="W43" s="302"/>
      <c r="X43" s="302"/>
      <c r="Y43" s="302"/>
      <c r="Z43" s="302"/>
      <c r="AA43" s="302"/>
      <c r="AB43" s="302"/>
      <c r="AC43" s="302"/>
      <c r="AD43" s="302"/>
      <c r="AE43" s="302"/>
      <c r="AF43" s="302"/>
      <c r="AG43" s="302"/>
      <c r="AH43" s="302"/>
      <c r="AI43" s="302"/>
      <c r="AJ43" s="302"/>
      <c r="AK43" s="302"/>
      <c r="AL43" s="302"/>
      <c r="AM43" s="302"/>
      <c r="AN43" s="302"/>
      <c r="AO43" s="302"/>
      <c r="AP43" s="302"/>
      <c r="AQ43" s="302"/>
      <c r="AR43" s="302"/>
      <c r="AS43" s="302"/>
      <c r="AT43" s="302"/>
      <c r="AU43" s="302"/>
      <c r="AV43" s="302"/>
      <c r="AW43" s="302"/>
      <c r="AX43" s="302"/>
      <c r="AY43" s="302"/>
      <c r="AZ43" s="302"/>
      <c r="BA43" s="302"/>
      <c r="BB43" s="302"/>
      <c r="BC43" s="302"/>
      <c r="BD43" s="302"/>
      <c r="BE43" s="302"/>
      <c r="BF43" s="302"/>
      <c r="BG43" s="302"/>
      <c r="BH43" s="302"/>
      <c r="BI43" s="302"/>
      <c r="BJ43" s="302"/>
      <c r="BK43" s="302"/>
      <c r="BL43" s="302"/>
      <c r="BM43" s="302"/>
    </row>
    <row r="44" spans="1:65" x14ac:dyDescent="0.2">
      <c r="A44" s="32" t="s">
        <v>154</v>
      </c>
      <c r="B44" s="32"/>
      <c r="C44" s="32"/>
      <c r="D44" s="47"/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  <c r="T44" s="302"/>
      <c r="U44" s="302"/>
      <c r="V44" s="302"/>
      <c r="W44" s="302"/>
      <c r="X44" s="302"/>
      <c r="Y44" s="302"/>
      <c r="Z44" s="302"/>
      <c r="AA44" s="302"/>
      <c r="AB44" s="302"/>
      <c r="AC44" s="302"/>
      <c r="AD44" s="302"/>
      <c r="AE44" s="302"/>
      <c r="AF44" s="302"/>
      <c r="AG44" s="302"/>
      <c r="AH44" s="302"/>
      <c r="AI44" s="302"/>
      <c r="AJ44" s="302"/>
      <c r="AK44" s="302"/>
      <c r="AL44" s="302"/>
      <c r="AM44" s="302"/>
      <c r="AN44" s="302"/>
      <c r="AO44" s="302"/>
      <c r="AP44" s="302"/>
      <c r="AQ44" s="302"/>
      <c r="AR44" s="302"/>
      <c r="AS44" s="302"/>
      <c r="AT44" s="302"/>
      <c r="AU44" s="302"/>
      <c r="AV44" s="302"/>
      <c r="AW44" s="302"/>
      <c r="AX44" s="302"/>
      <c r="AY44" s="302"/>
      <c r="AZ44" s="302"/>
      <c r="BA44" s="302"/>
      <c r="BB44" s="302"/>
      <c r="BC44" s="302"/>
      <c r="BD44" s="302"/>
      <c r="BE44" s="302"/>
      <c r="BF44" s="302"/>
      <c r="BG44" s="302"/>
      <c r="BH44" s="302"/>
      <c r="BI44" s="302"/>
      <c r="BJ44" s="302"/>
      <c r="BK44" s="302"/>
      <c r="BL44" s="302"/>
      <c r="BM44" s="302"/>
    </row>
    <row r="45" spans="1:65" x14ac:dyDescent="0.2">
      <c r="A45" s="49">
        <f>+B38</f>
        <v>37164</v>
      </c>
      <c r="B45" s="32"/>
      <c r="C45" s="32"/>
      <c r="D45" s="460">
        <v>-238799</v>
      </c>
    </row>
    <row r="46" spans="1:65" x14ac:dyDescent="0.2">
      <c r="A46" s="49">
        <f>+B40</f>
        <v>37170</v>
      </c>
      <c r="B46" s="32"/>
      <c r="C46" s="32"/>
      <c r="D46" s="400">
        <f>+D36*'by type_area'!J4</f>
        <v>-12586.8</v>
      </c>
    </row>
    <row r="47" spans="1:65" x14ac:dyDescent="0.2">
      <c r="A47" s="32"/>
      <c r="B47" s="32"/>
      <c r="C47" s="32"/>
      <c r="D47" s="202">
        <f>+D46+D45</f>
        <v>-251385.8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5" workbookViewId="3">
      <selection activeCell="A25" sqref="A25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56339</v>
      </c>
      <c r="B5" s="90">
        <v>203234</v>
      </c>
      <c r="C5" s="90">
        <v>220721</v>
      </c>
      <c r="D5" s="90">
        <f>+C5-B5</f>
        <v>17487</v>
      </c>
      <c r="E5" s="283"/>
      <c r="F5" s="281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3"/>
      <c r="F6" s="281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32009</v>
      </c>
      <c r="C7" s="90">
        <v>40134</v>
      </c>
      <c r="D7" s="90">
        <f t="shared" si="0"/>
        <v>8125</v>
      </c>
      <c r="E7" s="283"/>
      <c r="F7" s="281"/>
      <c r="L7" t="s">
        <v>26</v>
      </c>
      <c r="M7">
        <v>7.6</v>
      </c>
    </row>
    <row r="8" spans="1:13" x14ac:dyDescent="0.2">
      <c r="A8" s="87">
        <v>500239</v>
      </c>
      <c r="B8" s="317">
        <v>31075</v>
      </c>
      <c r="C8" s="90">
        <v>35091</v>
      </c>
      <c r="D8" s="90">
        <f t="shared" si="0"/>
        <v>4016</v>
      </c>
      <c r="E8" s="283"/>
      <c r="F8" s="281"/>
    </row>
    <row r="9" spans="1:13" x14ac:dyDescent="0.2">
      <c r="A9" s="87">
        <v>500293</v>
      </c>
      <c r="B9" s="90">
        <v>47068</v>
      </c>
      <c r="C9" s="90">
        <v>119855</v>
      </c>
      <c r="D9" s="90">
        <f t="shared" si="0"/>
        <v>72787</v>
      </c>
      <c r="E9" s="283"/>
      <c r="F9" s="281"/>
    </row>
    <row r="10" spans="1:13" x14ac:dyDescent="0.2">
      <c r="A10" s="87">
        <v>500302</v>
      </c>
      <c r="B10" s="317"/>
      <c r="C10" s="317">
        <v>1956</v>
      </c>
      <c r="D10" s="90">
        <f t="shared" si="0"/>
        <v>1956</v>
      </c>
      <c r="E10" s="283"/>
      <c r="F10" s="281"/>
    </row>
    <row r="11" spans="1:13" x14ac:dyDescent="0.2">
      <c r="A11" s="87">
        <v>500303</v>
      </c>
      <c r="B11" s="317">
        <v>22184</v>
      </c>
      <c r="C11" s="90">
        <v>68309</v>
      </c>
      <c r="D11" s="90">
        <f t="shared" si="0"/>
        <v>46125</v>
      </c>
      <c r="E11" s="283"/>
      <c r="F11" s="281"/>
    </row>
    <row r="12" spans="1:13" x14ac:dyDescent="0.2">
      <c r="A12" s="91">
        <v>500305</v>
      </c>
      <c r="B12" s="317">
        <v>183682</v>
      </c>
      <c r="C12" s="90">
        <v>176195</v>
      </c>
      <c r="D12" s="90">
        <f t="shared" si="0"/>
        <v>-7487</v>
      </c>
      <c r="E12" s="284"/>
      <c r="F12" s="281"/>
    </row>
    <row r="13" spans="1:13" x14ac:dyDescent="0.2">
      <c r="A13" s="87">
        <v>500307</v>
      </c>
      <c r="B13" s="317">
        <v>4639</v>
      </c>
      <c r="C13" s="90">
        <v>9700</v>
      </c>
      <c r="D13" s="90">
        <f t="shared" si="0"/>
        <v>5061</v>
      </c>
      <c r="E13" s="283"/>
      <c r="F13" s="281"/>
    </row>
    <row r="14" spans="1:13" x14ac:dyDescent="0.2">
      <c r="A14" s="87">
        <v>500313</v>
      </c>
      <c r="B14" s="90"/>
      <c r="C14" s="317"/>
      <c r="D14" s="90">
        <f t="shared" si="0"/>
        <v>0</v>
      </c>
      <c r="E14" s="283"/>
      <c r="F14" s="281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3"/>
      <c r="F15" s="281"/>
    </row>
    <row r="16" spans="1:13" x14ac:dyDescent="0.2">
      <c r="A16" s="87">
        <v>500655</v>
      </c>
      <c r="B16" s="323">
        <v>125164</v>
      </c>
      <c r="C16" s="90"/>
      <c r="D16" s="90">
        <f t="shared" si="0"/>
        <v>-125164</v>
      </c>
      <c r="E16" s="283"/>
      <c r="F16" s="281"/>
    </row>
    <row r="17" spans="1:6" x14ac:dyDescent="0.2">
      <c r="A17" s="87">
        <v>500657</v>
      </c>
      <c r="B17" s="333">
        <v>977</v>
      </c>
      <c r="C17" s="88"/>
      <c r="D17" s="94">
        <f t="shared" si="0"/>
        <v>-977</v>
      </c>
      <c r="E17" s="283"/>
      <c r="F17" s="281"/>
    </row>
    <row r="18" spans="1:6" x14ac:dyDescent="0.2">
      <c r="A18" s="87"/>
      <c r="B18" s="88"/>
      <c r="C18" s="88"/>
      <c r="D18" s="88">
        <f>SUM(D5:D17)</f>
        <v>21929</v>
      </c>
      <c r="E18" s="283"/>
      <c r="F18" s="281"/>
    </row>
    <row r="19" spans="1:6" x14ac:dyDescent="0.2">
      <c r="A19" s="87" t="s">
        <v>82</v>
      </c>
      <c r="B19" s="88"/>
      <c r="C19" s="88"/>
      <c r="D19" s="95">
        <f>+summary!H4</f>
        <v>1.7</v>
      </c>
      <c r="E19" s="285"/>
      <c r="F19" s="281"/>
    </row>
    <row r="20" spans="1:6" x14ac:dyDescent="0.2">
      <c r="A20" s="87"/>
      <c r="B20" s="88"/>
      <c r="C20" s="88"/>
      <c r="D20" s="96">
        <f>+D19*D18</f>
        <v>37279.299999999996</v>
      </c>
      <c r="E20" s="209"/>
      <c r="F20" s="282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37164</v>
      </c>
      <c r="B22" s="88"/>
      <c r="C22" s="88"/>
      <c r="D22" s="473">
        <v>44777.43</v>
      </c>
      <c r="E22" s="209"/>
      <c r="F22" s="66"/>
    </row>
    <row r="23" spans="1:6" x14ac:dyDescent="0.2">
      <c r="A23" s="87"/>
      <c r="B23" s="88"/>
      <c r="C23" s="88"/>
      <c r="D23" s="320"/>
      <c r="E23" s="209"/>
      <c r="F23" s="66"/>
    </row>
    <row r="24" spans="1:6" ht="13.5" thickBot="1" x14ac:dyDescent="0.25">
      <c r="A24" s="99">
        <v>37170</v>
      </c>
      <c r="B24" s="88"/>
      <c r="C24" s="88"/>
      <c r="D24" s="332">
        <f>+D22+D20</f>
        <v>82056.73</v>
      </c>
      <c r="E24" s="209"/>
      <c r="F24" s="66"/>
    </row>
    <row r="25" spans="1:6" ht="13.5" thickTop="1" x14ac:dyDescent="0.2">
      <c r="E25" s="286"/>
    </row>
    <row r="28" spans="1:6" x14ac:dyDescent="0.2">
      <c r="A28" s="32" t="s">
        <v>153</v>
      </c>
      <c r="B28" s="32"/>
      <c r="C28" s="32"/>
      <c r="D28" s="32"/>
    </row>
    <row r="29" spans="1:6" x14ac:dyDescent="0.2">
      <c r="A29" s="49">
        <f>+A22</f>
        <v>37164</v>
      </c>
      <c r="B29" s="32"/>
      <c r="C29" s="32"/>
      <c r="D29" s="468">
        <v>-10485</v>
      </c>
    </row>
    <row r="30" spans="1:6" x14ac:dyDescent="0.2">
      <c r="A30" s="49">
        <f>+A24</f>
        <v>37170</v>
      </c>
      <c r="B30" s="32"/>
      <c r="C30" s="32"/>
      <c r="D30" s="371">
        <f>+D18</f>
        <v>21929</v>
      </c>
    </row>
    <row r="31" spans="1:6" x14ac:dyDescent="0.2">
      <c r="A31" s="32"/>
      <c r="B31" s="32"/>
      <c r="C31" s="32"/>
      <c r="D31" s="14">
        <f>+D30+D29</f>
        <v>11444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E37" sqref="E37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36"/>
      <c r="J2" s="2"/>
      <c r="K2" s="2"/>
      <c r="L2" s="104"/>
      <c r="M2" s="143" t="s">
        <v>183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36" t="s">
        <v>40</v>
      </c>
      <c r="I3" s="4" t="s">
        <v>20</v>
      </c>
      <c r="J3" s="4" t="s">
        <v>21</v>
      </c>
      <c r="K3" s="434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27575</v>
      </c>
      <c r="C4" s="11">
        <v>31875</v>
      </c>
      <c r="D4" s="11">
        <v>33957</v>
      </c>
      <c r="E4" s="11">
        <v>35000</v>
      </c>
      <c r="F4" s="25">
        <f>+E4+C4-D4-B4</f>
        <v>5343</v>
      </c>
      <c r="G4" s="25"/>
      <c r="H4" s="436"/>
      <c r="I4" s="14"/>
      <c r="J4" s="14"/>
      <c r="K4" s="14">
        <f t="shared" ref="K4:K9" si="0">+J4-I4</f>
        <v>0</v>
      </c>
      <c r="L4" s="382"/>
      <c r="M4" s="75">
        <f t="shared" ref="M4:M9" si="1">+L4*K4</f>
        <v>0</v>
      </c>
    </row>
    <row r="5" spans="1:14" x14ac:dyDescent="0.2">
      <c r="A5" s="41">
        <v>2</v>
      </c>
      <c r="B5" s="11">
        <v>29196</v>
      </c>
      <c r="C5" s="11">
        <v>31875</v>
      </c>
      <c r="D5" s="11">
        <v>35953</v>
      </c>
      <c r="E5" s="11">
        <v>35000</v>
      </c>
      <c r="F5" s="25">
        <f t="shared" ref="F5:F34" si="2">+E5+C5-D5-B5</f>
        <v>1726</v>
      </c>
      <c r="G5" s="25"/>
      <c r="H5" s="43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82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31146</v>
      </c>
      <c r="C6" s="11">
        <v>31869</v>
      </c>
      <c r="D6" s="11">
        <v>34687</v>
      </c>
      <c r="E6" s="11">
        <v>34995</v>
      </c>
      <c r="F6" s="25">
        <f t="shared" si="2"/>
        <v>1031</v>
      </c>
      <c r="G6" s="25"/>
      <c r="H6" s="43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82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28676</v>
      </c>
      <c r="C7" s="11">
        <v>28875</v>
      </c>
      <c r="D7" s="11">
        <v>34678</v>
      </c>
      <c r="E7" s="11">
        <v>33000</v>
      </c>
      <c r="F7" s="25">
        <f t="shared" si="2"/>
        <v>-1479</v>
      </c>
      <c r="G7" s="25"/>
      <c r="H7" s="43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82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27422</v>
      </c>
      <c r="C8" s="11">
        <v>28535</v>
      </c>
      <c r="D8" s="11">
        <v>31717</v>
      </c>
      <c r="E8" s="11">
        <v>33000</v>
      </c>
      <c r="F8" s="25">
        <f t="shared" si="2"/>
        <v>2396</v>
      </c>
      <c r="G8" s="25"/>
      <c r="H8" s="43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82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28547</v>
      </c>
      <c r="C9" s="11">
        <v>27675</v>
      </c>
      <c r="D9" s="11">
        <v>31563</v>
      </c>
      <c r="E9" s="11">
        <v>31997</v>
      </c>
      <c r="F9" s="25">
        <f t="shared" si="2"/>
        <v>-438</v>
      </c>
      <c r="G9" s="25"/>
      <c r="H9" s="43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82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36"/>
      <c r="I10" s="14"/>
      <c r="J10" s="14"/>
      <c r="K10" s="14"/>
      <c r="L10" s="382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 t="shared" si="2"/>
        <v>0</v>
      </c>
      <c r="G11" s="25"/>
      <c r="H11" s="436"/>
      <c r="I11" s="14"/>
      <c r="J11" s="14"/>
      <c r="K11" s="15"/>
      <c r="L11" s="382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 t="shared" si="2"/>
        <v>0</v>
      </c>
      <c r="G12" s="25"/>
      <c r="H12" s="436"/>
      <c r="I12" s="24"/>
      <c r="J12" s="24"/>
      <c r="K12" s="110"/>
      <c r="L12" s="438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38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172562</v>
      </c>
      <c r="C35" s="11">
        <f>SUM(C4:C34)</f>
        <v>180704</v>
      </c>
      <c r="D35" s="11">
        <f>SUM(D4:D34)</f>
        <v>202555</v>
      </c>
      <c r="E35" s="11">
        <f>SUM(E4:E34)</f>
        <v>202992</v>
      </c>
      <c r="F35" s="11">
        <f>+E35-D35+C35-B35</f>
        <v>8579</v>
      </c>
    </row>
    <row r="36" spans="1:7" x14ac:dyDescent="0.2">
      <c r="A36" s="45"/>
      <c r="C36" s="14">
        <f>+C35-B35</f>
        <v>8142</v>
      </c>
      <c r="D36" s="14"/>
      <c r="E36" s="14">
        <f>+E35-D35</f>
        <v>437</v>
      </c>
      <c r="F36" s="47"/>
    </row>
    <row r="37" spans="1:7" x14ac:dyDescent="0.2">
      <c r="C37" s="15">
        <f>+summary!H4</f>
        <v>1.7</v>
      </c>
      <c r="D37" s="15"/>
      <c r="E37" s="15">
        <f>+C37</f>
        <v>1.7</v>
      </c>
      <c r="F37" s="24"/>
    </row>
    <row r="38" spans="1:7" x14ac:dyDescent="0.2">
      <c r="C38" s="48">
        <f>+C37*C36</f>
        <v>13841.4</v>
      </c>
      <c r="D38" s="47"/>
      <c r="E38" s="48">
        <f>+E37*E36</f>
        <v>742.9</v>
      </c>
      <c r="F38" s="46">
        <f>+E38+C38</f>
        <v>14584.3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37164</v>
      </c>
      <c r="C40" s="471">
        <v>270930.61</v>
      </c>
      <c r="D40" s="111"/>
      <c r="E40" s="471">
        <v>103505.72</v>
      </c>
      <c r="F40" s="348">
        <f>+E40+C40</f>
        <v>374436.32999999996</v>
      </c>
      <c r="G40" s="25"/>
    </row>
    <row r="41" spans="1:7" x14ac:dyDescent="0.2">
      <c r="A41" s="57">
        <v>37170</v>
      </c>
      <c r="C41" s="106">
        <f>+C40+C38</f>
        <v>284772.01</v>
      </c>
      <c r="D41" s="106"/>
      <c r="E41" s="106">
        <f>+E40+E38</f>
        <v>104248.62</v>
      </c>
      <c r="F41" s="106">
        <f>+E41+C41</f>
        <v>389020.63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3"/>
      <c r="D44" s="11"/>
      <c r="E44" s="11"/>
      <c r="F44" s="11"/>
      <c r="G44" s="25"/>
    </row>
    <row r="45" spans="1:7" x14ac:dyDescent="0.2">
      <c r="A45" s="32" t="s">
        <v>153</v>
      </c>
      <c r="E45" s="11"/>
      <c r="F45" s="11"/>
      <c r="G45" s="25"/>
    </row>
    <row r="46" spans="1:7" x14ac:dyDescent="0.2">
      <c r="A46" s="49">
        <f>+A40</f>
        <v>37164</v>
      </c>
      <c r="D46" s="469">
        <v>-19614</v>
      </c>
      <c r="E46" s="11"/>
      <c r="F46" s="11"/>
      <c r="G46" s="25"/>
    </row>
    <row r="47" spans="1:7" x14ac:dyDescent="0.2">
      <c r="A47" s="49">
        <f>+A41</f>
        <v>37170</v>
      </c>
      <c r="D47" s="371">
        <f>+F35</f>
        <v>8579</v>
      </c>
      <c r="E47" s="11"/>
      <c r="F47" s="11"/>
      <c r="G47" s="25"/>
    </row>
    <row r="48" spans="1:7" x14ac:dyDescent="0.2">
      <c r="D48" s="14">
        <f>+D47+D46</f>
        <v>-11035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4" workbookViewId="3">
      <selection activeCell="E33" sqref="E33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160749</v>
      </c>
      <c r="C5" s="11">
        <v>160590</v>
      </c>
      <c r="D5" s="11"/>
      <c r="E5" s="11"/>
      <c r="F5" s="11">
        <f>+C5+E5-B5-D5</f>
        <v>-159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147094</v>
      </c>
      <c r="C6" s="11">
        <v>166627</v>
      </c>
      <c r="D6" s="11"/>
      <c r="E6" s="11">
        <v>-13300</v>
      </c>
      <c r="F6" s="11">
        <f t="shared" ref="F6:F35" si="2">+C6+E6-B6-D6</f>
        <v>6233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141605</v>
      </c>
      <c r="C7" s="11">
        <v>158060</v>
      </c>
      <c r="D7" s="11"/>
      <c r="E7" s="11">
        <v>-9154</v>
      </c>
      <c r="F7" s="11">
        <f t="shared" si="2"/>
        <v>7301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108446</v>
      </c>
      <c r="C8" s="11">
        <v>151998</v>
      </c>
      <c r="D8" s="11"/>
      <c r="E8" s="11">
        <v>-43753</v>
      </c>
      <c r="F8" s="11">
        <f t="shared" si="2"/>
        <v>-201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152809</v>
      </c>
      <c r="C9" s="11">
        <v>152223</v>
      </c>
      <c r="D9" s="11"/>
      <c r="E9" s="11"/>
      <c r="F9" s="11">
        <f t="shared" si="2"/>
        <v>-586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142248</v>
      </c>
      <c r="C10" s="11">
        <v>147763</v>
      </c>
      <c r="D10" s="11"/>
      <c r="E10" s="11">
        <v>-6187</v>
      </c>
      <c r="F10" s="11">
        <f t="shared" si="2"/>
        <v>-672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135677</v>
      </c>
      <c r="C11" s="11">
        <v>147763</v>
      </c>
      <c r="D11" s="11"/>
      <c r="E11" s="11">
        <v>-12839</v>
      </c>
      <c r="F11" s="11">
        <f t="shared" si="2"/>
        <v>-753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988628</v>
      </c>
      <c r="C36" s="11">
        <f>SUM(C5:C35)</f>
        <v>1085024</v>
      </c>
      <c r="D36" s="11">
        <f>SUM(D5:D35)</f>
        <v>0</v>
      </c>
      <c r="E36" s="11">
        <f>SUM(E5:E35)</f>
        <v>-85233</v>
      </c>
      <c r="F36" s="11">
        <f>SUM(F5:F35)</f>
        <v>11163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37164</v>
      </c>
      <c r="F39" s="489">
        <v>51206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37171</v>
      </c>
      <c r="F41" s="349">
        <f>+F39+F36</f>
        <v>62369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154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37164</v>
      </c>
      <c r="C47" s="32"/>
      <c r="D47" s="32"/>
      <c r="E47" s="485">
        <v>-347016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37171</v>
      </c>
      <c r="C48" s="32"/>
      <c r="D48" s="32"/>
      <c r="E48" s="400">
        <f>+F36*'by type_area'!J3</f>
        <v>17860.8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-329155.20000000001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4" workbookViewId="3">
      <selection activeCell="C38" sqref="C38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66647</v>
      </c>
      <c r="C8" s="11">
        <v>66187</v>
      </c>
      <c r="D8" s="11">
        <f>+C8-B8</f>
        <v>-460</v>
      </c>
      <c r="E8" s="10"/>
      <c r="F8" s="11"/>
      <c r="G8" s="11"/>
      <c r="H8" s="11"/>
    </row>
    <row r="9" spans="1:8" x14ac:dyDescent="0.2">
      <c r="A9" s="10">
        <v>2</v>
      </c>
      <c r="B9" s="11">
        <v>71935</v>
      </c>
      <c r="C9" s="11">
        <v>71189</v>
      </c>
      <c r="D9" s="11">
        <f t="shared" ref="D9:D38" si="0">+C9-B9</f>
        <v>-746</v>
      </c>
      <c r="E9" s="10"/>
      <c r="F9" s="11"/>
      <c r="G9" s="11"/>
      <c r="H9" s="11"/>
    </row>
    <row r="10" spans="1:8" x14ac:dyDescent="0.2">
      <c r="A10" s="10">
        <v>3</v>
      </c>
      <c r="B10" s="11">
        <v>69760</v>
      </c>
      <c r="C10" s="11">
        <v>70180</v>
      </c>
      <c r="D10" s="11">
        <f t="shared" si="0"/>
        <v>420</v>
      </c>
      <c r="E10" s="10"/>
      <c r="F10" s="11"/>
      <c r="G10" s="11"/>
      <c r="H10" s="11"/>
    </row>
    <row r="11" spans="1:8" x14ac:dyDescent="0.2">
      <c r="A11" s="10">
        <v>4</v>
      </c>
      <c r="B11" s="11">
        <v>77857</v>
      </c>
      <c r="C11" s="11">
        <v>78842</v>
      </c>
      <c r="D11" s="11">
        <f t="shared" si="0"/>
        <v>985</v>
      </c>
      <c r="E11" s="10"/>
      <c r="F11" s="11"/>
      <c r="G11" s="11"/>
      <c r="H11" s="11"/>
    </row>
    <row r="12" spans="1:8" x14ac:dyDescent="0.2">
      <c r="A12" s="10">
        <v>5</v>
      </c>
      <c r="B12" s="11">
        <v>66833</v>
      </c>
      <c r="C12" s="11">
        <v>65685</v>
      </c>
      <c r="D12" s="11">
        <f t="shared" si="0"/>
        <v>-1148</v>
      </c>
      <c r="E12" s="10"/>
      <c r="F12" s="11"/>
      <c r="G12" s="11"/>
      <c r="H12" s="11"/>
    </row>
    <row r="13" spans="1:8" x14ac:dyDescent="0.2">
      <c r="A13" s="10">
        <v>6</v>
      </c>
      <c r="B13" s="11">
        <v>75811</v>
      </c>
      <c r="C13" s="11">
        <v>75245</v>
      </c>
      <c r="D13" s="11">
        <f t="shared" si="0"/>
        <v>-566</v>
      </c>
      <c r="E13" s="10"/>
      <c r="F13" s="11"/>
      <c r="G13" s="11"/>
      <c r="H13" s="11"/>
    </row>
    <row r="14" spans="1:8" x14ac:dyDescent="0.2">
      <c r="A14" s="10">
        <v>7</v>
      </c>
      <c r="B14" s="11">
        <v>75009</v>
      </c>
      <c r="C14" s="11">
        <v>74971</v>
      </c>
      <c r="D14" s="11">
        <f t="shared" si="0"/>
        <v>-38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503852</v>
      </c>
      <c r="C39" s="11">
        <f>SUM(C8:C38)</f>
        <v>502299</v>
      </c>
      <c r="D39" s="11">
        <f>SUM(D8:D38)</f>
        <v>-1553</v>
      </c>
      <c r="E39" s="10"/>
      <c r="F39" s="11"/>
      <c r="G39" s="11"/>
      <c r="H39" s="11"/>
    </row>
    <row r="40" spans="1:8" x14ac:dyDescent="0.2">
      <c r="A40" s="26"/>
      <c r="D40" s="75">
        <f>+summary!H4</f>
        <v>1.7</v>
      </c>
      <c r="E40" s="26"/>
      <c r="H40" s="75"/>
    </row>
    <row r="41" spans="1:8" x14ac:dyDescent="0.2">
      <c r="D41" s="197">
        <f>+D40*D39</f>
        <v>-2640.1</v>
      </c>
      <c r="F41" s="250"/>
      <c r="H41" s="197"/>
    </row>
    <row r="42" spans="1:8" x14ac:dyDescent="0.2">
      <c r="A42" s="57">
        <v>37164</v>
      </c>
      <c r="D42" s="483">
        <v>48683</v>
      </c>
      <c r="E42" s="57"/>
      <c r="H42" s="197"/>
    </row>
    <row r="43" spans="1:8" x14ac:dyDescent="0.2">
      <c r="A43" s="57">
        <v>37171</v>
      </c>
      <c r="D43" s="198">
        <f>+D42+D41</f>
        <v>46042.9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153</v>
      </c>
      <c r="B47" s="32"/>
      <c r="C47" s="32"/>
      <c r="D47" s="32"/>
    </row>
    <row r="48" spans="1:8" x14ac:dyDescent="0.2">
      <c r="A48" s="49">
        <f>+A42</f>
        <v>37164</v>
      </c>
      <c r="B48" s="32"/>
      <c r="C48" s="32"/>
      <c r="D48" s="468">
        <v>-32354</v>
      </c>
    </row>
    <row r="49" spans="1:4" x14ac:dyDescent="0.2">
      <c r="A49" s="49">
        <f>+A43</f>
        <v>37171</v>
      </c>
      <c r="B49" s="32"/>
      <c r="C49" s="32"/>
      <c r="D49" s="371">
        <f>+D39</f>
        <v>-1553</v>
      </c>
    </row>
    <row r="50" spans="1:4" x14ac:dyDescent="0.2">
      <c r="A50" s="32"/>
      <c r="B50" s="32"/>
      <c r="C50" s="32"/>
      <c r="D50" s="14">
        <f>+D49+D48</f>
        <v>-33907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6" workbookViewId="3">
      <selection activeCell="B10" sqref="B10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94</v>
      </c>
      <c r="G2" s="32"/>
      <c r="H2" s="15"/>
      <c r="I2" s="32"/>
      <c r="J2" s="32"/>
    </row>
    <row r="3" spans="1:10" x14ac:dyDescent="0.2">
      <c r="A3" s="2" t="s">
        <v>73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4">
        <v>37164</v>
      </c>
      <c r="C5" s="477">
        <v>1336515.68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37170</v>
      </c>
      <c r="J7" s="32"/>
    </row>
    <row r="8" spans="1:10" x14ac:dyDescent="0.2">
      <c r="A8" s="251">
        <v>60874</v>
      </c>
      <c r="B8" s="357">
        <v>-859</v>
      </c>
      <c r="J8" s="32"/>
    </row>
    <row r="9" spans="1:10" x14ac:dyDescent="0.2">
      <c r="A9" s="251">
        <v>78169</v>
      </c>
      <c r="B9" s="357">
        <f>156642-130264</f>
        <v>26378</v>
      </c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1">
        <v>500248</v>
      </c>
      <c r="B11" s="359"/>
      <c r="J11" s="32"/>
    </row>
    <row r="12" spans="1:10" x14ac:dyDescent="0.2">
      <c r="A12" s="251">
        <v>500251</v>
      </c>
      <c r="B12" s="330">
        <f>721-1199</f>
        <v>-478</v>
      </c>
      <c r="J12" s="32"/>
    </row>
    <row r="13" spans="1:10" x14ac:dyDescent="0.2">
      <c r="A13" s="251">
        <v>500254</v>
      </c>
      <c r="B13" s="330">
        <f>331-771</f>
        <v>-440</v>
      </c>
      <c r="J13" s="32"/>
    </row>
    <row r="14" spans="1:10" x14ac:dyDescent="0.2">
      <c r="A14" s="32">
        <v>500255</v>
      </c>
      <c r="B14" s="330">
        <f>3052-1643</f>
        <v>1409</v>
      </c>
      <c r="J14" s="32"/>
    </row>
    <row r="15" spans="1:10" x14ac:dyDescent="0.2">
      <c r="A15" s="32">
        <v>500262</v>
      </c>
      <c r="B15" s="330">
        <f>1110-1577</f>
        <v>-467</v>
      </c>
      <c r="J15" s="32"/>
    </row>
    <row r="16" spans="1:10" x14ac:dyDescent="0.2">
      <c r="A16" s="288">
        <v>500267</v>
      </c>
      <c r="B16" s="358">
        <f>308804-317172</f>
        <v>-8368</v>
      </c>
      <c r="J16" s="32"/>
    </row>
    <row r="17" spans="1:10" x14ac:dyDescent="0.2">
      <c r="B17" s="14">
        <f>SUM(B8:B16)</f>
        <v>17175</v>
      </c>
      <c r="J17" s="32"/>
    </row>
    <row r="18" spans="1:10" x14ac:dyDescent="0.2">
      <c r="B18" s="15">
        <f>+B31</f>
        <v>1.7</v>
      </c>
      <c r="C18" s="201">
        <f>+B18*B17</f>
        <v>29197.5</v>
      </c>
      <c r="G18" s="32"/>
      <c r="H18" s="405"/>
      <c r="I18" s="14"/>
      <c r="J18" s="32"/>
    </row>
    <row r="19" spans="1:10" x14ac:dyDescent="0.2">
      <c r="C19" s="336">
        <f>+C18+C5</f>
        <v>1365713.18</v>
      </c>
      <c r="E19" s="15"/>
      <c r="G19" s="32"/>
      <c r="H19" s="405"/>
      <c r="I19" s="14"/>
      <c r="J19" s="32"/>
    </row>
    <row r="20" spans="1:10" x14ac:dyDescent="0.2">
      <c r="E20" s="15"/>
      <c r="G20" s="32"/>
      <c r="H20" s="405"/>
      <c r="I20" s="14"/>
      <c r="J20" s="32"/>
    </row>
    <row r="21" spans="1:10" x14ac:dyDescent="0.2">
      <c r="A21" s="32" t="s">
        <v>87</v>
      </c>
      <c r="G21" s="32"/>
      <c r="H21" s="405"/>
      <c r="I21" s="14"/>
      <c r="J21" s="32"/>
    </row>
    <row r="22" spans="1:10" x14ac:dyDescent="0.2">
      <c r="A22" s="2" t="s">
        <v>74</v>
      </c>
      <c r="G22" s="32"/>
      <c r="H22" s="405"/>
      <c r="I22" s="14"/>
      <c r="J22" s="32"/>
    </row>
    <row r="23" spans="1:10" x14ac:dyDescent="0.2">
      <c r="G23" s="32"/>
      <c r="H23" s="405"/>
      <c r="I23" s="14"/>
      <c r="J23" s="32"/>
    </row>
    <row r="24" spans="1:10" x14ac:dyDescent="0.2">
      <c r="G24" s="32"/>
      <c r="H24" s="405"/>
      <c r="I24" s="14"/>
      <c r="J24" s="32"/>
    </row>
    <row r="25" spans="1:10" x14ac:dyDescent="0.2">
      <c r="A25" s="200">
        <v>37164</v>
      </c>
      <c r="C25" s="477">
        <v>275313.71999999997</v>
      </c>
      <c r="G25" s="32"/>
      <c r="H25" s="15"/>
      <c r="I25" s="14"/>
      <c r="J25" s="32"/>
    </row>
    <row r="26" spans="1:10" x14ac:dyDescent="0.2">
      <c r="F26" s="265"/>
      <c r="G26" s="32"/>
      <c r="H26" s="15"/>
      <c r="I26" s="32"/>
      <c r="J26" s="32"/>
    </row>
    <row r="27" spans="1:10" x14ac:dyDescent="0.2">
      <c r="A27" s="57">
        <v>37170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1.7</v>
      </c>
      <c r="C31" s="201">
        <f>+B31*B30</f>
        <v>0</v>
      </c>
    </row>
    <row r="32" spans="1:10" x14ac:dyDescent="0.2">
      <c r="C32" s="336">
        <f>+C31+C25</f>
        <v>275313.71999999997</v>
      </c>
      <c r="E32" s="15"/>
    </row>
    <row r="34" spans="1:9" x14ac:dyDescent="0.2">
      <c r="E34" s="270"/>
    </row>
    <row r="35" spans="1:9" x14ac:dyDescent="0.2">
      <c r="E35" s="15"/>
    </row>
    <row r="36" spans="1:9" x14ac:dyDescent="0.2">
      <c r="A36" s="32" t="s">
        <v>87</v>
      </c>
      <c r="E36" s="32" t="s">
        <v>153</v>
      </c>
      <c r="F36" s="373">
        <v>24268</v>
      </c>
      <c r="G36" s="373">
        <v>24693</v>
      </c>
      <c r="H36" s="373">
        <v>24361</v>
      </c>
    </row>
    <row r="37" spans="1:9" x14ac:dyDescent="0.2">
      <c r="A37" s="32" t="s">
        <v>75</v>
      </c>
      <c r="E37" s="49">
        <f>+A5</f>
        <v>37164</v>
      </c>
      <c r="F37" s="468">
        <v>285450</v>
      </c>
      <c r="G37" s="478">
        <v>117857</v>
      </c>
      <c r="H37" s="468">
        <v>157582</v>
      </c>
      <c r="I37" s="14"/>
    </row>
    <row r="38" spans="1:9" x14ac:dyDescent="0.2">
      <c r="E38" s="49">
        <f>+A7</f>
        <v>37170</v>
      </c>
      <c r="F38" s="371">
        <f>+B17</f>
        <v>17175</v>
      </c>
      <c r="G38" s="371">
        <f>+B30</f>
        <v>0</v>
      </c>
      <c r="H38" s="371">
        <f>+B45</f>
        <v>1098</v>
      </c>
      <c r="I38" s="14"/>
    </row>
    <row r="39" spans="1:9" x14ac:dyDescent="0.2">
      <c r="A39" s="49">
        <v>37164</v>
      </c>
      <c r="C39" s="477">
        <v>777555.1</v>
      </c>
      <c r="F39" s="14">
        <f>+F38+F37</f>
        <v>302625</v>
      </c>
      <c r="G39" s="14">
        <f>+G38+G37</f>
        <v>117857</v>
      </c>
      <c r="H39" s="14">
        <f>+H38+H37</f>
        <v>158680</v>
      </c>
      <c r="I39" s="14">
        <f>+H39+G39+F39</f>
        <v>579162</v>
      </c>
    </row>
    <row r="40" spans="1:9" x14ac:dyDescent="0.2">
      <c r="G40" s="32"/>
      <c r="H40" s="15"/>
      <c r="I40" s="32"/>
    </row>
    <row r="41" spans="1:9" x14ac:dyDescent="0.2">
      <c r="A41" s="247">
        <v>37170</v>
      </c>
      <c r="G41" s="32"/>
    </row>
    <row r="42" spans="1:9" x14ac:dyDescent="0.2">
      <c r="A42" s="251">
        <v>500241</v>
      </c>
      <c r="B42" s="14"/>
      <c r="G42" s="32"/>
    </row>
    <row r="43" spans="1:9" x14ac:dyDescent="0.2">
      <c r="A43" s="32">
        <v>500391</v>
      </c>
      <c r="B43" s="212">
        <v>572</v>
      </c>
      <c r="G43" s="32"/>
      <c r="H43" s="406"/>
      <c r="I43" s="14"/>
    </row>
    <row r="44" spans="1:9" x14ac:dyDescent="0.2">
      <c r="A44" s="32">
        <v>500392</v>
      </c>
      <c r="B44" s="255">
        <v>526</v>
      </c>
      <c r="G44" s="32"/>
      <c r="H44" s="406"/>
      <c r="I44" s="14"/>
    </row>
    <row r="45" spans="1:9" x14ac:dyDescent="0.2">
      <c r="B45" s="14">
        <f>SUM(B42:B44)</f>
        <v>1098</v>
      </c>
      <c r="G45" s="32"/>
      <c r="H45" s="406"/>
      <c r="I45" s="14"/>
    </row>
    <row r="46" spans="1:9" x14ac:dyDescent="0.2">
      <c r="B46" s="201">
        <f>+B31</f>
        <v>1.7</v>
      </c>
      <c r="C46" s="201">
        <f>+B46*B45</f>
        <v>1866.6</v>
      </c>
      <c r="H46" s="406"/>
      <c r="I46" s="14"/>
    </row>
    <row r="47" spans="1:9" x14ac:dyDescent="0.2">
      <c r="C47" s="336">
        <f>+C46+C39</f>
        <v>779421.7</v>
      </c>
      <c r="E47" s="206"/>
      <c r="H47" s="406"/>
      <c r="I47" s="14"/>
    </row>
    <row r="48" spans="1:9" x14ac:dyDescent="0.2">
      <c r="E48" s="215"/>
      <c r="H48" s="406"/>
      <c r="I48" s="14"/>
    </row>
    <row r="49" spans="1:9" x14ac:dyDescent="0.2">
      <c r="E49" s="206"/>
      <c r="H49" s="406"/>
      <c r="I49" s="14"/>
    </row>
    <row r="50" spans="1:9" x14ac:dyDescent="0.2">
      <c r="C50" s="322"/>
      <c r="E50" s="215"/>
    </row>
    <row r="51" spans="1:9" x14ac:dyDescent="0.2">
      <c r="A51" s="32" t="s">
        <v>87</v>
      </c>
      <c r="C51" s="252"/>
    </row>
    <row r="52" spans="1:9" x14ac:dyDescent="0.2">
      <c r="A52" s="32">
        <v>21665</v>
      </c>
      <c r="B52" s="15" t="s">
        <v>140</v>
      </c>
      <c r="C52" s="475">
        <v>73449.16</v>
      </c>
      <c r="D52" s="32" t="s">
        <v>121</v>
      </c>
      <c r="E52" s="50"/>
      <c r="H52" s="406">
        <v>21665</v>
      </c>
      <c r="I52" s="14">
        <v>36403</v>
      </c>
    </row>
    <row r="53" spans="1:9" x14ac:dyDescent="0.2">
      <c r="A53" s="32">
        <v>22664</v>
      </c>
      <c r="B53" s="15" t="s">
        <v>140</v>
      </c>
      <c r="C53" s="476">
        <v>23612.35</v>
      </c>
      <c r="D53" s="32" t="s">
        <v>122</v>
      </c>
      <c r="H53" s="406">
        <v>22664</v>
      </c>
      <c r="I53" s="208">
        <v>18932</v>
      </c>
    </row>
    <row r="54" spans="1:9" x14ac:dyDescent="0.2">
      <c r="H54" s="407"/>
      <c r="I54" s="16"/>
    </row>
    <row r="55" spans="1:9" x14ac:dyDescent="0.2">
      <c r="C55" s="451"/>
    </row>
    <row r="56" spans="1:9" x14ac:dyDescent="0.2">
      <c r="C56" s="329">
        <f>+C53+C52+C47+C32+C19</f>
        <v>2517510.11</v>
      </c>
      <c r="I56" s="14">
        <f>SUM(I39:I53)</f>
        <v>634497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workbookViewId="3">
      <selection activeCell="E11" sqref="E11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6">
        <v>23995</v>
      </c>
      <c r="C1" s="233"/>
      <c r="D1" s="325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180</v>
      </c>
      <c r="G3" s="6"/>
      <c r="H3" s="115"/>
    </row>
    <row r="4" spans="1:10" x14ac:dyDescent="0.2">
      <c r="A4" s="10">
        <v>1</v>
      </c>
      <c r="B4" s="11"/>
      <c r="C4" s="11"/>
      <c r="D4" s="11">
        <v>24089</v>
      </c>
      <c r="E4" s="11">
        <v>23986</v>
      </c>
      <c r="F4" s="11">
        <f>+E4+C4-D4-B4</f>
        <v>-103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25747</v>
      </c>
      <c r="E5" s="11">
        <v>24000</v>
      </c>
      <c r="F5" s="11">
        <f t="shared" ref="F5:F34" si="0">+E5+C5-D5-B5</f>
        <v>-1747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25670</v>
      </c>
      <c r="E6" s="11">
        <v>24000</v>
      </c>
      <c r="F6" s="11">
        <f t="shared" si="0"/>
        <v>-1670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25643</v>
      </c>
      <c r="E7" s="11">
        <v>24000</v>
      </c>
      <c r="F7" s="11">
        <f t="shared" si="0"/>
        <v>-1643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25830</v>
      </c>
      <c r="E8" s="11">
        <v>24000</v>
      </c>
      <c r="F8" s="11">
        <f t="shared" si="0"/>
        <v>-1830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24358</v>
      </c>
      <c r="E9" s="11">
        <v>24000</v>
      </c>
      <c r="F9" s="11">
        <f t="shared" si="0"/>
        <v>-358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24348</v>
      </c>
      <c r="E10" s="11">
        <v>24000</v>
      </c>
      <c r="F10" s="11">
        <f t="shared" si="0"/>
        <v>-348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153</v>
      </c>
      <c r="I33" s="373">
        <v>23995</v>
      </c>
      <c r="J33" s="373">
        <v>22051</v>
      </c>
      <c r="K33" s="373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37164</v>
      </c>
      <c r="I34" s="468">
        <v>-178485</v>
      </c>
      <c r="J34" s="468">
        <v>-74794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175685</v>
      </c>
      <c r="E35" s="11">
        <f>SUM(E4:E34)</f>
        <v>167986</v>
      </c>
      <c r="F35" s="11">
        <f>SUM(F4:F34)</f>
        <v>-7699</v>
      </c>
      <c r="G35" s="11"/>
      <c r="H35" s="49">
        <f>+A40</f>
        <v>37171</v>
      </c>
      <c r="I35" s="371">
        <f>+C36</f>
        <v>0</v>
      </c>
      <c r="J35" s="371">
        <f>+E36</f>
        <v>-7699</v>
      </c>
      <c r="K35" s="208"/>
      <c r="L35" s="14"/>
    </row>
    <row r="36" spans="1:13" x14ac:dyDescent="0.2">
      <c r="C36" s="25">
        <f>+C35-B35</f>
        <v>0</v>
      </c>
      <c r="E36" s="25">
        <f>+E35-D35</f>
        <v>-7699</v>
      </c>
      <c r="F36" s="25">
        <f>+E36+C36</f>
        <v>-7699</v>
      </c>
      <c r="H36" s="32"/>
      <c r="I36" s="14">
        <f>+I35+I34</f>
        <v>-178485</v>
      </c>
      <c r="J36" s="14">
        <f>+J35+J34</f>
        <v>-82493</v>
      </c>
      <c r="K36" s="14">
        <f>+J36+I36</f>
        <v>-260978</v>
      </c>
      <c r="L36" s="14"/>
    </row>
    <row r="37" spans="1:13" x14ac:dyDescent="0.2">
      <c r="C37" s="327">
        <f>+summary!H5</f>
        <v>1.75</v>
      </c>
      <c r="E37" s="104">
        <f>+C37</f>
        <v>1.75</v>
      </c>
      <c r="F37" s="138">
        <f>+F36*E37</f>
        <v>-13473.25</v>
      </c>
    </row>
    <row r="38" spans="1:13" x14ac:dyDescent="0.2">
      <c r="C38" s="138">
        <f>+C37*C36</f>
        <v>0</v>
      </c>
      <c r="E38" s="136">
        <f>+E37*E36</f>
        <v>-13473.25</v>
      </c>
      <c r="F38" s="138">
        <f>+E38+C38</f>
        <v>-13473.25</v>
      </c>
    </row>
    <row r="39" spans="1:13" x14ac:dyDescent="0.2">
      <c r="A39" s="57">
        <v>37164</v>
      </c>
      <c r="B39" s="2" t="s">
        <v>46</v>
      </c>
      <c r="C39" s="479">
        <v>-1023166.39</v>
      </c>
      <c r="D39" s="335"/>
      <c r="E39" s="466">
        <v>-454550</v>
      </c>
      <c r="F39" s="334">
        <f>+E39+C39</f>
        <v>-1477716.3900000001</v>
      </c>
    </row>
    <row r="40" spans="1:13" x14ac:dyDescent="0.2">
      <c r="A40" s="57">
        <v>37171</v>
      </c>
      <c r="B40" s="2" t="s">
        <v>46</v>
      </c>
      <c r="C40" s="328">
        <f>+C39+C38</f>
        <v>-1023166.39</v>
      </c>
      <c r="D40" s="257"/>
      <c r="E40" s="328">
        <f>+E39+E38</f>
        <v>-468023.25</v>
      </c>
      <c r="F40" s="328">
        <f>+E40+C40</f>
        <v>-1491189.6400000001</v>
      </c>
      <c r="H40" s="131"/>
    </row>
    <row r="41" spans="1:13" x14ac:dyDescent="0.2">
      <c r="C41" s="344"/>
      <c r="D41" s="248"/>
      <c r="E41" s="248"/>
      <c r="H41" s="31"/>
    </row>
    <row r="42" spans="1:13" x14ac:dyDescent="0.2">
      <c r="C42" s="248"/>
      <c r="D42" s="248"/>
      <c r="E42" s="248"/>
    </row>
    <row r="43" spans="1:13" x14ac:dyDescent="0.2">
      <c r="C43" s="248"/>
      <c r="D43" s="248"/>
      <c r="E43" s="12" t="s">
        <v>113</v>
      </c>
    </row>
    <row r="44" spans="1:13" x14ac:dyDescent="0.2">
      <c r="C44" s="248"/>
      <c r="D44" s="248"/>
      <c r="E44" s="12">
        <v>22864</v>
      </c>
      <c r="F44" s="477">
        <v>-58339.66</v>
      </c>
      <c r="G44" s="252" t="s">
        <v>48</v>
      </c>
      <c r="J44" s="12">
        <v>22864</v>
      </c>
      <c r="K44" s="14">
        <v>-24566</v>
      </c>
    </row>
    <row r="45" spans="1:13" x14ac:dyDescent="0.2">
      <c r="C45" s="248"/>
      <c r="D45" s="248"/>
      <c r="E45" s="12">
        <v>20379</v>
      </c>
      <c r="F45" s="477">
        <v>-51695.87</v>
      </c>
      <c r="G45" s="252" t="s">
        <v>124</v>
      </c>
      <c r="J45" s="12">
        <v>20379</v>
      </c>
      <c r="K45" s="14">
        <v>2979</v>
      </c>
      <c r="M45" s="14"/>
    </row>
    <row r="46" spans="1:13" x14ac:dyDescent="0.2">
      <c r="C46" s="248"/>
      <c r="D46" s="248"/>
      <c r="E46" s="12">
        <v>26357</v>
      </c>
      <c r="F46" s="480">
        <v>44144.84</v>
      </c>
      <c r="G46" s="252" t="s">
        <v>125</v>
      </c>
      <c r="J46" s="12">
        <v>26357</v>
      </c>
      <c r="K46" s="14">
        <v>26521</v>
      </c>
    </row>
    <row r="47" spans="1:13" x14ac:dyDescent="0.2">
      <c r="C47" s="248"/>
      <c r="D47" s="248"/>
      <c r="E47" s="12">
        <v>21544</v>
      </c>
      <c r="F47" s="477">
        <v>61340.160000000003</v>
      </c>
      <c r="G47" s="252" t="s">
        <v>126</v>
      </c>
      <c r="J47" s="12">
        <v>21544</v>
      </c>
      <c r="K47" s="14">
        <v>36108</v>
      </c>
    </row>
    <row r="48" spans="1:13" x14ac:dyDescent="0.2">
      <c r="C48" s="248"/>
      <c r="D48" s="248"/>
      <c r="E48" s="12">
        <v>24532</v>
      </c>
      <c r="F48" s="481">
        <v>-933276.39</v>
      </c>
      <c r="G48" s="252" t="s">
        <v>123</v>
      </c>
      <c r="J48" s="12">
        <v>24532</v>
      </c>
      <c r="K48" s="212">
        <v>-42250</v>
      </c>
    </row>
    <row r="49" spans="3:13" x14ac:dyDescent="0.2">
      <c r="C49" s="248"/>
      <c r="D49" s="248"/>
      <c r="F49" s="345">
        <f>SUM(F40:F48)</f>
        <v>-2429016.56</v>
      </c>
      <c r="G49" s="248"/>
      <c r="K49" s="14">
        <f>SUM(K36:K48)</f>
        <v>-262186</v>
      </c>
    </row>
    <row r="50" spans="3:13" x14ac:dyDescent="0.2">
      <c r="C50" s="248"/>
      <c r="D50" s="248"/>
      <c r="F50" s="248"/>
      <c r="G50" s="248"/>
    </row>
    <row r="51" spans="3:13" x14ac:dyDescent="0.2">
      <c r="E51" s="2" t="s">
        <v>141</v>
      </c>
      <c r="F51" s="138">
        <f>+Duke!C56</f>
        <v>2517510.11</v>
      </c>
      <c r="M51" s="14">
        <f>+Duke!I56</f>
        <v>634497</v>
      </c>
    </row>
    <row r="53" spans="3:13" x14ac:dyDescent="0.2">
      <c r="F53" s="104">
        <f>+F51+F49</f>
        <v>88493.549999999814</v>
      </c>
      <c r="M53" s="16">
        <f>+M51+K49</f>
        <v>372311</v>
      </c>
    </row>
    <row r="59" spans="3:13" x14ac:dyDescent="0.2">
      <c r="H59" s="256"/>
    </row>
    <row r="60" spans="3:13" x14ac:dyDescent="0.2">
      <c r="H60" s="256"/>
    </row>
    <row r="61" spans="3:13" x14ac:dyDescent="0.2">
      <c r="H61" s="256"/>
    </row>
    <row r="62" spans="3:13" x14ac:dyDescent="0.2">
      <c r="H62" s="362"/>
    </row>
    <row r="63" spans="3:13" x14ac:dyDescent="0.2">
      <c r="F63" s="362"/>
    </row>
    <row r="64" spans="3:13" x14ac:dyDescent="0.2">
      <c r="F64" s="36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A44" sqref="A44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6209</v>
      </c>
      <c r="C8" s="11">
        <v>6186</v>
      </c>
      <c r="D8" s="11"/>
      <c r="E8" s="11"/>
      <c r="F8" s="11">
        <v>916</v>
      </c>
      <c r="G8" s="11">
        <v>961</v>
      </c>
      <c r="H8" s="11">
        <v>1640</v>
      </c>
      <c r="I8" s="11">
        <v>1715</v>
      </c>
      <c r="J8" s="25">
        <f>+C8-B8+E8-D8+G8-F8+I8-H8</f>
        <v>97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6173</v>
      </c>
      <c r="C9" s="11">
        <v>6186</v>
      </c>
      <c r="D9" s="11"/>
      <c r="E9" s="11"/>
      <c r="F9" s="11">
        <v>911</v>
      </c>
      <c r="G9" s="11">
        <v>961</v>
      </c>
      <c r="H9" s="11">
        <v>1629</v>
      </c>
      <c r="I9" s="11">
        <v>1715</v>
      </c>
      <c r="J9" s="25">
        <f t="shared" ref="J9:J38" si="0">+C9-B9+E9-D9+G9-F9+I9-H9</f>
        <v>149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5996</v>
      </c>
      <c r="C10" s="11">
        <v>6186</v>
      </c>
      <c r="D10" s="11"/>
      <c r="E10" s="11"/>
      <c r="F10" s="11">
        <v>903</v>
      </c>
      <c r="G10" s="11">
        <v>961</v>
      </c>
      <c r="H10" s="11">
        <v>1740</v>
      </c>
      <c r="I10" s="11">
        <v>1715</v>
      </c>
      <c r="J10" s="25">
        <f t="shared" si="0"/>
        <v>223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5783</v>
      </c>
      <c r="C11" s="11">
        <v>6186</v>
      </c>
      <c r="D11" s="11"/>
      <c r="E11" s="11"/>
      <c r="F11" s="11">
        <v>1098</v>
      </c>
      <c r="G11" s="11">
        <v>961</v>
      </c>
      <c r="H11" s="11">
        <v>1709</v>
      </c>
      <c r="I11" s="11">
        <v>1715</v>
      </c>
      <c r="J11" s="25">
        <f t="shared" si="0"/>
        <v>272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3906</v>
      </c>
      <c r="C12" s="11">
        <v>6186</v>
      </c>
      <c r="D12" s="11"/>
      <c r="E12" s="11"/>
      <c r="F12" s="11">
        <v>976</v>
      </c>
      <c r="G12" s="11">
        <v>961</v>
      </c>
      <c r="H12" s="11">
        <v>1537</v>
      </c>
      <c r="I12" s="11">
        <v>1715</v>
      </c>
      <c r="J12" s="25">
        <f t="shared" si="0"/>
        <v>2443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4614</v>
      </c>
      <c r="C13" s="11">
        <v>6186</v>
      </c>
      <c r="D13" s="11"/>
      <c r="E13" s="11"/>
      <c r="F13" s="11">
        <v>1055</v>
      </c>
      <c r="G13" s="11">
        <v>961</v>
      </c>
      <c r="H13" s="11">
        <v>1906</v>
      </c>
      <c r="I13" s="11">
        <v>1715</v>
      </c>
      <c r="J13" s="25">
        <f t="shared" si="0"/>
        <v>1287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87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87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7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7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32681</v>
      </c>
      <c r="C39" s="11">
        <f t="shared" si="1"/>
        <v>37116</v>
      </c>
      <c r="D39" s="11">
        <f t="shared" si="1"/>
        <v>0</v>
      </c>
      <c r="E39" s="11">
        <f t="shared" si="1"/>
        <v>0</v>
      </c>
      <c r="F39" s="11">
        <f t="shared" si="1"/>
        <v>5859</v>
      </c>
      <c r="G39" s="11">
        <f t="shared" si="1"/>
        <v>5766</v>
      </c>
      <c r="H39" s="11">
        <f t="shared" si="1"/>
        <v>10161</v>
      </c>
      <c r="I39" s="11">
        <f t="shared" si="1"/>
        <v>10290</v>
      </c>
      <c r="J39" s="25">
        <f t="shared" si="1"/>
        <v>4471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8">
        <f>+summary!H4</f>
        <v>1.7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7600.7</v>
      </c>
      <c r="L41"/>
      <c r="R41" s="138"/>
      <c r="X41" s="138"/>
    </row>
    <row r="42" spans="1:24" x14ac:dyDescent="0.2">
      <c r="A42" s="57">
        <v>37164</v>
      </c>
      <c r="C42" s="15"/>
      <c r="J42" s="474">
        <v>350086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37170</v>
      </c>
      <c r="C43" s="48"/>
      <c r="J43" s="138">
        <f>+J42+J41</f>
        <v>357686.7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153</v>
      </c>
      <c r="B46" s="32"/>
      <c r="C46" s="32"/>
      <c r="D46" s="32"/>
      <c r="L46"/>
    </row>
    <row r="47" spans="1:24" x14ac:dyDescent="0.2">
      <c r="A47" s="49">
        <f>+A42</f>
        <v>37164</v>
      </c>
      <c r="B47" s="32"/>
      <c r="C47" s="32"/>
      <c r="D47" s="468">
        <v>139304</v>
      </c>
      <c r="L47"/>
    </row>
    <row r="48" spans="1:24" x14ac:dyDescent="0.2">
      <c r="A48" s="49">
        <f>+A43</f>
        <v>37170</v>
      </c>
      <c r="B48" s="32"/>
      <c r="C48" s="32"/>
      <c r="D48" s="371">
        <f>+J39</f>
        <v>4471</v>
      </c>
      <c r="L48"/>
    </row>
    <row r="49" spans="1:12" x14ac:dyDescent="0.2">
      <c r="A49" s="32"/>
      <c r="B49" s="32"/>
      <c r="C49" s="32"/>
      <c r="D49" s="14">
        <f>+D48+D47</f>
        <v>143775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workbookViewId="0">
      <selection activeCell="C26" sqref="C26"/>
    </sheetView>
    <sheetView tabSelected="1" topLeftCell="A7" workbookViewId="1">
      <selection activeCell="B16" sqref="B16"/>
    </sheetView>
    <sheetView topLeftCell="A23" workbookViewId="2">
      <selection activeCell="J34" sqref="J34"/>
    </sheetView>
    <sheetView tabSelected="1" topLeftCell="A27" workbookViewId="3">
      <selection activeCell="B37" sqref="B37"/>
    </sheetView>
  </sheetViews>
  <sheetFormatPr defaultRowHeight="12.75" x14ac:dyDescent="0.2"/>
  <cols>
    <col min="1" max="1" width="16.42578125" style="293" customWidth="1"/>
    <col min="2" max="2" width="12.28515625" style="250" bestFit="1" customWidth="1"/>
    <col min="3" max="3" width="11.5703125" style="294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0" t="s">
        <v>143</v>
      </c>
      <c r="G2" s="388" t="s">
        <v>79</v>
      </c>
      <c r="H2" s="365"/>
    </row>
    <row r="3" spans="1:32" ht="15" customHeight="1" x14ac:dyDescent="0.2">
      <c r="G3" s="297" t="s">
        <v>30</v>
      </c>
      <c r="H3" s="364">
        <f>+'[1]1001'!$K$39</f>
        <v>1.6</v>
      </c>
      <c r="I3" s="399">
        <f ca="1">NOW()</f>
        <v>41885.693853472221</v>
      </c>
    </row>
    <row r="4" spans="1:32" ht="15" customHeight="1" x14ac:dyDescent="0.2">
      <c r="A4" s="34" t="s">
        <v>149</v>
      </c>
      <c r="C4" s="34" t="s">
        <v>5</v>
      </c>
      <c r="G4" s="298" t="s">
        <v>31</v>
      </c>
      <c r="H4" s="299">
        <f>+'[1]1001'!$M$39</f>
        <v>1.7</v>
      </c>
    </row>
    <row r="5" spans="1:32" ht="15" customHeight="1" x14ac:dyDescent="0.2">
      <c r="B5" s="362"/>
      <c r="G5" s="297" t="s">
        <v>118</v>
      </c>
      <c r="H5" s="364">
        <f>+'[1]1001'!$H$39</f>
        <v>1.75</v>
      </c>
    </row>
    <row r="6" spans="1:32" ht="12" customHeight="1" x14ac:dyDescent="0.2">
      <c r="C6" s="506" t="s">
        <v>198</v>
      </c>
    </row>
    <row r="7" spans="1:32" ht="15" customHeight="1" x14ac:dyDescent="0.2">
      <c r="A7" s="351" t="s">
        <v>90</v>
      </c>
      <c r="B7" s="352" t="s">
        <v>17</v>
      </c>
      <c r="C7" s="353" t="s">
        <v>0</v>
      </c>
      <c r="D7" s="5" t="s">
        <v>150</v>
      </c>
      <c r="E7" s="351" t="s">
        <v>91</v>
      </c>
      <c r="F7" s="354" t="s">
        <v>102</v>
      </c>
      <c r="G7" s="351" t="s">
        <v>99</v>
      </c>
    </row>
    <row r="8" spans="1:32" ht="15" customHeight="1" x14ac:dyDescent="0.2">
      <c r="A8" s="251" t="s">
        <v>108</v>
      </c>
      <c r="B8" s="367">
        <f>+KN_Westar!F41</f>
        <v>507929.10000000003</v>
      </c>
      <c r="C8" s="283">
        <f t="shared" ref="C8:C16" si="0">+B8/$H$4</f>
        <v>298781.82352941181</v>
      </c>
      <c r="D8" s="390">
        <f>+KN_Westar!A41</f>
        <v>37170</v>
      </c>
      <c r="E8" s="32" t="s">
        <v>86</v>
      </c>
      <c r="F8" s="32" t="s">
        <v>101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366" t="s">
        <v>33</v>
      </c>
      <c r="B9" s="367">
        <f>+C9*$H$4</f>
        <v>507031.8</v>
      </c>
      <c r="C9" s="208">
        <f>+SoCal!F40</f>
        <v>298254</v>
      </c>
      <c r="D9" s="389">
        <f>+SoCal!A40</f>
        <v>37171</v>
      </c>
      <c r="E9" s="206" t="s">
        <v>85</v>
      </c>
      <c r="F9" s="206" t="s">
        <v>103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1" t="s">
        <v>151</v>
      </c>
      <c r="B10" s="367">
        <f>+PGETX!$H$39</f>
        <v>443738.9</v>
      </c>
      <c r="C10" s="283">
        <f t="shared" si="0"/>
        <v>261022.8823529412</v>
      </c>
      <c r="D10" s="390">
        <f>+PGETX!E39</f>
        <v>37170</v>
      </c>
      <c r="E10" s="32" t="s">
        <v>86</v>
      </c>
      <c r="F10" s="32" t="s">
        <v>103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1" t="s">
        <v>111</v>
      </c>
      <c r="B11" s="367">
        <f>+CIG!$D$43</f>
        <v>394424</v>
      </c>
      <c r="C11" s="283">
        <f t="shared" si="0"/>
        <v>232014.11764705883</v>
      </c>
      <c r="D11" s="390">
        <f>+CIG!A43</f>
        <v>37170</v>
      </c>
      <c r="E11" s="32" t="s">
        <v>86</v>
      </c>
      <c r="F11" s="32" t="s">
        <v>114</v>
      </c>
      <c r="G11" s="32" t="s">
        <v>191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1" t="s">
        <v>81</v>
      </c>
      <c r="B12" s="367">
        <f>+Conoco!$F$41</f>
        <v>389020.63</v>
      </c>
      <c r="C12" s="283">
        <f>+B12/$H$4</f>
        <v>228835.66470588237</v>
      </c>
      <c r="D12" s="389">
        <f>+Conoco!A41</f>
        <v>37170</v>
      </c>
      <c r="E12" s="32" t="s">
        <v>86</v>
      </c>
      <c r="F12" s="32" t="s">
        <v>114</v>
      </c>
      <c r="G12" s="32" t="s">
        <v>146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1" t="s">
        <v>3</v>
      </c>
      <c r="B13" s="367">
        <f>+'Amoco Abo'!$F$43</f>
        <v>380561.10000000003</v>
      </c>
      <c r="C13" s="283">
        <f t="shared" si="0"/>
        <v>223859.47058823533</v>
      </c>
      <c r="D13" s="390">
        <f>+'Amoco Abo'!A43</f>
        <v>37170</v>
      </c>
      <c r="E13" s="32" t="s">
        <v>86</v>
      </c>
      <c r="F13" s="32" t="s">
        <v>116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366" t="s">
        <v>88</v>
      </c>
      <c r="B14" s="367">
        <f>+NNG!$D$24</f>
        <v>370340.4</v>
      </c>
      <c r="C14" s="283">
        <f t="shared" si="0"/>
        <v>217847.29411764708</v>
      </c>
      <c r="D14" s="389">
        <f>+NNG!A24</f>
        <v>37170</v>
      </c>
      <c r="E14" s="206" t="s">
        <v>86</v>
      </c>
      <c r="F14" s="206" t="s">
        <v>101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366" t="s">
        <v>29</v>
      </c>
      <c r="B15" s="367">
        <f>+C15*$H$3</f>
        <v>361521.60000000003</v>
      </c>
      <c r="C15" s="283">
        <f>+williams!J40</f>
        <v>225951</v>
      </c>
      <c r="D15" s="389">
        <f>+williams!A40</f>
        <v>37171</v>
      </c>
      <c r="E15" s="206" t="s">
        <v>85</v>
      </c>
      <c r="F15" s="206" t="s">
        <v>148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251" t="s">
        <v>2</v>
      </c>
      <c r="B16" s="367">
        <f>+mewborne!$J$43</f>
        <v>357686.7</v>
      </c>
      <c r="C16" s="283">
        <f t="shared" si="0"/>
        <v>210403.9411764706</v>
      </c>
      <c r="D16" s="390">
        <f>+mewborne!A43</f>
        <v>37170</v>
      </c>
      <c r="E16" s="32" t="s">
        <v>86</v>
      </c>
      <c r="F16" s="32" t="s">
        <v>100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1" t="s">
        <v>95</v>
      </c>
      <c r="B17" s="367">
        <f>+C17*$H$4</f>
        <v>272034</v>
      </c>
      <c r="C17" s="283">
        <f>+Mojave!D40</f>
        <v>160020</v>
      </c>
      <c r="D17" s="390">
        <f>+Mojave!A40</f>
        <v>37170</v>
      </c>
      <c r="E17" s="32" t="s">
        <v>85</v>
      </c>
      <c r="F17" s="32" t="s">
        <v>101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1" t="s">
        <v>24</v>
      </c>
      <c r="B18" s="433">
        <f>+C18*$H$3</f>
        <v>254380.80000000002</v>
      </c>
      <c r="C18" s="369">
        <f>+'Red C'!F43</f>
        <v>158988</v>
      </c>
      <c r="D18" s="389">
        <f>+'Red C'!B43</f>
        <v>37171</v>
      </c>
      <c r="E18" s="206" t="s">
        <v>85</v>
      </c>
      <c r="F18" s="32" t="s">
        <v>116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1" t="s">
        <v>83</v>
      </c>
      <c r="B19" s="367">
        <f>+PNM!$D$23</f>
        <v>245437.53</v>
      </c>
      <c r="C19" s="283">
        <f>+B19/$H$4</f>
        <v>144375.01764705882</v>
      </c>
      <c r="D19" s="390">
        <f>+PNM!A23</f>
        <v>37170</v>
      </c>
      <c r="E19" s="32" t="s">
        <v>86</v>
      </c>
      <c r="F19" s="32" t="s">
        <v>116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1" t="s">
        <v>89</v>
      </c>
      <c r="B20" s="367">
        <f>+C20*$H$4</f>
        <v>220699.1</v>
      </c>
      <c r="C20" s="283">
        <f>+NGPL!F38</f>
        <v>129823</v>
      </c>
      <c r="D20" s="390">
        <f>+NGPL!A38</f>
        <v>37170</v>
      </c>
      <c r="E20" s="32" t="s">
        <v>85</v>
      </c>
      <c r="F20" s="32" t="s">
        <v>116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1" t="s">
        <v>115</v>
      </c>
      <c r="B21" s="367">
        <f>+C21*$H$4</f>
        <v>129269.7</v>
      </c>
      <c r="C21" s="208">
        <f>+'PG&amp;E'!D40</f>
        <v>76041</v>
      </c>
      <c r="D21" s="390">
        <f>+'PG&amp;E'!A40</f>
        <v>37171</v>
      </c>
      <c r="E21" s="32" t="s">
        <v>85</v>
      </c>
      <c r="F21" s="32" t="s">
        <v>103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1" t="s">
        <v>32</v>
      </c>
      <c r="B22" s="367">
        <f>+C22*$H$4</f>
        <v>117684.2</v>
      </c>
      <c r="C22" s="283">
        <f>+Lonestar!F42</f>
        <v>69226</v>
      </c>
      <c r="D22" s="389">
        <f>+Lonestar!B42</f>
        <v>37171</v>
      </c>
      <c r="E22" s="32" t="s">
        <v>85</v>
      </c>
      <c r="F22" s="32" t="s">
        <v>103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1" t="s">
        <v>1</v>
      </c>
      <c r="B23" s="367">
        <f>+C23*$H$3</f>
        <v>99790.400000000009</v>
      </c>
      <c r="C23" s="208">
        <f>+NW!$F$41</f>
        <v>62369</v>
      </c>
      <c r="D23" s="389">
        <f>+NW!B41</f>
        <v>37171</v>
      </c>
      <c r="E23" s="32" t="s">
        <v>85</v>
      </c>
      <c r="F23" s="32" t="s">
        <v>116</v>
      </c>
      <c r="G23" s="373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1" t="s">
        <v>129</v>
      </c>
      <c r="B24" s="367">
        <f>+DEFS!F53</f>
        <v>88493.549999999814</v>
      </c>
      <c r="C24" s="208">
        <f>+B24/$H$4</f>
        <v>52055.029411764597</v>
      </c>
      <c r="D24" s="389">
        <f>+DEFS!A40</f>
        <v>37171</v>
      </c>
      <c r="E24" s="32" t="s">
        <v>86</v>
      </c>
      <c r="F24" s="32" t="s">
        <v>101</v>
      </c>
      <c r="G24" s="32" t="s">
        <v>119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366" t="s">
        <v>80</v>
      </c>
      <c r="B25" s="367">
        <f>+Agave!$D$24</f>
        <v>82056.73</v>
      </c>
      <c r="C25" s="208">
        <f>+B25/$H$4</f>
        <v>48268.664705882351</v>
      </c>
      <c r="D25" s="389">
        <f>+Agave!A24</f>
        <v>37170</v>
      </c>
      <c r="E25" s="206" t="s">
        <v>86</v>
      </c>
      <c r="F25" s="206" t="s">
        <v>103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51" t="s">
        <v>7</v>
      </c>
      <c r="B26" s="367">
        <f>+C26*$H$4</f>
        <v>80841.8</v>
      </c>
      <c r="C26" s="208">
        <f>+Oasis!D40</f>
        <v>47554</v>
      </c>
      <c r="D26" s="390">
        <f>+Oasis!B40</f>
        <v>37170</v>
      </c>
      <c r="E26" s="32" t="s">
        <v>85</v>
      </c>
      <c r="F26" s="32" t="s">
        <v>103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251" t="s">
        <v>6</v>
      </c>
      <c r="B27" s="367">
        <f>+C27*$H$3</f>
        <v>74968</v>
      </c>
      <c r="C27" s="283">
        <f>+Amoco!D40</f>
        <v>46855</v>
      </c>
      <c r="D27" s="390">
        <f>+Amoco!A40</f>
        <v>37171</v>
      </c>
      <c r="E27" s="32" t="s">
        <v>85</v>
      </c>
      <c r="F27" s="32" t="s">
        <v>116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251" t="s">
        <v>104</v>
      </c>
      <c r="B28" s="367">
        <f>+EOG!J41</f>
        <v>54641.1</v>
      </c>
      <c r="C28" s="283">
        <f>+B28/$H$4</f>
        <v>32141.823529411766</v>
      </c>
      <c r="D28" s="389">
        <f>+EOG!A41</f>
        <v>37170</v>
      </c>
      <c r="E28" s="32" t="s">
        <v>86</v>
      </c>
      <c r="F28" s="32" t="s">
        <v>103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366" t="s">
        <v>72</v>
      </c>
      <c r="B29" s="368">
        <f>+transcol!$D$43</f>
        <v>46042.9</v>
      </c>
      <c r="C29" s="369">
        <f>+B29/$H$4</f>
        <v>27084.058823529413</v>
      </c>
      <c r="D29" s="389">
        <f>+transcol!A43</f>
        <v>37171</v>
      </c>
      <c r="E29" s="206" t="s">
        <v>86</v>
      </c>
      <c r="F29" s="206" t="s">
        <v>116</v>
      </c>
      <c r="G29" s="30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366" t="s">
        <v>130</v>
      </c>
      <c r="B30" s="367">
        <f>+Calpine!D41</f>
        <v>29914.200000000004</v>
      </c>
      <c r="C30" s="208">
        <f>+B30/$H$4</f>
        <v>17596.588235294119</v>
      </c>
      <c r="D30" s="389">
        <f>+Calpine!A41</f>
        <v>37171</v>
      </c>
      <c r="E30" s="206" t="s">
        <v>86</v>
      </c>
      <c r="F30" s="206" t="s">
        <v>100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s="302" customFormat="1" ht="13.5" customHeight="1" x14ac:dyDescent="0.2">
      <c r="A31" s="366" t="s">
        <v>145</v>
      </c>
      <c r="B31" s="368">
        <f>+C31*$H$4</f>
        <v>5217.3</v>
      </c>
      <c r="C31" s="369">
        <f>+PEPL!D41</f>
        <v>3069</v>
      </c>
      <c r="D31" s="389">
        <f>+PEPL!A41</f>
        <v>37171</v>
      </c>
      <c r="E31" s="206" t="s">
        <v>85</v>
      </c>
      <c r="F31" s="206" t="s">
        <v>101</v>
      </c>
      <c r="G31" s="206" t="s">
        <v>144</v>
      </c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</row>
    <row r="32" spans="1:32" s="302" customFormat="1" ht="12.95" customHeight="1" x14ac:dyDescent="0.2">
      <c r="A32" s="366" t="s">
        <v>142</v>
      </c>
      <c r="B32" s="367">
        <f>+'Citizens-Griffith'!D41</f>
        <v>13168.699999999997</v>
      </c>
      <c r="C32" s="283">
        <f>+B32/$H$4</f>
        <v>7746.2941176470576</v>
      </c>
      <c r="D32" s="389">
        <f>+'Citizens-Griffith'!A41</f>
        <v>37171</v>
      </c>
      <c r="E32" s="206" t="s">
        <v>86</v>
      </c>
      <c r="F32" s="206" t="s">
        <v>100</v>
      </c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</row>
    <row r="33" spans="1:32" ht="15" customHeight="1" x14ac:dyDescent="0.2">
      <c r="A33" s="366" t="s">
        <v>96</v>
      </c>
      <c r="B33" s="367">
        <f>+burlington!D42</f>
        <v>17597.8</v>
      </c>
      <c r="C33" s="283">
        <f>+B33/$H$3</f>
        <v>10998.624999999998</v>
      </c>
      <c r="D33" s="389">
        <f>+burlington!A42</f>
        <v>37170</v>
      </c>
      <c r="E33" s="206" t="s">
        <v>86</v>
      </c>
      <c r="F33" s="32" t="s">
        <v>114</v>
      </c>
      <c r="G33" s="32" t="s">
        <v>147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2.95" customHeight="1" x14ac:dyDescent="0.2">
      <c r="A34" s="366" t="s">
        <v>110</v>
      </c>
      <c r="B34" s="367">
        <f>+Continental!F43</f>
        <v>16353.2</v>
      </c>
      <c r="C34" s="208">
        <f>+B34/$H$4</f>
        <v>9619.5294117647063</v>
      </c>
      <c r="D34" s="389">
        <f>+Continental!A43</f>
        <v>37170</v>
      </c>
      <c r="E34" s="206" t="s">
        <v>86</v>
      </c>
      <c r="F34" s="206" t="s">
        <v>116</v>
      </c>
      <c r="G34" s="206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s="302" customFormat="1" ht="12.95" customHeight="1" x14ac:dyDescent="0.2">
      <c r="A35" s="251" t="s">
        <v>134</v>
      </c>
      <c r="B35" s="370">
        <f>+SidR!D41</f>
        <v>9666.5</v>
      </c>
      <c r="C35" s="71">
        <f>+B35/$H$4</f>
        <v>5686.1764705882351</v>
      </c>
      <c r="D35" s="390">
        <f>+SidR!A41</f>
        <v>37171</v>
      </c>
      <c r="E35" s="32" t="s">
        <v>86</v>
      </c>
      <c r="F35" s="32" t="s">
        <v>103</v>
      </c>
      <c r="G35" s="32" t="s">
        <v>160</v>
      </c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</row>
    <row r="36" spans="1:32" ht="18" customHeight="1" x14ac:dyDescent="0.2">
      <c r="A36" s="32" t="s">
        <v>97</v>
      </c>
      <c r="B36" s="47">
        <f>SUM(B8:B35)</f>
        <v>5570511.7400000012</v>
      </c>
      <c r="C36" s="69">
        <f>SUM(C8:C35)</f>
        <v>3306487.0014705886</v>
      </c>
      <c r="D36" s="205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2"/>
      <c r="B37" s="47"/>
      <c r="C37" s="69"/>
      <c r="D37" s="205"/>
      <c r="E37" s="32"/>
      <c r="F37" s="37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351" t="s">
        <v>90</v>
      </c>
      <c r="B38" s="352" t="s">
        <v>17</v>
      </c>
      <c r="C38" s="353" t="s">
        <v>0</v>
      </c>
      <c r="D38" s="361" t="s">
        <v>150</v>
      </c>
      <c r="E38" s="351" t="s">
        <v>91</v>
      </c>
      <c r="F38" s="354" t="s">
        <v>102</v>
      </c>
      <c r="G38" s="351" t="s">
        <v>99</v>
      </c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366" t="s">
        <v>138</v>
      </c>
      <c r="B39" s="367">
        <f>+Citizens!D18</f>
        <v>-580413.11</v>
      </c>
      <c r="C39" s="208">
        <f>+B39/$H$4</f>
        <v>-341419.47647058824</v>
      </c>
      <c r="D39" s="389">
        <f>+Citizens!A18</f>
        <v>37170</v>
      </c>
      <c r="E39" s="206" t="s">
        <v>86</v>
      </c>
      <c r="F39" s="206" t="s">
        <v>100</v>
      </c>
      <c r="G39" s="373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51" t="s">
        <v>136</v>
      </c>
      <c r="B40" s="367">
        <f>+'NS Steel'!D41</f>
        <v>-470393.8</v>
      </c>
      <c r="C40" s="208">
        <f>+B40/$H$4</f>
        <v>-276702.23529411765</v>
      </c>
      <c r="D40" s="390">
        <f>+'NS Steel'!A41</f>
        <v>37170</v>
      </c>
      <c r="E40" s="32" t="s">
        <v>86</v>
      </c>
      <c r="F40" s="32" t="s">
        <v>101</v>
      </c>
      <c r="G40" s="373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251" t="s">
        <v>132</v>
      </c>
      <c r="B41" s="367">
        <f>+EPFS!D41</f>
        <v>-57292.25</v>
      </c>
      <c r="C41" s="208">
        <f>+B41/$H$5</f>
        <v>-32738.428571428572</v>
      </c>
      <c r="D41" s="389">
        <f>+EPFS!A41</f>
        <v>37171</v>
      </c>
      <c r="E41" s="32" t="s">
        <v>86</v>
      </c>
      <c r="F41" s="32" t="s">
        <v>103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s="302" customFormat="1" ht="13.5" customHeight="1" x14ac:dyDescent="0.2">
      <c r="A42" s="366" t="s">
        <v>34</v>
      </c>
      <c r="B42" s="370">
        <f>+'El Paso'!C39*summary!H4+'El Paso'!E39*summary!H3</f>
        <v>-24933.10000000002</v>
      </c>
      <c r="C42" s="71">
        <f>+'El Paso'!H39</f>
        <v>-19119</v>
      </c>
      <c r="D42" s="389">
        <f>+'El Paso'!A39</f>
        <v>37170</v>
      </c>
      <c r="E42" s="206" t="s">
        <v>85</v>
      </c>
      <c r="F42" s="206" t="s">
        <v>101</v>
      </c>
      <c r="G42" s="206" t="s">
        <v>120</v>
      </c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</row>
    <row r="43" spans="1:32" ht="15" customHeight="1" x14ac:dyDescent="0.2">
      <c r="A43" s="32" t="s">
        <v>98</v>
      </c>
      <c r="B43" s="367">
        <f>SUM(B39:B42)</f>
        <v>-1133032.26</v>
      </c>
      <c r="C43" s="208">
        <f>SUM(C39:C42)</f>
        <v>-669979.14033613435</v>
      </c>
      <c r="D43" s="37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0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92</v>
      </c>
      <c r="B45" s="375">
        <f>+B43+B36</f>
        <v>4437479.4800000014</v>
      </c>
      <c r="C45" s="376">
        <f>+C43+C36</f>
        <v>2636507.8611344541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93</v>
      </c>
      <c r="B47" s="47"/>
      <c r="C47" s="303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77"/>
      <c r="C60" s="378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79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3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3"/>
      <c r="D66" s="380"/>
      <c r="E66" s="381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3"/>
      <c r="D67" s="38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3"/>
      <c r="D68" s="38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3"/>
      <c r="D69" s="383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3"/>
      <c r="D70" s="384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85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85"/>
      <c r="C72" s="69"/>
      <c r="D72" s="379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86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86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85"/>
      <c r="C75" s="14"/>
      <c r="D75" s="379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85"/>
      <c r="C76" s="69"/>
      <c r="D76" s="379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85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77"/>
      <c r="C78" s="387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6" workbookViewId="3">
      <selection activeCell="D34" sqref="D34"/>
    </sheetView>
  </sheetViews>
  <sheetFormatPr defaultRowHeight="12.75" x14ac:dyDescent="0.2"/>
  <cols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192</v>
      </c>
      <c r="C6" s="293"/>
      <c r="D6" s="34" t="s">
        <v>193</v>
      </c>
      <c r="E6" s="293"/>
      <c r="F6" s="293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61" t="s">
        <v>11</v>
      </c>
      <c r="B7" s="492" t="s">
        <v>20</v>
      </c>
      <c r="C7" s="492" t="s">
        <v>21</v>
      </c>
      <c r="D7" s="492" t="s">
        <v>20</v>
      </c>
      <c r="E7" s="492" t="s">
        <v>21</v>
      </c>
      <c r="F7" s="492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93">
        <v>1</v>
      </c>
      <c r="B8" s="441">
        <v>12831</v>
      </c>
      <c r="C8" s="441">
        <v>12837</v>
      </c>
      <c r="D8" s="441">
        <v>-114</v>
      </c>
      <c r="E8" s="441"/>
      <c r="F8" s="319">
        <f>+C8-B8+E8-D8</f>
        <v>120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93">
        <v>2</v>
      </c>
      <c r="B9" s="441">
        <v>13029</v>
      </c>
      <c r="C9" s="441">
        <v>8071</v>
      </c>
      <c r="D9" s="441">
        <v>-153</v>
      </c>
      <c r="E9" s="441"/>
      <c r="F9" s="319">
        <f t="shared" ref="F9:F37" si="0">+C9-B9+E9-D9</f>
        <v>-4805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93">
        <v>3</v>
      </c>
      <c r="B10" s="441">
        <v>13847</v>
      </c>
      <c r="C10" s="441">
        <v>12691</v>
      </c>
      <c r="D10" s="441">
        <v>-842</v>
      </c>
      <c r="E10" s="441"/>
      <c r="F10" s="319">
        <f t="shared" si="0"/>
        <v>-314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93">
        <v>4</v>
      </c>
      <c r="B11" s="441">
        <v>13138</v>
      </c>
      <c r="C11" s="441">
        <v>12697</v>
      </c>
      <c r="D11" s="441">
        <v>-377</v>
      </c>
      <c r="E11" s="441"/>
      <c r="F11" s="319">
        <f t="shared" si="0"/>
        <v>-64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93">
        <v>5</v>
      </c>
      <c r="B12" s="441">
        <v>13313</v>
      </c>
      <c r="C12" s="441">
        <v>12697</v>
      </c>
      <c r="D12" s="441">
        <v>-312</v>
      </c>
      <c r="E12" s="441"/>
      <c r="F12" s="319">
        <f t="shared" si="0"/>
        <v>-304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93">
        <v>6</v>
      </c>
      <c r="B13" s="441">
        <v>13235</v>
      </c>
      <c r="C13" s="441">
        <v>12697</v>
      </c>
      <c r="D13" s="441">
        <v>-27</v>
      </c>
      <c r="E13" s="441"/>
      <c r="F13" s="319">
        <f t="shared" si="0"/>
        <v>-511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93">
        <v>7</v>
      </c>
      <c r="B14" s="441"/>
      <c r="C14" s="441"/>
      <c r="D14" s="441"/>
      <c r="E14" s="441"/>
      <c r="F14" s="319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93">
        <v>8</v>
      </c>
      <c r="B15" s="441"/>
      <c r="C15" s="441"/>
      <c r="D15" s="441"/>
      <c r="E15" s="441"/>
      <c r="F15" s="319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93">
        <v>9</v>
      </c>
      <c r="B16" s="441"/>
      <c r="C16" s="441"/>
      <c r="D16" s="441"/>
      <c r="E16" s="441"/>
      <c r="F16" s="319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93">
        <v>10</v>
      </c>
      <c r="B17" s="441"/>
      <c r="C17" s="441"/>
      <c r="D17" s="441"/>
      <c r="E17" s="441"/>
      <c r="F17" s="319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93">
        <v>11</v>
      </c>
      <c r="B18" s="441"/>
      <c r="C18" s="441"/>
      <c r="D18" s="441"/>
      <c r="E18" s="441"/>
      <c r="F18" s="319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93">
        <v>12</v>
      </c>
      <c r="B19" s="441"/>
      <c r="C19" s="441"/>
      <c r="D19" s="441"/>
      <c r="E19" s="441"/>
      <c r="F19" s="319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93">
        <v>13</v>
      </c>
      <c r="B20" s="441"/>
      <c r="C20" s="441"/>
      <c r="D20" s="441"/>
      <c r="E20" s="441"/>
      <c r="F20" s="319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93">
        <v>14</v>
      </c>
      <c r="B21" s="441"/>
      <c r="C21" s="441"/>
      <c r="D21" s="441"/>
      <c r="E21" s="441"/>
      <c r="F21" s="319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93">
        <v>15</v>
      </c>
      <c r="B22" s="441"/>
      <c r="C22" s="441"/>
      <c r="D22" s="441"/>
      <c r="E22" s="441"/>
      <c r="F22" s="319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93">
        <v>16</v>
      </c>
      <c r="B23" s="441"/>
      <c r="C23" s="441"/>
      <c r="D23" s="441"/>
      <c r="E23" s="441"/>
      <c r="F23" s="319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93">
        <v>17</v>
      </c>
      <c r="B24" s="441"/>
      <c r="C24" s="441"/>
      <c r="D24" s="441"/>
      <c r="E24" s="441"/>
      <c r="F24" s="319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93">
        <v>18</v>
      </c>
      <c r="B25" s="441"/>
      <c r="C25" s="441"/>
      <c r="D25" s="441"/>
      <c r="E25" s="441"/>
      <c r="F25" s="319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93">
        <v>19</v>
      </c>
      <c r="B26" s="441"/>
      <c r="C26" s="441"/>
      <c r="D26" s="441"/>
      <c r="E26" s="441"/>
      <c r="F26" s="319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93">
        <v>20</v>
      </c>
      <c r="B27" s="441"/>
      <c r="C27" s="441"/>
      <c r="D27" s="441"/>
      <c r="E27" s="441"/>
      <c r="F27" s="319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93">
        <v>21</v>
      </c>
      <c r="B28" s="441"/>
      <c r="C28" s="441"/>
      <c r="D28" s="441"/>
      <c r="E28" s="441"/>
      <c r="F28" s="319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93">
        <v>22</v>
      </c>
      <c r="B29" s="441"/>
      <c r="C29" s="441"/>
      <c r="D29" s="441"/>
      <c r="E29" s="441"/>
      <c r="F29" s="319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93">
        <v>23</v>
      </c>
      <c r="B30" s="441"/>
      <c r="C30" s="441"/>
      <c r="D30" s="441"/>
      <c r="E30" s="441"/>
      <c r="F30" s="319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93">
        <v>24</v>
      </c>
      <c r="B31" s="441"/>
      <c r="C31" s="441"/>
      <c r="D31" s="441"/>
      <c r="E31" s="441"/>
      <c r="F31" s="319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93">
        <v>25</v>
      </c>
      <c r="B32" s="441"/>
      <c r="C32" s="441"/>
      <c r="D32" s="441"/>
      <c r="E32" s="441"/>
      <c r="F32" s="319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93">
        <v>26</v>
      </c>
      <c r="B33" s="441"/>
      <c r="C33" s="441"/>
      <c r="D33" s="441"/>
      <c r="E33" s="441"/>
      <c r="F33" s="319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93">
        <v>27</v>
      </c>
      <c r="B34" s="441"/>
      <c r="C34" s="441"/>
      <c r="D34" s="441"/>
      <c r="E34" s="441"/>
      <c r="F34" s="319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93">
        <v>28</v>
      </c>
      <c r="B35" s="441"/>
      <c r="C35" s="441"/>
      <c r="D35" s="441"/>
      <c r="E35" s="441"/>
      <c r="F35" s="319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93">
        <v>29</v>
      </c>
      <c r="B36" s="441"/>
      <c r="C36" s="441"/>
      <c r="D36" s="441"/>
      <c r="E36" s="441"/>
      <c r="F36" s="319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93">
        <v>30</v>
      </c>
      <c r="B37" s="441"/>
      <c r="C37" s="441"/>
      <c r="D37" s="441"/>
      <c r="E37" s="441"/>
      <c r="F37" s="319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93">
        <v>31</v>
      </c>
      <c r="B38" s="441"/>
      <c r="C38" s="441"/>
      <c r="D38" s="441"/>
      <c r="E38" s="441"/>
      <c r="F38" s="319"/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93"/>
      <c r="B39" s="441">
        <f>SUM(B8:B38)</f>
        <v>79393</v>
      </c>
      <c r="C39" s="441">
        <f>SUM(C8:C38)</f>
        <v>71690</v>
      </c>
      <c r="D39" s="441">
        <f>SUM(D8:D38)</f>
        <v>-1825</v>
      </c>
      <c r="E39" s="441">
        <f>SUM(E8:E38)</f>
        <v>0</v>
      </c>
      <c r="F39" s="441">
        <f>SUM(F8:F38)</f>
        <v>-5878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94"/>
      <c r="B40" s="293"/>
      <c r="C40" s="495"/>
      <c r="D40" s="495"/>
      <c r="E40" s="495"/>
      <c r="F40" s="496">
        <f>+summary!H4</f>
        <v>1.7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93"/>
      <c r="B41" s="293"/>
      <c r="C41" s="293"/>
      <c r="D41" s="293"/>
      <c r="E41" s="293"/>
      <c r="F41" s="497">
        <f>+F40*F39</f>
        <v>-9992.6</v>
      </c>
      <c r="J41" s="138"/>
      <c r="N41" s="138"/>
      <c r="R41" s="138"/>
      <c r="V41" s="138"/>
      <c r="Z41" s="138"/>
    </row>
    <row r="42" spans="1:26" ht="15" customHeight="1" x14ac:dyDescent="0.2">
      <c r="A42" s="56">
        <v>37164</v>
      </c>
      <c r="B42" s="293"/>
      <c r="C42" s="498"/>
      <c r="D42" s="498"/>
      <c r="E42" s="498"/>
      <c r="F42" s="499">
        <v>390553.7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37170</v>
      </c>
      <c r="B43" s="293"/>
      <c r="C43" s="500"/>
      <c r="D43" s="500"/>
      <c r="E43" s="500"/>
      <c r="F43" s="447">
        <f>+F42+F41</f>
        <v>380561.10000000003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153</v>
      </c>
      <c r="B46" s="32"/>
      <c r="C46" s="32"/>
      <c r="D46" s="32"/>
      <c r="E46" s="11"/>
    </row>
    <row r="47" spans="1:26" x14ac:dyDescent="0.2">
      <c r="A47" s="49">
        <f>+A42</f>
        <v>37164</v>
      </c>
      <c r="B47" s="32"/>
      <c r="C47" s="32"/>
      <c r="D47" s="468">
        <v>-261011</v>
      </c>
      <c r="E47" s="11"/>
    </row>
    <row r="48" spans="1:26" x14ac:dyDescent="0.2">
      <c r="A48" s="49">
        <f>+A43</f>
        <v>37170</v>
      </c>
      <c r="B48" s="32"/>
      <c r="C48" s="32"/>
      <c r="D48" s="371">
        <f>+F39</f>
        <v>-5878</v>
      </c>
      <c r="E48" s="11"/>
    </row>
    <row r="49" spans="1:5" x14ac:dyDescent="0.2">
      <c r="A49" s="32"/>
      <c r="B49" s="32"/>
      <c r="C49" s="32"/>
      <c r="D49" s="14">
        <f>+D48+D47</f>
        <v>-266889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2" workbookViewId="3">
      <selection activeCell="C20" sqref="C20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88</v>
      </c>
      <c r="B4" s="69"/>
      <c r="C4" s="289"/>
      <c r="D4" s="69"/>
    </row>
    <row r="5" spans="1:8" x14ac:dyDescent="0.2">
      <c r="B5" s="290" t="s">
        <v>20</v>
      </c>
      <c r="C5" s="290" t="s">
        <v>21</v>
      </c>
      <c r="D5" s="291" t="s">
        <v>50</v>
      </c>
    </row>
    <row r="6" spans="1:8" x14ac:dyDescent="0.2">
      <c r="A6" s="32">
        <v>1635</v>
      </c>
      <c r="B6" s="340">
        <v>-990</v>
      </c>
      <c r="C6" s="80"/>
      <c r="D6" s="80">
        <f t="shared" ref="D6:D14" si="0">+C6-B6</f>
        <v>990</v>
      </c>
    </row>
    <row r="7" spans="1:8" x14ac:dyDescent="0.2">
      <c r="A7" s="32">
        <v>3531</v>
      </c>
      <c r="B7" s="321">
        <v>-155096</v>
      </c>
      <c r="C7" s="80">
        <v>-141310</v>
      </c>
      <c r="D7" s="80">
        <f t="shared" si="0"/>
        <v>13786</v>
      </c>
    </row>
    <row r="8" spans="1:8" x14ac:dyDescent="0.2">
      <c r="A8" s="32">
        <v>60667</v>
      </c>
      <c r="B8" s="321">
        <v>-165937</v>
      </c>
      <c r="C8" s="80">
        <v>-128534</v>
      </c>
      <c r="D8" s="80">
        <f t="shared" si="0"/>
        <v>37403</v>
      </c>
      <c r="H8" s="252"/>
    </row>
    <row r="9" spans="1:8" x14ac:dyDescent="0.2">
      <c r="A9" s="32">
        <v>60749</v>
      </c>
      <c r="B9" s="321">
        <v>185194</v>
      </c>
      <c r="C9" s="80">
        <v>52902</v>
      </c>
      <c r="D9" s="80">
        <f t="shared" si="0"/>
        <v>-132292</v>
      </c>
      <c r="H9" s="252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2"/>
    </row>
    <row r="11" spans="1:8" x14ac:dyDescent="0.2">
      <c r="A11" s="32">
        <v>61334</v>
      </c>
      <c r="B11" s="321">
        <v>-67315</v>
      </c>
      <c r="C11" s="80"/>
      <c r="D11" s="80">
        <f t="shared" si="0"/>
        <v>67315</v>
      </c>
      <c r="H11" s="252"/>
    </row>
    <row r="12" spans="1:8" x14ac:dyDescent="0.2">
      <c r="A12" s="32">
        <v>62960</v>
      </c>
      <c r="B12" s="321"/>
      <c r="C12" s="80"/>
      <c r="D12" s="80">
        <f t="shared" si="0"/>
        <v>0</v>
      </c>
      <c r="H12" s="252"/>
    </row>
    <row r="13" spans="1:8" x14ac:dyDescent="0.2">
      <c r="A13" s="292"/>
      <c r="B13" s="80"/>
      <c r="C13" s="80"/>
      <c r="D13" s="80">
        <f t="shared" si="0"/>
        <v>0</v>
      </c>
      <c r="H13" s="252"/>
    </row>
    <row r="14" spans="1:8" x14ac:dyDescent="0.2">
      <c r="B14" s="80"/>
      <c r="C14" s="80"/>
      <c r="D14" s="80">
        <f t="shared" si="0"/>
        <v>0</v>
      </c>
      <c r="H14" s="252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-12798</v>
      </c>
    </row>
    <row r="19" spans="1:5" x14ac:dyDescent="0.2">
      <c r="A19" s="32" t="s">
        <v>82</v>
      </c>
      <c r="B19" s="69"/>
      <c r="C19" s="69"/>
      <c r="D19" s="73">
        <f>+summary!H4</f>
        <v>1.7</v>
      </c>
    </row>
    <row r="20" spans="1:5" x14ac:dyDescent="0.2">
      <c r="B20" s="69"/>
      <c r="C20" s="69"/>
      <c r="D20" s="75">
        <f>+D19*D18</f>
        <v>-21756.6</v>
      </c>
    </row>
    <row r="21" spans="1:5" x14ac:dyDescent="0.2">
      <c r="B21" s="69"/>
      <c r="C21" s="80"/>
      <c r="D21" s="296"/>
      <c r="E21" s="252"/>
    </row>
    <row r="22" spans="1:5" x14ac:dyDescent="0.2">
      <c r="A22" s="49">
        <v>37164</v>
      </c>
      <c r="B22" s="69"/>
      <c r="C22" s="80"/>
      <c r="D22" s="467">
        <v>392097</v>
      </c>
      <c r="E22" s="252"/>
    </row>
    <row r="23" spans="1:5" x14ac:dyDescent="0.2">
      <c r="B23" s="69"/>
      <c r="C23" s="80"/>
      <c r="D23" s="296"/>
      <c r="E23" s="252"/>
    </row>
    <row r="24" spans="1:5" ht="12" thickBot="1" x14ac:dyDescent="0.25">
      <c r="A24" s="49">
        <v>37170</v>
      </c>
      <c r="B24" s="69"/>
      <c r="C24" s="69"/>
      <c r="D24" s="347">
        <f>+D22+D20</f>
        <v>370340.4</v>
      </c>
      <c r="E24" s="252"/>
    </row>
    <row r="25" spans="1:5" ht="12" thickTop="1" x14ac:dyDescent="0.2">
      <c r="B25" s="69"/>
      <c r="C25" s="69"/>
      <c r="D25" s="69"/>
      <c r="E25" s="252"/>
    </row>
    <row r="31" spans="1:5" x14ac:dyDescent="0.2">
      <c r="A31" s="32" t="s">
        <v>153</v>
      </c>
    </row>
    <row r="32" spans="1:5" x14ac:dyDescent="0.2">
      <c r="A32" s="49">
        <f>+A22</f>
        <v>37164</v>
      </c>
      <c r="D32" s="486">
        <v>-34047</v>
      </c>
    </row>
    <row r="33" spans="1:4" x14ac:dyDescent="0.2">
      <c r="A33" s="49">
        <f>+A24</f>
        <v>37170</v>
      </c>
      <c r="D33" s="371">
        <f>+D18</f>
        <v>-12798</v>
      </c>
    </row>
    <row r="34" spans="1:4" x14ac:dyDescent="0.2">
      <c r="D34" s="14">
        <f>+D33+D32</f>
        <v>-46845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3" workbookViewId="3">
      <selection activeCell="B7" sqref="B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84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9236</v>
      </c>
      <c r="B5" s="90">
        <v>-3592</v>
      </c>
      <c r="C5" s="90">
        <v>-11870</v>
      </c>
      <c r="D5" s="90">
        <f t="shared" ref="D5:D13" si="0">+C5-B5</f>
        <v>-8278</v>
      </c>
      <c r="E5" s="69"/>
      <c r="F5" s="70"/>
    </row>
    <row r="6" spans="1:13" x14ac:dyDescent="0.2">
      <c r="A6" s="87">
        <v>9238</v>
      </c>
      <c r="B6" s="90"/>
      <c r="C6" s="90"/>
      <c r="D6" s="90">
        <f t="shared" si="0"/>
        <v>0</v>
      </c>
      <c r="E6" s="283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v>-604703</v>
      </c>
      <c r="C7" s="90">
        <v>-553412</v>
      </c>
      <c r="D7" s="90">
        <f t="shared" si="0"/>
        <v>51291</v>
      </c>
      <c r="E7" s="283"/>
      <c r="F7" s="70"/>
    </row>
    <row r="8" spans="1:13" x14ac:dyDescent="0.2">
      <c r="A8" s="87">
        <v>58710</v>
      </c>
      <c r="B8" s="90">
        <v>-30559</v>
      </c>
      <c r="C8" s="90">
        <v>-26137</v>
      </c>
      <c r="D8" s="90">
        <f t="shared" si="0"/>
        <v>4422</v>
      </c>
      <c r="E8" s="283"/>
      <c r="F8" s="70"/>
    </row>
    <row r="9" spans="1:13" x14ac:dyDescent="0.2">
      <c r="A9" s="87">
        <v>60921</v>
      </c>
      <c r="B9" s="90">
        <v>502656</v>
      </c>
      <c r="C9" s="90">
        <v>458611</v>
      </c>
      <c r="D9" s="90">
        <f t="shared" si="0"/>
        <v>-44045</v>
      </c>
      <c r="E9" s="283"/>
      <c r="F9" s="70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83"/>
      <c r="F10" s="281"/>
    </row>
    <row r="11" spans="1:13" x14ac:dyDescent="0.2">
      <c r="A11" s="87">
        <v>500084</v>
      </c>
      <c r="B11" s="90">
        <v>-6288</v>
      </c>
      <c r="C11" s="90">
        <v>-6000</v>
      </c>
      <c r="D11" s="90">
        <f t="shared" si="0"/>
        <v>288</v>
      </c>
      <c r="E11" s="284"/>
      <c r="F11" s="281"/>
    </row>
    <row r="12" spans="1:13" x14ac:dyDescent="0.2">
      <c r="A12" s="331">
        <v>500085</v>
      </c>
      <c r="B12" s="90"/>
      <c r="C12" s="90"/>
      <c r="D12" s="90">
        <f t="shared" si="0"/>
        <v>0</v>
      </c>
      <c r="E12" s="283"/>
      <c r="F12" s="281"/>
    </row>
    <row r="13" spans="1:13" x14ac:dyDescent="0.2">
      <c r="A13" s="87">
        <v>500097</v>
      </c>
      <c r="B13" s="90">
        <v>-175</v>
      </c>
      <c r="C13" s="90"/>
      <c r="D13" s="90">
        <f t="shared" si="0"/>
        <v>175</v>
      </c>
      <c r="E13" s="283"/>
      <c r="F13" s="281"/>
    </row>
    <row r="14" spans="1:13" x14ac:dyDescent="0.2">
      <c r="A14" s="87"/>
      <c r="B14" s="90"/>
      <c r="C14" s="90"/>
      <c r="D14" s="90"/>
      <c r="E14" s="283"/>
      <c r="F14" s="281"/>
    </row>
    <row r="15" spans="1:13" x14ac:dyDescent="0.2">
      <c r="A15" s="87"/>
      <c r="B15" s="90"/>
      <c r="C15" s="90"/>
      <c r="D15" s="90"/>
      <c r="E15" s="283"/>
      <c r="F15" s="281"/>
    </row>
    <row r="16" spans="1:13" x14ac:dyDescent="0.2">
      <c r="A16" s="87"/>
      <c r="B16" s="88"/>
      <c r="C16" s="88"/>
      <c r="D16" s="94"/>
      <c r="E16" s="283"/>
      <c r="F16" s="281"/>
    </row>
    <row r="17" spans="1:7" x14ac:dyDescent="0.2">
      <c r="A17" s="87"/>
      <c r="B17" s="88"/>
      <c r="C17" s="88"/>
      <c r="D17" s="88">
        <f>SUM(D5:D16)</f>
        <v>3853</v>
      </c>
      <c r="E17" s="283"/>
      <c r="F17" s="281"/>
    </row>
    <row r="18" spans="1:7" x14ac:dyDescent="0.2">
      <c r="A18" s="87" t="s">
        <v>82</v>
      </c>
      <c r="B18" s="88"/>
      <c r="C18" s="88"/>
      <c r="D18" s="95">
        <f>+summary!H4</f>
        <v>1.7</v>
      </c>
      <c r="E18" s="285"/>
      <c r="F18" s="281"/>
    </row>
    <row r="19" spans="1:7" x14ac:dyDescent="0.2">
      <c r="A19" s="87"/>
      <c r="B19" s="88"/>
      <c r="C19" s="88"/>
      <c r="D19" s="96">
        <f>+D18*D17</f>
        <v>6550.0999999999995</v>
      </c>
      <c r="E19" s="209"/>
      <c r="F19" s="282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37164</v>
      </c>
      <c r="B21" s="88"/>
      <c r="C21" s="88"/>
      <c r="D21" s="473">
        <v>238887.43</v>
      </c>
      <c r="E21" s="209"/>
      <c r="F21" s="66"/>
    </row>
    <row r="22" spans="1:7" x14ac:dyDescent="0.2">
      <c r="A22" s="87"/>
      <c r="B22" s="88"/>
      <c r="C22" s="88"/>
      <c r="D22" s="320"/>
      <c r="E22" s="209"/>
      <c r="F22" s="66"/>
    </row>
    <row r="23" spans="1:7" ht="13.5" thickBot="1" x14ac:dyDescent="0.25">
      <c r="A23" s="99">
        <v>37170</v>
      </c>
      <c r="B23" s="88"/>
      <c r="C23" s="88"/>
      <c r="D23" s="332">
        <f>+D21+D19</f>
        <v>245437.53</v>
      </c>
      <c r="E23" s="209"/>
      <c r="F23" s="66"/>
    </row>
    <row r="24" spans="1:7" ht="13.5" thickTop="1" x14ac:dyDescent="0.2">
      <c r="E24" s="286"/>
    </row>
    <row r="25" spans="1:7" x14ac:dyDescent="0.2">
      <c r="E25" s="286"/>
    </row>
    <row r="27" spans="1:7" x14ac:dyDescent="0.2">
      <c r="A27" s="32" t="s">
        <v>153</v>
      </c>
      <c r="B27" s="32"/>
      <c r="C27" s="32"/>
      <c r="D27" s="32"/>
    </row>
    <row r="28" spans="1:7" x14ac:dyDescent="0.2">
      <c r="A28" s="49">
        <f>+A21</f>
        <v>37164</v>
      </c>
      <c r="B28" s="32"/>
      <c r="C28" s="32"/>
      <c r="D28" s="468">
        <v>65463</v>
      </c>
    </row>
    <row r="29" spans="1:7" x14ac:dyDescent="0.2">
      <c r="A29" s="49">
        <f>+A23</f>
        <v>37170</v>
      </c>
      <c r="B29" s="32"/>
      <c r="C29" s="32"/>
      <c r="D29" s="371">
        <f>+D17</f>
        <v>3853</v>
      </c>
    </row>
    <row r="30" spans="1:7" x14ac:dyDescent="0.2">
      <c r="A30" s="32"/>
      <c r="B30" s="32"/>
      <c r="C30" s="32"/>
      <c r="D30" s="14">
        <f>+D29+D28</f>
        <v>69316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3"/>
      <c r="E36" s="69"/>
      <c r="F36" s="70"/>
      <c r="G36" s="32"/>
    </row>
    <row r="37" spans="1:7" x14ac:dyDescent="0.2">
      <c r="B37" s="69"/>
      <c r="C37" s="69"/>
      <c r="D37" s="303"/>
      <c r="E37" s="69"/>
      <c r="F37" s="70"/>
      <c r="G37" s="32"/>
    </row>
    <row r="38" spans="1:7" x14ac:dyDescent="0.2">
      <c r="B38" s="69"/>
      <c r="C38" s="69"/>
      <c r="D38" s="303"/>
      <c r="E38" s="69"/>
      <c r="F38" s="70"/>
      <c r="G38" s="32"/>
    </row>
    <row r="39" spans="1:7" x14ac:dyDescent="0.2">
      <c r="B39" s="69"/>
      <c r="C39" s="69"/>
      <c r="D39" s="303"/>
      <c r="E39" s="69"/>
      <c r="F39" s="70"/>
      <c r="G39" s="32"/>
    </row>
    <row r="40" spans="1:7" x14ac:dyDescent="0.2">
      <c r="B40" s="69"/>
      <c r="C40" s="69"/>
      <c r="D40" s="303"/>
      <c r="E40" s="69"/>
      <c r="F40" s="70"/>
      <c r="G40" s="32"/>
    </row>
    <row r="41" spans="1:7" x14ac:dyDescent="0.2">
      <c r="B41" s="69"/>
      <c r="C41" s="69"/>
      <c r="D41" s="303"/>
      <c r="E41" s="69"/>
      <c r="F41" s="70"/>
      <c r="G41" s="32"/>
    </row>
    <row r="42" spans="1:7" x14ac:dyDescent="0.2">
      <c r="B42" s="69"/>
      <c r="C42" s="69"/>
      <c r="D42" s="303"/>
      <c r="E42" s="69"/>
      <c r="F42" s="70"/>
      <c r="G42" s="32"/>
    </row>
    <row r="43" spans="1:7" x14ac:dyDescent="0.2">
      <c r="B43" s="69"/>
      <c r="C43" s="69"/>
      <c r="D43" s="303"/>
      <c r="E43" s="69"/>
      <c r="F43" s="70"/>
      <c r="G43" s="32"/>
    </row>
    <row r="44" spans="1:7" x14ac:dyDescent="0.2">
      <c r="B44" s="69"/>
      <c r="C44" s="69"/>
      <c r="D44" s="304"/>
      <c r="E44" s="283"/>
      <c r="F44" s="281"/>
      <c r="G44" s="206"/>
    </row>
    <row r="45" spans="1:7" x14ac:dyDescent="0.2">
      <c r="B45" s="69"/>
      <c r="C45" s="69"/>
      <c r="D45" s="304"/>
      <c r="E45" s="283"/>
      <c r="F45" s="281"/>
      <c r="G45" s="206"/>
    </row>
    <row r="46" spans="1:7" x14ac:dyDescent="0.2">
      <c r="A46" s="32"/>
      <c r="B46" s="69"/>
      <c r="C46" s="69"/>
      <c r="D46" s="283"/>
      <c r="E46" s="283"/>
      <c r="F46" s="281"/>
      <c r="G46" s="206"/>
    </row>
    <row r="47" spans="1:7" x14ac:dyDescent="0.2">
      <c r="A47" s="32"/>
      <c r="B47" s="69"/>
      <c r="C47" s="69"/>
      <c r="D47" s="285"/>
      <c r="E47" s="285"/>
      <c r="F47" s="281"/>
      <c r="G47" s="206"/>
    </row>
    <row r="48" spans="1:7" x14ac:dyDescent="0.2">
      <c r="B48" s="69"/>
      <c r="C48" s="69"/>
      <c r="D48" s="283"/>
      <c r="E48" s="283"/>
      <c r="F48" s="282"/>
      <c r="G48" s="206"/>
    </row>
    <row r="49" spans="1:7" x14ac:dyDescent="0.2">
      <c r="B49" s="69"/>
      <c r="C49" s="69"/>
      <c r="D49" s="283"/>
      <c r="E49" s="283"/>
      <c r="F49" s="282"/>
      <c r="G49" s="206"/>
    </row>
    <row r="50" spans="1:7" x14ac:dyDescent="0.2">
      <c r="C50" s="300"/>
      <c r="D50" s="300"/>
      <c r="E50" s="300"/>
      <c r="F50" s="301"/>
      <c r="G50" s="302"/>
    </row>
    <row r="51" spans="1:7" x14ac:dyDescent="0.2">
      <c r="A51" s="32"/>
      <c r="C51" s="300"/>
      <c r="D51" s="300"/>
      <c r="E51" s="300"/>
      <c r="F51" s="301"/>
    </row>
    <row r="52" spans="1:7" x14ac:dyDescent="0.2">
      <c r="A52" s="32"/>
      <c r="C52" s="300"/>
      <c r="D52" s="300"/>
      <c r="E52" s="300"/>
      <c r="F52" s="301"/>
    </row>
    <row r="53" spans="1:7" x14ac:dyDescent="0.2">
      <c r="A53" s="32"/>
      <c r="C53" s="300"/>
      <c r="D53" s="300"/>
      <c r="E53" s="300"/>
      <c r="F53" s="301"/>
    </row>
    <row r="54" spans="1:7" x14ac:dyDescent="0.2">
      <c r="A54" s="32"/>
      <c r="C54" s="300"/>
      <c r="D54" s="300"/>
      <c r="E54" s="300"/>
      <c r="F54" s="301"/>
    </row>
    <row r="55" spans="1:7" x14ac:dyDescent="0.2">
      <c r="A55" s="32"/>
      <c r="C55" s="300"/>
      <c r="D55" s="300"/>
      <c r="E55" s="286"/>
      <c r="F55" s="286"/>
    </row>
    <row r="56" spans="1:7" x14ac:dyDescent="0.2">
      <c r="C56" s="300"/>
      <c r="D56" s="300"/>
      <c r="E56" s="286"/>
      <c r="F56" s="286"/>
    </row>
    <row r="57" spans="1:7" x14ac:dyDescent="0.2">
      <c r="C57" s="300"/>
      <c r="D57" s="300"/>
      <c r="E57" s="286"/>
      <c r="F57" s="286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4" workbookViewId="3">
      <selection activeCell="E32" sqref="E32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6" x14ac:dyDescent="0.2">
      <c r="A3">
        <v>1</v>
      </c>
      <c r="B3" s="90">
        <v>15647</v>
      </c>
      <c r="C3" s="90">
        <v>15382</v>
      </c>
      <c r="D3" s="90">
        <v>-17185</v>
      </c>
      <c r="E3" s="90">
        <v>-15000</v>
      </c>
      <c r="F3" s="90">
        <f>+E3-D3+C3-B3</f>
        <v>1920</v>
      </c>
    </row>
    <row r="4" spans="1:6" x14ac:dyDescent="0.2">
      <c r="A4">
        <v>2</v>
      </c>
      <c r="B4" s="90">
        <v>16345</v>
      </c>
      <c r="C4" s="90">
        <v>16343</v>
      </c>
      <c r="D4" s="90">
        <v>-32177</v>
      </c>
      <c r="E4" s="90">
        <v>-31880</v>
      </c>
      <c r="F4" s="90">
        <f>+E4-D4+C4-B4</f>
        <v>295</v>
      </c>
    </row>
    <row r="5" spans="1:6" x14ac:dyDescent="0.2">
      <c r="A5">
        <v>3</v>
      </c>
      <c r="B5" s="90">
        <v>16347</v>
      </c>
      <c r="C5" s="90">
        <v>16343</v>
      </c>
      <c r="D5" s="90">
        <v>-48681</v>
      </c>
      <c r="E5" s="90">
        <v>-45990</v>
      </c>
      <c r="F5" s="90">
        <f>+E5-D5+C5-B5</f>
        <v>2687</v>
      </c>
    </row>
    <row r="6" spans="1:6" x14ac:dyDescent="0.2">
      <c r="A6">
        <v>4</v>
      </c>
      <c r="B6" s="90">
        <v>21176</v>
      </c>
      <c r="C6" s="90">
        <v>21343</v>
      </c>
      <c r="D6" s="90">
        <v>-22645</v>
      </c>
      <c r="E6" s="90">
        <v>-19747</v>
      </c>
      <c r="F6" s="90">
        <f t="shared" ref="F6:F33" si="0">+E6-D6+C6-B6</f>
        <v>3065</v>
      </c>
    </row>
    <row r="7" spans="1:6" x14ac:dyDescent="0.2">
      <c r="A7">
        <v>5</v>
      </c>
      <c r="B7" s="90">
        <v>21302</v>
      </c>
      <c r="C7" s="90">
        <v>21343</v>
      </c>
      <c r="D7" s="90">
        <v>-42584</v>
      </c>
      <c r="E7" s="90">
        <v>-42866</v>
      </c>
      <c r="F7" s="90">
        <f t="shared" si="0"/>
        <v>-241</v>
      </c>
    </row>
    <row r="8" spans="1:6" x14ac:dyDescent="0.2">
      <c r="A8">
        <v>6</v>
      </c>
      <c r="B8" s="90">
        <v>18399</v>
      </c>
      <c r="C8" s="90">
        <v>18394</v>
      </c>
      <c r="D8" s="90">
        <v>-42956</v>
      </c>
      <c r="E8" s="90">
        <v>-43347</v>
      </c>
      <c r="F8" s="90">
        <f t="shared" si="0"/>
        <v>-396</v>
      </c>
    </row>
    <row r="9" spans="1:6" x14ac:dyDescent="0.2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90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88"/>
      <c r="D19" s="14"/>
      <c r="E19" s="14"/>
      <c r="F19" s="90">
        <f t="shared" si="0"/>
        <v>0</v>
      </c>
    </row>
    <row r="20" spans="1:6" x14ac:dyDescent="0.2">
      <c r="A20">
        <v>18</v>
      </c>
      <c r="B20" s="342"/>
      <c r="C20" s="342"/>
      <c r="D20" s="14"/>
      <c r="E20" s="14"/>
      <c r="F20" s="90">
        <f t="shared" si="0"/>
        <v>0</v>
      </c>
    </row>
    <row r="21" spans="1:6" x14ac:dyDescent="0.2">
      <c r="A21">
        <v>19</v>
      </c>
      <c r="B21" s="342"/>
      <c r="C21" s="342"/>
      <c r="D21" s="14"/>
      <c r="E21" s="14"/>
      <c r="F21" s="90">
        <f t="shared" si="0"/>
        <v>0</v>
      </c>
    </row>
    <row r="22" spans="1:6" x14ac:dyDescent="0.2">
      <c r="A22">
        <v>20</v>
      </c>
      <c r="B22" s="342"/>
      <c r="C22" s="342"/>
      <c r="D22" s="14"/>
      <c r="E22" s="14"/>
      <c r="F22" s="90">
        <f t="shared" si="0"/>
        <v>0</v>
      </c>
    </row>
    <row r="23" spans="1:6" x14ac:dyDescent="0.2">
      <c r="A23">
        <v>21</v>
      </c>
      <c r="B23" s="342"/>
      <c r="C23" s="342"/>
      <c r="D23" s="14"/>
      <c r="E23" s="14"/>
      <c r="F23" s="90">
        <f t="shared" si="0"/>
        <v>0</v>
      </c>
    </row>
    <row r="24" spans="1:6" x14ac:dyDescent="0.2">
      <c r="A24">
        <v>22</v>
      </c>
      <c r="B24" s="342"/>
      <c r="C24" s="342"/>
      <c r="D24" s="14"/>
      <c r="E24" s="14"/>
      <c r="F24" s="90">
        <f t="shared" si="0"/>
        <v>0</v>
      </c>
    </row>
    <row r="25" spans="1:6" x14ac:dyDescent="0.2">
      <c r="A25">
        <v>23</v>
      </c>
      <c r="B25" s="342"/>
      <c r="C25" s="342"/>
      <c r="D25" s="14"/>
      <c r="E25" s="14"/>
      <c r="F25" s="90">
        <f t="shared" si="0"/>
        <v>0</v>
      </c>
    </row>
    <row r="26" spans="1:6" x14ac:dyDescent="0.2">
      <c r="A26">
        <v>24</v>
      </c>
      <c r="B26" s="342"/>
      <c r="C26" s="342"/>
      <c r="D26" s="14"/>
      <c r="E26" s="14"/>
      <c r="F26" s="90">
        <f t="shared" si="0"/>
        <v>0</v>
      </c>
    </row>
    <row r="27" spans="1:6" x14ac:dyDescent="0.2">
      <c r="A27">
        <v>25</v>
      </c>
      <c r="B27" s="342"/>
      <c r="C27" s="342"/>
      <c r="D27" s="14"/>
      <c r="E27" s="14"/>
      <c r="F27" s="90">
        <f t="shared" si="0"/>
        <v>0</v>
      </c>
    </row>
    <row r="28" spans="1:6" x14ac:dyDescent="0.2">
      <c r="A28">
        <v>26</v>
      </c>
      <c r="B28" s="342"/>
      <c r="C28" s="342"/>
      <c r="D28" s="14"/>
      <c r="E28" s="14"/>
      <c r="F28" s="90">
        <f t="shared" si="0"/>
        <v>0</v>
      </c>
    </row>
    <row r="29" spans="1:6" x14ac:dyDescent="0.2">
      <c r="A29">
        <v>27</v>
      </c>
      <c r="B29" s="342"/>
      <c r="C29" s="342"/>
      <c r="D29" s="14"/>
      <c r="E29" s="14"/>
      <c r="F29" s="90">
        <f t="shared" si="0"/>
        <v>0</v>
      </c>
    </row>
    <row r="30" spans="1:6" x14ac:dyDescent="0.2">
      <c r="A30">
        <v>28</v>
      </c>
      <c r="B30" s="458"/>
      <c r="C30" s="342"/>
      <c r="D30" s="14"/>
      <c r="E30" s="14"/>
      <c r="F30" s="90">
        <f t="shared" si="0"/>
        <v>0</v>
      </c>
    </row>
    <row r="31" spans="1:6" x14ac:dyDescent="0.2">
      <c r="A31">
        <v>29</v>
      </c>
      <c r="B31" s="342"/>
      <c r="C31" s="342"/>
      <c r="D31" s="14"/>
      <c r="E31" s="14"/>
      <c r="F31" s="90">
        <f t="shared" si="0"/>
        <v>0</v>
      </c>
    </row>
    <row r="32" spans="1:6" x14ac:dyDescent="0.2">
      <c r="A32">
        <v>30</v>
      </c>
      <c r="B32" s="342"/>
      <c r="C32" s="342"/>
      <c r="D32" s="14"/>
      <c r="E32" s="14"/>
      <c r="F32" s="90">
        <f t="shared" si="0"/>
        <v>0</v>
      </c>
    </row>
    <row r="33" spans="1:6" x14ac:dyDescent="0.2">
      <c r="A33">
        <v>31</v>
      </c>
      <c r="B33" s="342"/>
      <c r="C33" s="342"/>
      <c r="D33" s="14"/>
      <c r="E33" s="14"/>
      <c r="F33" s="90">
        <f t="shared" si="0"/>
        <v>0</v>
      </c>
    </row>
    <row r="34" spans="1:6" x14ac:dyDescent="0.2">
      <c r="B34" s="295">
        <f>SUM(B3:B33)</f>
        <v>109216</v>
      </c>
      <c r="C34" s="295">
        <f>SUM(C3:C33)</f>
        <v>109148</v>
      </c>
      <c r="D34" s="14">
        <f>SUM(D3:D33)</f>
        <v>-206228</v>
      </c>
      <c r="E34" s="14">
        <f>SUM(E3:E33)</f>
        <v>-198830</v>
      </c>
      <c r="F34" s="14">
        <f>SUM(F3:F33)</f>
        <v>7330</v>
      </c>
    </row>
    <row r="35" spans="1:6" x14ac:dyDescent="0.2">
      <c r="D35" s="14"/>
      <c r="E35" s="14"/>
      <c r="F35" s="14"/>
    </row>
    <row r="36" spans="1:6" x14ac:dyDescent="0.2">
      <c r="F36" s="346"/>
    </row>
    <row r="37" spans="1:6" x14ac:dyDescent="0.2">
      <c r="A37" s="261">
        <v>37164</v>
      </c>
      <c r="B37" s="14"/>
      <c r="C37" s="14"/>
      <c r="D37" s="14"/>
      <c r="E37" s="14"/>
      <c r="F37" s="465">
        <v>122493</v>
      </c>
    </row>
    <row r="38" spans="1:6" x14ac:dyDescent="0.2">
      <c r="A38" s="261">
        <v>37170</v>
      </c>
      <c r="B38" s="14"/>
      <c r="C38" s="14"/>
      <c r="D38" s="14"/>
      <c r="E38" s="14"/>
      <c r="F38" s="150">
        <f>+F37+F34</f>
        <v>129823</v>
      </c>
    </row>
    <row r="39" spans="1:6" x14ac:dyDescent="0.2">
      <c r="F39" s="302"/>
    </row>
    <row r="40" spans="1:6" x14ac:dyDescent="0.2">
      <c r="F40" s="302"/>
    </row>
    <row r="41" spans="1:6" x14ac:dyDescent="0.2">
      <c r="F41" s="302"/>
    </row>
    <row r="42" spans="1:6" x14ac:dyDescent="0.2">
      <c r="A42" s="32" t="s">
        <v>154</v>
      </c>
      <c r="B42" s="32"/>
      <c r="C42" s="32"/>
      <c r="D42" s="47"/>
      <c r="F42" s="302"/>
    </row>
    <row r="43" spans="1:6" x14ac:dyDescent="0.2">
      <c r="A43" s="49">
        <f>+A37</f>
        <v>37164</v>
      </c>
      <c r="B43" s="32"/>
      <c r="C43" s="32"/>
      <c r="D43" s="466">
        <v>323932</v>
      </c>
      <c r="F43" s="302"/>
    </row>
    <row r="44" spans="1:6" x14ac:dyDescent="0.2">
      <c r="A44" s="49">
        <f>+A38</f>
        <v>37170</v>
      </c>
      <c r="B44" s="32"/>
      <c r="C44" s="32"/>
      <c r="D44" s="400">
        <f>+F34*'by type_area'!J4</f>
        <v>12461</v>
      </c>
      <c r="F44" s="302"/>
    </row>
    <row r="45" spans="1:6" x14ac:dyDescent="0.2">
      <c r="A45" s="32"/>
      <c r="B45" s="32"/>
      <c r="C45" s="32"/>
      <c r="D45" s="202">
        <f>+D44+D43</f>
        <v>336393</v>
      </c>
      <c r="F45" s="302"/>
    </row>
    <row r="46" spans="1:6" x14ac:dyDescent="0.2">
      <c r="F46" s="302"/>
    </row>
    <row r="47" spans="1:6" x14ac:dyDescent="0.2">
      <c r="F47" s="302"/>
    </row>
    <row r="48" spans="1:6" x14ac:dyDescent="0.2">
      <c r="F48" s="30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workbookViewId="3">
      <selection activeCell="A18" sqref="A18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-19996</v>
      </c>
      <c r="C4" s="11">
        <v>-20000</v>
      </c>
      <c r="D4" s="25">
        <f>+C4-B4</f>
        <v>-4</v>
      </c>
    </row>
    <row r="5" spans="1:4" x14ac:dyDescent="0.2">
      <c r="A5" s="10">
        <v>2</v>
      </c>
      <c r="B5" s="11">
        <v>-20687</v>
      </c>
      <c r="C5" s="11">
        <v>-18459</v>
      </c>
      <c r="D5" s="25">
        <f t="shared" ref="D5:D34" si="0">+C5-B5</f>
        <v>2228</v>
      </c>
    </row>
    <row r="6" spans="1:4" x14ac:dyDescent="0.2">
      <c r="A6" s="10">
        <v>3</v>
      </c>
      <c r="B6" s="11">
        <v>-20002</v>
      </c>
      <c r="C6" s="11">
        <v>-20000</v>
      </c>
      <c r="D6" s="25">
        <f t="shared" si="0"/>
        <v>2</v>
      </c>
    </row>
    <row r="7" spans="1:4" x14ac:dyDescent="0.2">
      <c r="A7" s="10">
        <v>4</v>
      </c>
      <c r="B7" s="11">
        <v>-20012</v>
      </c>
      <c r="C7" s="11">
        <v>-20000</v>
      </c>
      <c r="D7" s="25">
        <f t="shared" si="0"/>
        <v>12</v>
      </c>
    </row>
    <row r="8" spans="1:4" x14ac:dyDescent="0.2">
      <c r="A8" s="10">
        <v>5</v>
      </c>
      <c r="B8" s="11">
        <v>-11402</v>
      </c>
      <c r="C8" s="11">
        <v>-10084</v>
      </c>
      <c r="D8" s="25">
        <f t="shared" si="0"/>
        <v>1318</v>
      </c>
    </row>
    <row r="9" spans="1:4" x14ac:dyDescent="0.2">
      <c r="A9" s="10">
        <v>6</v>
      </c>
      <c r="B9" s="11">
        <v>-14142</v>
      </c>
      <c r="C9" s="11">
        <v>-14130</v>
      </c>
      <c r="D9" s="25">
        <f t="shared" si="0"/>
        <v>12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-106241</v>
      </c>
      <c r="C35" s="11">
        <f>SUM(C4:C34)</f>
        <v>-102673</v>
      </c>
      <c r="D35" s="11">
        <f>SUM(D4:D34)</f>
        <v>3568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37164</v>
      </c>
      <c r="D38" s="469">
        <v>156452</v>
      </c>
    </row>
    <row r="39" spans="1:4" x14ac:dyDescent="0.2">
      <c r="A39" s="2"/>
      <c r="D39" s="24"/>
    </row>
    <row r="40" spans="1:4" x14ac:dyDescent="0.2">
      <c r="A40" s="57">
        <v>37170</v>
      </c>
      <c r="D40" s="51">
        <f>+D38+D35</f>
        <v>160020</v>
      </c>
    </row>
    <row r="44" spans="1:4" x14ac:dyDescent="0.2">
      <c r="A44" s="32" t="s">
        <v>154</v>
      </c>
      <c r="B44" s="32"/>
      <c r="C44" s="32"/>
      <c r="D44" s="47"/>
    </row>
    <row r="45" spans="1:4" x14ac:dyDescent="0.2">
      <c r="A45" s="49">
        <f>+A38</f>
        <v>37164</v>
      </c>
      <c r="B45" s="32"/>
      <c r="C45" s="32"/>
      <c r="D45" s="491">
        <v>134898</v>
      </c>
    </row>
    <row r="46" spans="1:4" x14ac:dyDescent="0.2">
      <c r="A46" s="49">
        <f>+A40</f>
        <v>37170</v>
      </c>
      <c r="B46" s="32"/>
      <c r="C46" s="32"/>
      <c r="D46" s="400">
        <f>+D35*'by type_area'!J4</f>
        <v>6065.5999999999995</v>
      </c>
    </row>
    <row r="47" spans="1:4" x14ac:dyDescent="0.2">
      <c r="A47" s="32"/>
      <c r="B47" s="32"/>
      <c r="C47" s="32"/>
      <c r="D47" s="202">
        <f>+D46+D45</f>
        <v>140963.6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4" workbookViewId="3">
      <selection activeCell="B38" sqref="B38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17642</v>
      </c>
      <c r="C4" s="11">
        <v>18199</v>
      </c>
      <c r="D4" s="11">
        <v>8769</v>
      </c>
      <c r="E4" s="11">
        <v>9000</v>
      </c>
      <c r="F4" s="11"/>
      <c r="G4" s="11"/>
      <c r="H4" s="11"/>
      <c r="I4" s="11"/>
      <c r="J4" s="11">
        <f t="shared" ref="J4:J34" si="0">+C4+E4+G4+I4-H4-F4-D4-B4</f>
        <v>788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17694</v>
      </c>
      <c r="C5" s="11">
        <v>18199</v>
      </c>
      <c r="D5" s="11">
        <v>9575</v>
      </c>
      <c r="E5" s="11">
        <v>9034</v>
      </c>
      <c r="F5" s="11"/>
      <c r="G5" s="11"/>
      <c r="H5" s="11"/>
      <c r="I5" s="11"/>
      <c r="J5" s="11">
        <f t="shared" si="0"/>
        <v>-36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17678</v>
      </c>
      <c r="C6" s="11">
        <v>17000</v>
      </c>
      <c r="D6" s="11">
        <v>8857</v>
      </c>
      <c r="E6" s="11">
        <v>8133</v>
      </c>
      <c r="F6" s="11"/>
      <c r="G6" s="11"/>
      <c r="H6" s="11"/>
      <c r="I6" s="11"/>
      <c r="J6" s="11">
        <f t="shared" si="0"/>
        <v>-1402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17399</v>
      </c>
      <c r="C7" s="11">
        <v>17500</v>
      </c>
      <c r="D7" s="11">
        <v>8555</v>
      </c>
      <c r="E7" s="11">
        <v>8633</v>
      </c>
      <c r="F7" s="11"/>
      <c r="G7" s="11"/>
      <c r="H7" s="11"/>
      <c r="I7" s="11"/>
      <c r="J7" s="11">
        <f t="shared" si="0"/>
        <v>179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17391</v>
      </c>
      <c r="C8" s="11">
        <v>16900</v>
      </c>
      <c r="D8" s="129">
        <v>8425</v>
      </c>
      <c r="E8" s="11">
        <v>8713</v>
      </c>
      <c r="F8" s="11"/>
      <c r="G8" s="11">
        <v>2500</v>
      </c>
      <c r="H8" s="11"/>
      <c r="I8" s="11"/>
      <c r="J8" s="11">
        <f t="shared" si="0"/>
        <v>2297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17293</v>
      </c>
      <c r="C9" s="11">
        <v>15537</v>
      </c>
      <c r="D9" s="11">
        <v>8404</v>
      </c>
      <c r="E9" s="11">
        <v>7954</v>
      </c>
      <c r="F9" s="11">
        <v>9612</v>
      </c>
      <c r="G9" s="11">
        <v>8215</v>
      </c>
      <c r="H9" s="11"/>
      <c r="I9" s="11"/>
      <c r="J9" s="11">
        <f t="shared" si="0"/>
        <v>-3603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105097</v>
      </c>
      <c r="C35" s="11">
        <f t="shared" ref="C35:I35" si="1">SUM(C4:C34)</f>
        <v>103335</v>
      </c>
      <c r="D35" s="11">
        <f t="shared" si="1"/>
        <v>52585</v>
      </c>
      <c r="E35" s="11">
        <f t="shared" si="1"/>
        <v>51467</v>
      </c>
      <c r="F35" s="11">
        <f t="shared" si="1"/>
        <v>9612</v>
      </c>
      <c r="G35" s="11">
        <f t="shared" si="1"/>
        <v>10715</v>
      </c>
      <c r="H35" s="11">
        <f t="shared" si="1"/>
        <v>0</v>
      </c>
      <c r="I35" s="11">
        <f t="shared" si="1"/>
        <v>0</v>
      </c>
      <c r="J35" s="11">
        <f>SUM(J4:J34)</f>
        <v>-1777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1.7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-3020.9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0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37164</v>
      </c>
      <c r="C39" s="25"/>
      <c r="E39" s="25"/>
      <c r="G39" s="25"/>
      <c r="I39" s="25"/>
      <c r="J39" s="466">
        <v>57662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4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37170</v>
      </c>
      <c r="J41" s="334">
        <f>+J39+J37</f>
        <v>54641.1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0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153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37164</v>
      </c>
      <c r="B46" s="32"/>
      <c r="C46" s="32"/>
      <c r="D46" s="468">
        <v>-98440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37170</v>
      </c>
      <c r="B47" s="32"/>
      <c r="C47" s="32"/>
      <c r="D47" s="371">
        <f>+J35</f>
        <v>-1777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-100217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20" workbookViewId="3">
      <selection activeCell="A34" sqref="A34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 t="s">
        <v>117</v>
      </c>
      <c r="B4" s="233">
        <v>12353</v>
      </c>
      <c r="C4" s="24" t="s">
        <v>128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>
        <v>10422</v>
      </c>
      <c r="F6" s="24">
        <f>+C6+E6-B6-D6</f>
        <v>10422</v>
      </c>
      <c r="G6" s="14">
        <v>-13751</v>
      </c>
      <c r="H6" s="14">
        <v>-15946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1216</v>
      </c>
      <c r="E7" s="24">
        <v>17926</v>
      </c>
      <c r="F7" s="24">
        <f t="shared" ref="F7:F36" si="0">+C7+E7-B7-D7</f>
        <v>16710</v>
      </c>
      <c r="G7" s="208">
        <v>-6539</v>
      </c>
      <c r="H7" s="14">
        <v>-22233</v>
      </c>
      <c r="I7" s="14">
        <v>69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>-2+20959</f>
        <v>20957</v>
      </c>
      <c r="E8" s="24">
        <v>24926</v>
      </c>
      <c r="F8" s="24">
        <f t="shared" si="0"/>
        <v>3969</v>
      </c>
      <c r="G8" s="208">
        <v>-17881</v>
      </c>
      <c r="H8" s="14">
        <v>-14137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>
        <v>1922</v>
      </c>
      <c r="E9" s="24">
        <v>-2574</v>
      </c>
      <c r="F9" s="24">
        <f t="shared" si="0"/>
        <v>-4496</v>
      </c>
      <c r="G9" s="208"/>
      <c r="H9" s="14">
        <v>-30024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>
        <v>-435</v>
      </c>
      <c r="E10" s="24">
        <v>-17837</v>
      </c>
      <c r="F10" s="24">
        <f t="shared" si="0"/>
        <v>-17402</v>
      </c>
      <c r="G10" s="208"/>
      <c r="H10" s="14">
        <v>-6181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-14269</v>
      </c>
      <c r="E11" s="24">
        <v>-12837</v>
      </c>
      <c r="F11" s="24">
        <f t="shared" si="0"/>
        <v>1432</v>
      </c>
      <c r="G11" s="208">
        <v>-380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>
        <v>-16674</v>
      </c>
      <c r="E12" s="24">
        <v>-12837</v>
      </c>
      <c r="F12" s="24">
        <f t="shared" si="0"/>
        <v>3837</v>
      </c>
      <c r="G12" s="208"/>
      <c r="H12" s="14">
        <v>-22790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8"/>
      <c r="H15" s="14">
        <v>-97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8">
        <v>-78</v>
      </c>
      <c r="H16" s="14">
        <v>-8984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8">
        <v>-7076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8">
        <v>-3692</v>
      </c>
      <c r="H18" s="14">
        <v>-18024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8">
        <v>-13222</v>
      </c>
      <c r="H19" s="14">
        <v>-4227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8"/>
      <c r="H20" s="14">
        <v>-43</v>
      </c>
      <c r="I20" s="14">
        <v>6745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8"/>
      <c r="I21" s="14">
        <v>3603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8"/>
      <c r="H22" s="14">
        <v>-511</v>
      </c>
      <c r="I22" s="14">
        <v>458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8">
        <v>-22203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8">
        <v>-844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8"/>
      <c r="H31" s="14">
        <v>-16792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8"/>
      <c r="H32" s="14">
        <v>-51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8"/>
      <c r="I33" s="14">
        <v>23096</v>
      </c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8"/>
      <c r="I34" s="14">
        <v>3702</v>
      </c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 t="shared" ref="B37:I37" si="1">SUM(B6:B36)</f>
        <v>0</v>
      </c>
      <c r="C37" s="24">
        <f t="shared" si="1"/>
        <v>0</v>
      </c>
      <c r="D37" s="24">
        <f t="shared" si="1"/>
        <v>-7283</v>
      </c>
      <c r="E37" s="24">
        <f t="shared" si="1"/>
        <v>7189</v>
      </c>
      <c r="F37" s="24">
        <f t="shared" si="1"/>
        <v>14472</v>
      </c>
      <c r="G37" s="208">
        <f t="shared" si="1"/>
        <v>-85666</v>
      </c>
      <c r="H37" s="208">
        <f t="shared" si="1"/>
        <v>-160040</v>
      </c>
      <c r="I37" s="208">
        <f t="shared" si="1"/>
        <v>37673</v>
      </c>
      <c r="J37" s="16">
        <f>+I37+H37+G37</f>
        <v>-208033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1.7</v>
      </c>
      <c r="G38" s="208"/>
      <c r="I38" s="14">
        <f>+H37+G37</f>
        <v>-245706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24602.399999999998</v>
      </c>
      <c r="G39" s="508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8">
        <v>37164</v>
      </c>
      <c r="E40" s="14"/>
      <c r="F40" s="472">
        <v>483326.7</v>
      </c>
      <c r="G40" s="508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8">
        <v>37170</v>
      </c>
      <c r="E41" s="14"/>
      <c r="F41" s="104">
        <f>+F40+F39</f>
        <v>507929.10000000003</v>
      </c>
      <c r="G41" s="508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153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37164</v>
      </c>
      <c r="B46" s="32"/>
      <c r="C46" s="32"/>
      <c r="D46" s="468">
        <v>36377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37170</v>
      </c>
      <c r="B47" s="32"/>
      <c r="C47" s="32"/>
      <c r="D47" s="371">
        <f>+F37</f>
        <v>14472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50849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workbookViewId="3">
      <selection activeCell="E14" sqref="E1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61</v>
      </c>
      <c r="F8" s="25">
        <f>+E8+C8-D8-B8</f>
        <v>61</v>
      </c>
    </row>
    <row r="9" spans="1:6" x14ac:dyDescent="0.2">
      <c r="A9" s="10">
        <v>2</v>
      </c>
      <c r="B9" s="11"/>
      <c r="C9" s="11"/>
      <c r="D9" s="11"/>
      <c r="E9" s="11">
        <v>61</v>
      </c>
      <c r="F9" s="25">
        <f t="shared" ref="F9:F38" si="0">+E9+C9-D9-B9</f>
        <v>61</v>
      </c>
    </row>
    <row r="10" spans="1:6" x14ac:dyDescent="0.2">
      <c r="A10" s="10">
        <v>3</v>
      </c>
      <c r="B10" s="11"/>
      <c r="C10" s="11"/>
      <c r="D10" s="11"/>
      <c r="E10" s="11">
        <v>61</v>
      </c>
      <c r="F10" s="25">
        <f t="shared" si="0"/>
        <v>61</v>
      </c>
    </row>
    <row r="11" spans="1:6" x14ac:dyDescent="0.2">
      <c r="A11" s="10">
        <v>4</v>
      </c>
      <c r="B11" s="11"/>
      <c r="C11" s="11"/>
      <c r="D11" s="11"/>
      <c r="E11" s="11">
        <v>61</v>
      </c>
      <c r="F11" s="25">
        <f t="shared" si="0"/>
        <v>61</v>
      </c>
    </row>
    <row r="12" spans="1:6" x14ac:dyDescent="0.2">
      <c r="A12" s="10">
        <v>5</v>
      </c>
      <c r="B12" s="11"/>
      <c r="C12" s="11"/>
      <c r="D12" s="11"/>
      <c r="E12" s="11">
        <v>61</v>
      </c>
      <c r="F12" s="25">
        <f t="shared" si="0"/>
        <v>61</v>
      </c>
    </row>
    <row r="13" spans="1:6" x14ac:dyDescent="0.2">
      <c r="A13" s="10">
        <v>6</v>
      </c>
      <c r="B13" s="11"/>
      <c r="C13" s="11"/>
      <c r="D13" s="11"/>
      <c r="E13" s="11">
        <v>61</v>
      </c>
      <c r="F13" s="25">
        <f t="shared" si="0"/>
        <v>61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37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366</v>
      </c>
      <c r="F39" s="25">
        <f>SUM(F8:F38)</f>
        <v>366</v>
      </c>
    </row>
    <row r="40" spans="1:6" x14ac:dyDescent="0.2">
      <c r="A40" s="26"/>
      <c r="C40" s="14"/>
      <c r="F40" s="258">
        <f>+summary!H4</f>
        <v>1.7</v>
      </c>
    </row>
    <row r="41" spans="1:6" x14ac:dyDescent="0.2">
      <c r="F41" s="138">
        <f>+F40*F39</f>
        <v>622.19999999999993</v>
      </c>
    </row>
    <row r="42" spans="1:6" x14ac:dyDescent="0.2">
      <c r="A42" s="57">
        <v>37164</v>
      </c>
      <c r="C42" s="15"/>
      <c r="F42" s="474">
        <v>15731</v>
      </c>
    </row>
    <row r="43" spans="1:6" x14ac:dyDescent="0.2">
      <c r="A43" s="57">
        <v>37170</v>
      </c>
      <c r="C43" s="48"/>
      <c r="F43" s="138">
        <f>+F42+F41</f>
        <v>16353.2</v>
      </c>
    </row>
    <row r="47" spans="1:6" x14ac:dyDescent="0.2">
      <c r="A47" s="32" t="s">
        <v>153</v>
      </c>
      <c r="B47" s="32"/>
      <c r="C47" s="32"/>
      <c r="D47" s="32"/>
    </row>
    <row r="48" spans="1:6" x14ac:dyDescent="0.2">
      <c r="A48" s="49">
        <f>+A42</f>
        <v>37164</v>
      </c>
      <c r="B48" s="32"/>
      <c r="C48" s="32"/>
      <c r="D48" s="468">
        <v>-8077</v>
      </c>
    </row>
    <row r="49" spans="1:4" x14ac:dyDescent="0.2">
      <c r="A49" s="49">
        <f>+A43</f>
        <v>37170</v>
      </c>
      <c r="B49" s="32"/>
      <c r="C49" s="32"/>
      <c r="D49" s="371">
        <f>+F39</f>
        <v>366</v>
      </c>
    </row>
    <row r="50" spans="1:4" x14ac:dyDescent="0.2">
      <c r="A50" s="32"/>
      <c r="B50" s="32"/>
      <c r="C50" s="32"/>
      <c r="D50" s="14">
        <f>+D49+D48</f>
        <v>-7711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58">
        <f>+summary!H4</f>
        <v>1.7</v>
      </c>
    </row>
    <row r="41" spans="1:4" x14ac:dyDescent="0.2">
      <c r="D41" s="138">
        <f>+D40*D39</f>
        <v>0</v>
      </c>
    </row>
    <row r="42" spans="1:4" x14ac:dyDescent="0.2">
      <c r="A42" s="57">
        <v>37164</v>
      </c>
      <c r="C42" s="15"/>
      <c r="D42" s="490">
        <v>394424</v>
      </c>
    </row>
    <row r="43" spans="1:4" x14ac:dyDescent="0.2">
      <c r="A43" s="57">
        <v>37170</v>
      </c>
      <c r="C43" s="48"/>
      <c r="D43" s="138">
        <f>+D42+D41</f>
        <v>394424</v>
      </c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+A42</f>
        <v>37164</v>
      </c>
      <c r="B47" s="32"/>
      <c r="C47" s="32"/>
      <c r="D47" s="486">
        <v>21580</v>
      </c>
    </row>
    <row r="48" spans="1:4" x14ac:dyDescent="0.2">
      <c r="A48" s="49">
        <f>+A43</f>
        <v>37170</v>
      </c>
      <c r="B48" s="32"/>
      <c r="C48" s="32"/>
      <c r="D48" s="371">
        <f>+D39</f>
        <v>0</v>
      </c>
    </row>
    <row r="49" spans="1:4" x14ac:dyDescent="0.2">
      <c r="A49" s="32"/>
      <c r="B49" s="32"/>
      <c r="C49" s="32"/>
      <c r="D49" s="14">
        <f>+D48+D47</f>
        <v>21580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workbookViewId="0"/>
    <sheetView topLeftCell="A26" workbookViewId="1"/>
    <sheetView topLeftCell="A26" workbookViewId="2">
      <selection activeCell="D34" sqref="D34"/>
    </sheetView>
    <sheetView topLeftCell="A25" workbookViewId="3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133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93"/>
      <c r="H5" s="293"/>
      <c r="I5" s="293"/>
      <c r="J5" s="293"/>
      <c r="K5" s="293"/>
      <c r="L5" s="293"/>
    </row>
    <row r="6" spans="1:14" x14ac:dyDescent="0.2">
      <c r="A6" s="10">
        <v>1</v>
      </c>
      <c r="B6" s="11">
        <v>-79121</v>
      </c>
      <c r="C6" s="11">
        <v>-82685</v>
      </c>
      <c r="D6" s="25">
        <f>+C6-B6</f>
        <v>-3564</v>
      </c>
      <c r="G6" s="118"/>
      <c r="H6" s="34"/>
      <c r="I6" s="34"/>
      <c r="J6" s="189"/>
      <c r="K6" s="442" t="s">
        <v>58</v>
      </c>
      <c r="L6" s="189"/>
      <c r="M6" s="2"/>
      <c r="N6" s="34"/>
    </row>
    <row r="7" spans="1:14" x14ac:dyDescent="0.2">
      <c r="A7" s="10">
        <v>2</v>
      </c>
      <c r="B7" s="11">
        <v>-79608</v>
      </c>
      <c r="C7" s="11">
        <v>-84439</v>
      </c>
      <c r="D7" s="25">
        <f t="shared" ref="D7:D36" si="0">+C7-B7</f>
        <v>-4831</v>
      </c>
      <c r="G7" s="118" t="s">
        <v>40</v>
      </c>
      <c r="H7" s="443" t="s">
        <v>20</v>
      </c>
      <c r="I7" s="443" t="s">
        <v>21</v>
      </c>
      <c r="J7" s="444" t="s">
        <v>50</v>
      </c>
      <c r="K7" s="442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>
        <v>-81303</v>
      </c>
      <c r="C8" s="11">
        <v>-80243</v>
      </c>
      <c r="D8" s="25">
        <f t="shared" si="0"/>
        <v>1060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42">
        <v>5.62</v>
      </c>
      <c r="L8" s="44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-70269</v>
      </c>
      <c r="C9" s="11">
        <v>-82368</v>
      </c>
      <c r="D9" s="25">
        <f t="shared" si="0"/>
        <v>-12099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42">
        <v>4.9800000000000004</v>
      </c>
      <c r="L9" s="44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-28391</v>
      </c>
      <c r="C10" s="11">
        <v>-30650</v>
      </c>
      <c r="D10" s="25">
        <f t="shared" si="0"/>
        <v>-2259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42">
        <v>4.87</v>
      </c>
      <c r="L10" s="44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-42349</v>
      </c>
      <c r="C11" s="11">
        <v>-41999</v>
      </c>
      <c r="D11" s="25">
        <f t="shared" si="0"/>
        <v>350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42">
        <v>3.82</v>
      </c>
      <c r="L11" s="44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-41948</v>
      </c>
      <c r="C12" s="11">
        <v>-41999</v>
      </c>
      <c r="D12" s="25">
        <f t="shared" si="0"/>
        <v>-51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42">
        <v>3.2</v>
      </c>
      <c r="L12" s="44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42">
        <v>2.77</v>
      </c>
      <c r="L13" s="44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42">
        <v>2.77</v>
      </c>
      <c r="L14" s="44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504"/>
      <c r="H15" s="119"/>
      <c r="I15" s="119"/>
      <c r="J15" s="119"/>
      <c r="K15" s="442"/>
      <c r="L15" s="447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505"/>
      <c r="H16" s="34"/>
      <c r="I16" s="34"/>
      <c r="J16" s="189"/>
      <c r="K16" s="442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505"/>
      <c r="H17" s="34"/>
      <c r="I17" s="34"/>
      <c r="J17" s="319">
        <f>SUM(J8:J16)</f>
        <v>130492</v>
      </c>
      <c r="K17" s="44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42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195</v>
      </c>
      <c r="H19" s="119">
        <f>+B37</f>
        <v>-422989</v>
      </c>
      <c r="I19" s="119">
        <f>+C37</f>
        <v>-444383</v>
      </c>
      <c r="J19" s="119">
        <f>+I19-H19</f>
        <v>-21394</v>
      </c>
      <c r="K19" s="442">
        <f>+D38</f>
        <v>1.7</v>
      </c>
      <c r="L19" s="447">
        <f>+K19*J19</f>
        <v>-36369.799999999996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42"/>
      <c r="L20" s="447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38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196</v>
      </c>
      <c r="H24" s="24"/>
      <c r="I24" s="24"/>
      <c r="J24" s="24">
        <f>+J19+J17</f>
        <v>109098</v>
      </c>
      <c r="K24" s="438"/>
      <c r="L24" s="110">
        <f>+L19+L17</f>
        <v>45315.299999999836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38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197</v>
      </c>
      <c r="H26" s="24"/>
      <c r="I26" s="24"/>
      <c r="J26" s="110"/>
      <c r="K26" s="438"/>
      <c r="L26" s="24">
        <f>+L24/K19</f>
        <v>26656.058823529314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38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38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-422989</v>
      </c>
      <c r="C37" s="11">
        <f>SUM(C6:C36)</f>
        <v>-444383</v>
      </c>
      <c r="D37" s="25">
        <f>SUM(D6:D36)</f>
        <v>-21394</v>
      </c>
    </row>
    <row r="38" spans="1:4" x14ac:dyDescent="0.2">
      <c r="A38" s="26"/>
      <c r="C38" s="14"/>
      <c r="D38" s="341">
        <f>+summary!H4</f>
        <v>1.7</v>
      </c>
    </row>
    <row r="39" spans="1:4" x14ac:dyDescent="0.2">
      <c r="D39" s="138">
        <f>+D38*D37</f>
        <v>-36369.799999999996</v>
      </c>
    </row>
    <row r="40" spans="1:4" x14ac:dyDescent="0.2">
      <c r="A40" s="57">
        <v>37164</v>
      </c>
      <c r="C40" s="15"/>
      <c r="D40" s="487">
        <v>66284</v>
      </c>
    </row>
    <row r="41" spans="1:4" x14ac:dyDescent="0.2">
      <c r="A41" s="57">
        <v>37171</v>
      </c>
      <c r="C41" s="48"/>
      <c r="D41" s="138">
        <f>+D40+D39</f>
        <v>29914.200000000004</v>
      </c>
    </row>
    <row r="44" spans="1:4" x14ac:dyDescent="0.2">
      <c r="A44" s="32" t="s">
        <v>153</v>
      </c>
      <c r="B44" s="32"/>
      <c r="C44" s="32"/>
      <c r="D44" s="32"/>
    </row>
    <row r="45" spans="1:4" x14ac:dyDescent="0.2">
      <c r="A45" s="49">
        <f>+A40</f>
        <v>37164</v>
      </c>
      <c r="B45" s="32"/>
      <c r="C45" s="32"/>
      <c r="D45" s="488">
        <v>122300</v>
      </c>
    </row>
    <row r="46" spans="1:4" x14ac:dyDescent="0.2">
      <c r="A46" s="49">
        <f>+A41</f>
        <v>37171</v>
      </c>
      <c r="B46" s="32"/>
      <c r="C46" s="32"/>
      <c r="D46" s="371">
        <f>+D37</f>
        <v>-21394</v>
      </c>
    </row>
    <row r="47" spans="1:4" x14ac:dyDescent="0.2">
      <c r="A47" s="32"/>
      <c r="B47" s="32"/>
      <c r="C47" s="32"/>
      <c r="D47" s="14">
        <f>+D46+D45</f>
        <v>100906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25"/>
  <sheetViews>
    <sheetView workbookViewId="0"/>
    <sheetView workbookViewId="1"/>
    <sheetView tabSelected="1" workbookViewId="2">
      <selection activeCell="C17" sqref="C17"/>
    </sheetView>
    <sheetView workbookViewId="3">
      <selection activeCell="A3" sqref="A3:L36"/>
    </sheetView>
  </sheetViews>
  <sheetFormatPr defaultRowHeight="12.75" x14ac:dyDescent="0.2"/>
  <cols>
    <col min="1" max="1" width="22.140625" style="302" bestFit="1" customWidth="1"/>
    <col min="2" max="2" width="11.5703125" style="302" bestFit="1" customWidth="1"/>
    <col min="3" max="3" width="10.28515625" style="302" customWidth="1"/>
    <col min="4" max="4" width="11.42578125" style="302" bestFit="1" customWidth="1"/>
    <col min="5" max="5" width="11.85546875" style="302" bestFit="1" customWidth="1"/>
    <col min="6" max="7" width="11" style="302" bestFit="1" customWidth="1"/>
    <col min="8" max="10" width="11.28515625" style="302" bestFit="1" customWidth="1"/>
    <col min="11" max="11" width="13.140625" style="302" bestFit="1" customWidth="1"/>
    <col min="12" max="12" width="9.140625" style="302"/>
    <col min="13" max="13" width="9.5703125" style="302" bestFit="1" customWidth="1"/>
    <col min="14" max="14" width="10" style="302" bestFit="1" customWidth="1"/>
    <col min="15" max="16384" width="9.140625" style="302"/>
  </cols>
  <sheetData>
    <row r="3" spans="1:50" x14ac:dyDescent="0.2">
      <c r="A3" s="509" t="s">
        <v>170</v>
      </c>
      <c r="B3" s="510"/>
      <c r="C3" s="511"/>
      <c r="E3" s="149"/>
    </row>
    <row r="4" spans="1:50" x14ac:dyDescent="0.2">
      <c r="A4" s="206"/>
      <c r="B4" s="512"/>
      <c r="C4" s="512"/>
      <c r="D4" s="512"/>
      <c r="E4" s="149"/>
      <c r="F4" s="153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</row>
    <row r="5" spans="1:50" x14ac:dyDescent="0.2">
      <c r="A5" s="513" t="s">
        <v>90</v>
      </c>
      <c r="B5" s="514">
        <v>36861</v>
      </c>
      <c r="C5" s="514">
        <v>36892</v>
      </c>
      <c r="D5" s="515">
        <v>36923</v>
      </c>
      <c r="E5" s="515">
        <v>36951</v>
      </c>
      <c r="F5" s="515">
        <v>36982</v>
      </c>
      <c r="G5" s="515">
        <v>37012</v>
      </c>
      <c r="H5" s="521">
        <v>37043</v>
      </c>
      <c r="I5" s="516">
        <v>37073</v>
      </c>
      <c r="J5" s="516">
        <v>37104</v>
      </c>
      <c r="K5" s="516">
        <v>37135</v>
      </c>
      <c r="L5" s="516">
        <v>37165</v>
      </c>
      <c r="M5" s="517"/>
      <c r="N5" s="518"/>
      <c r="O5" s="517"/>
      <c r="P5" s="517"/>
      <c r="Q5" s="517"/>
      <c r="R5" s="517"/>
      <c r="S5" s="517"/>
      <c r="T5" s="518"/>
      <c r="U5" s="518"/>
      <c r="V5" s="518"/>
      <c r="W5" s="518"/>
      <c r="X5" s="518"/>
      <c r="Y5" s="518"/>
      <c r="Z5" s="518"/>
      <c r="AA5" s="518"/>
      <c r="AB5" s="518"/>
      <c r="AC5" s="518"/>
      <c r="AD5" s="518"/>
      <c r="AE5" s="518"/>
      <c r="AF5" s="518"/>
      <c r="AG5" s="518"/>
    </row>
    <row r="6" spans="1:50" x14ac:dyDescent="0.2">
      <c r="A6" s="519"/>
      <c r="B6" s="523"/>
      <c r="C6" s="523"/>
      <c r="D6" s="523"/>
      <c r="E6" s="523"/>
      <c r="F6" s="523"/>
      <c r="G6" s="523"/>
      <c r="H6" s="527"/>
      <c r="I6" s="527"/>
      <c r="J6" s="527"/>
      <c r="K6" s="527"/>
      <c r="L6" s="527"/>
      <c r="M6" s="523"/>
      <c r="N6" s="523"/>
      <c r="O6" s="523"/>
      <c r="P6" s="523"/>
      <c r="Q6" s="523"/>
      <c r="R6" s="523"/>
      <c r="S6" s="523"/>
      <c r="T6" s="523"/>
      <c r="U6" s="523"/>
      <c r="V6" s="523"/>
      <c r="W6" s="523"/>
      <c r="X6" s="523"/>
      <c r="Y6" s="523"/>
      <c r="Z6" s="523"/>
      <c r="AA6" s="523"/>
      <c r="AB6" s="523"/>
      <c r="AC6" s="523"/>
      <c r="AD6" s="523"/>
      <c r="AE6" s="523"/>
      <c r="AF6" s="523"/>
      <c r="AG6" s="523"/>
      <c r="AH6" s="523"/>
    </row>
    <row r="7" spans="1:50" x14ac:dyDescent="0.2">
      <c r="A7" s="206" t="s">
        <v>95</v>
      </c>
      <c r="B7" s="523">
        <v>75659</v>
      </c>
      <c r="C7" s="522">
        <v>63393</v>
      </c>
      <c r="D7" s="523">
        <v>41052</v>
      </c>
      <c r="E7" s="523">
        <v>3829</v>
      </c>
      <c r="F7" s="523">
        <v>26482</v>
      </c>
      <c r="G7" s="524">
        <v>3949</v>
      </c>
      <c r="H7" s="523">
        <v>133095</v>
      </c>
      <c r="I7" s="523">
        <v>135803</v>
      </c>
      <c r="J7" s="523">
        <v>151464</v>
      </c>
      <c r="K7" s="523"/>
      <c r="L7" s="523"/>
      <c r="M7" s="523"/>
      <c r="N7" s="523"/>
      <c r="O7" s="523"/>
      <c r="P7" s="523"/>
      <c r="Q7" s="523"/>
      <c r="R7" s="523"/>
      <c r="S7" s="523"/>
      <c r="T7" s="523"/>
      <c r="U7" s="523"/>
      <c r="V7" s="523"/>
      <c r="W7" s="523"/>
      <c r="X7" s="523"/>
      <c r="Y7" s="523"/>
      <c r="Z7" s="523"/>
      <c r="AA7" s="523"/>
      <c r="AB7" s="523"/>
      <c r="AC7" s="523"/>
      <c r="AD7" s="523"/>
      <c r="AE7" s="523"/>
      <c r="AF7" s="523"/>
      <c r="AG7" s="523"/>
      <c r="AH7" s="523"/>
      <c r="AI7" s="525"/>
      <c r="AJ7" s="525"/>
      <c r="AK7" s="525"/>
      <c r="AL7" s="525"/>
      <c r="AM7" s="525"/>
      <c r="AN7" s="525"/>
      <c r="AO7" s="525"/>
      <c r="AP7" s="525"/>
      <c r="AQ7" s="525"/>
      <c r="AR7" s="525"/>
      <c r="AS7" s="525"/>
      <c r="AT7" s="525"/>
      <c r="AU7" s="525"/>
      <c r="AV7" s="525"/>
      <c r="AW7" s="525"/>
      <c r="AX7" s="525"/>
    </row>
    <row r="8" spans="1:50" x14ac:dyDescent="0.2">
      <c r="A8" s="206" t="s">
        <v>33</v>
      </c>
      <c r="B8" s="523">
        <v>-42847</v>
      </c>
      <c r="C8" s="522">
        <v>-2392</v>
      </c>
      <c r="D8" s="523">
        <v>-1948</v>
      </c>
      <c r="E8" s="523">
        <v>47976</v>
      </c>
      <c r="F8" s="523">
        <v>39224</v>
      </c>
      <c r="G8" s="524">
        <v>-21565</v>
      </c>
      <c r="H8" s="523">
        <v>123192</v>
      </c>
      <c r="I8" s="523">
        <v>145102</v>
      </c>
      <c r="J8" s="523">
        <v>151133</v>
      </c>
      <c r="K8" s="523"/>
      <c r="L8" s="523"/>
      <c r="M8" s="523"/>
      <c r="N8" s="523"/>
      <c r="O8" s="523"/>
      <c r="P8" s="523"/>
      <c r="Q8" s="523"/>
      <c r="R8" s="523"/>
      <c r="S8" s="523"/>
      <c r="T8" s="523"/>
      <c r="U8" s="523"/>
      <c r="V8" s="523"/>
      <c r="W8" s="523"/>
      <c r="X8" s="523"/>
      <c r="Y8" s="523"/>
      <c r="Z8" s="523"/>
      <c r="AA8" s="523"/>
      <c r="AB8" s="523"/>
      <c r="AC8" s="523"/>
      <c r="AD8" s="523"/>
      <c r="AE8" s="523"/>
      <c r="AF8" s="523"/>
      <c r="AG8" s="523"/>
      <c r="AH8" s="523"/>
      <c r="AI8" s="525"/>
      <c r="AJ8" s="525"/>
      <c r="AK8" s="525"/>
      <c r="AL8" s="525"/>
      <c r="AM8" s="525"/>
      <c r="AN8" s="525"/>
      <c r="AO8" s="525"/>
      <c r="AP8" s="525"/>
      <c r="AQ8" s="525"/>
      <c r="AR8" s="525"/>
      <c r="AS8" s="525"/>
      <c r="AT8" s="525"/>
      <c r="AU8" s="525"/>
      <c r="AV8" s="525"/>
      <c r="AW8" s="525"/>
      <c r="AX8" s="525"/>
    </row>
    <row r="9" spans="1:50" x14ac:dyDescent="0.2">
      <c r="A9" s="206" t="s">
        <v>115</v>
      </c>
      <c r="B9" s="523">
        <v>147492</v>
      </c>
      <c r="C9" s="522">
        <v>59676</v>
      </c>
      <c r="D9" s="523">
        <v>69410</v>
      </c>
      <c r="E9" s="523">
        <v>93592</v>
      </c>
      <c r="F9" s="523">
        <v>38770</v>
      </c>
      <c r="G9" s="524">
        <v>-10045</v>
      </c>
      <c r="H9" s="523">
        <v>-12760</v>
      </c>
      <c r="I9" s="523">
        <v>24900</v>
      </c>
      <c r="J9" s="523">
        <v>43542</v>
      </c>
      <c r="K9" s="523"/>
      <c r="L9" s="523"/>
      <c r="M9" s="523"/>
      <c r="N9" s="523"/>
      <c r="O9" s="523"/>
      <c r="P9" s="523"/>
      <c r="Q9" s="523"/>
      <c r="R9" s="523"/>
      <c r="S9" s="523"/>
      <c r="T9" s="523"/>
      <c r="U9" s="523"/>
      <c r="V9" s="523"/>
      <c r="W9" s="523"/>
      <c r="X9" s="523"/>
      <c r="Y9" s="523"/>
      <c r="Z9" s="523"/>
      <c r="AA9" s="523"/>
      <c r="AB9" s="523"/>
      <c r="AC9" s="523"/>
      <c r="AD9" s="523"/>
      <c r="AE9" s="523"/>
      <c r="AF9" s="523"/>
      <c r="AG9" s="523"/>
      <c r="AH9" s="523"/>
      <c r="AI9" s="525"/>
      <c r="AJ9" s="525"/>
      <c r="AK9" s="525"/>
      <c r="AL9" s="525"/>
      <c r="AM9" s="525"/>
      <c r="AN9" s="525"/>
      <c r="AO9" s="525"/>
      <c r="AP9" s="525"/>
      <c r="AQ9" s="525"/>
      <c r="AR9" s="525"/>
      <c r="AS9" s="525"/>
      <c r="AT9" s="525"/>
      <c r="AU9" s="525"/>
      <c r="AV9" s="525"/>
      <c r="AW9" s="525"/>
      <c r="AX9" s="525"/>
    </row>
    <row r="10" spans="1:50" x14ac:dyDescent="0.2">
      <c r="A10" s="206" t="s">
        <v>188</v>
      </c>
      <c r="B10" s="523">
        <v>-7121</v>
      </c>
      <c r="C10" s="523">
        <v>-7121</v>
      </c>
      <c r="D10" s="523">
        <v>-7121</v>
      </c>
      <c r="E10" s="523">
        <v>23739</v>
      </c>
      <c r="F10" s="523">
        <v>47545</v>
      </c>
      <c r="G10" s="523">
        <v>47545</v>
      </c>
      <c r="H10" s="523">
        <v>50521</v>
      </c>
      <c r="I10" s="523">
        <v>64269</v>
      </c>
      <c r="J10" s="523">
        <v>64269</v>
      </c>
      <c r="K10" s="523"/>
      <c r="L10" s="523"/>
      <c r="M10" s="523"/>
      <c r="N10" s="523"/>
      <c r="O10" s="523"/>
      <c r="P10" s="523"/>
      <c r="Q10" s="523"/>
      <c r="R10" s="523"/>
      <c r="S10" s="523"/>
      <c r="T10" s="523"/>
      <c r="U10" s="523"/>
      <c r="V10" s="523"/>
      <c r="W10" s="523"/>
      <c r="X10" s="523"/>
      <c r="Y10" s="523"/>
      <c r="Z10" s="523"/>
      <c r="AA10" s="523"/>
      <c r="AB10" s="523"/>
      <c r="AC10" s="523"/>
      <c r="AD10" s="523"/>
      <c r="AE10" s="523"/>
      <c r="AF10" s="523"/>
      <c r="AG10" s="523"/>
      <c r="AH10" s="523"/>
      <c r="AI10" s="525"/>
      <c r="AJ10" s="525"/>
      <c r="AK10" s="525"/>
      <c r="AL10" s="525"/>
      <c r="AM10" s="525"/>
      <c r="AN10" s="525"/>
      <c r="AO10" s="525"/>
      <c r="AP10" s="525"/>
      <c r="AQ10" s="525"/>
      <c r="AR10" s="525"/>
      <c r="AS10" s="525"/>
      <c r="AT10" s="525"/>
      <c r="AU10" s="525"/>
      <c r="AV10" s="525"/>
      <c r="AW10" s="525"/>
      <c r="AX10" s="525"/>
    </row>
    <row r="11" spans="1:50" x14ac:dyDescent="0.2">
      <c r="A11" s="206" t="s">
        <v>213</v>
      </c>
      <c r="B11" s="523">
        <v>-32074</v>
      </c>
      <c r="C11" s="522">
        <v>-32074</v>
      </c>
      <c r="D11" s="523">
        <v>-25783</v>
      </c>
      <c r="E11" s="523">
        <v>-25783</v>
      </c>
      <c r="F11" s="523">
        <v>19880</v>
      </c>
      <c r="G11" s="524">
        <v>37616</v>
      </c>
      <c r="H11" s="524">
        <v>72277</v>
      </c>
      <c r="I11" s="523">
        <v>30271</v>
      </c>
      <c r="J11" s="523">
        <v>12393</v>
      </c>
      <c r="K11" s="523"/>
      <c r="L11" s="523"/>
      <c r="M11" s="523"/>
      <c r="N11" s="523"/>
      <c r="O11" s="523"/>
      <c r="P11" s="523"/>
      <c r="Q11" s="523"/>
      <c r="R11" s="523"/>
      <c r="S11" s="523"/>
      <c r="T11" s="523"/>
      <c r="U11" s="523"/>
      <c r="V11" s="523"/>
      <c r="W11" s="523"/>
      <c r="X11" s="523"/>
      <c r="Y11" s="523"/>
      <c r="Z11" s="523"/>
      <c r="AA11" s="523"/>
      <c r="AB11" s="523"/>
      <c r="AC11" s="523"/>
      <c r="AD11" s="523"/>
      <c r="AE11" s="523"/>
      <c r="AF11" s="523"/>
      <c r="AG11" s="523"/>
      <c r="AH11" s="523"/>
      <c r="AI11" s="525"/>
      <c r="AJ11" s="525"/>
      <c r="AK11" s="525"/>
      <c r="AL11" s="525"/>
      <c r="AM11" s="525"/>
      <c r="AN11" s="525"/>
      <c r="AO11" s="525"/>
      <c r="AP11" s="525"/>
      <c r="AQ11" s="525"/>
      <c r="AR11" s="525"/>
      <c r="AS11" s="525"/>
      <c r="AT11" s="525"/>
      <c r="AU11" s="525"/>
      <c r="AV11" s="525"/>
      <c r="AW11" s="525"/>
      <c r="AX11" s="525"/>
    </row>
    <row r="12" spans="1:50" x14ac:dyDescent="0.2">
      <c r="A12" s="528" t="s">
        <v>214</v>
      </c>
      <c r="B12" s="529">
        <v>81654</v>
      </c>
      <c r="C12" s="531">
        <v>79650</v>
      </c>
      <c r="D12" s="529">
        <v>30618</v>
      </c>
      <c r="E12" s="529">
        <v>43969</v>
      </c>
      <c r="F12" s="529">
        <v>37185</v>
      </c>
      <c r="G12" s="530">
        <v>54911</v>
      </c>
      <c r="H12" s="530">
        <v>120061</v>
      </c>
      <c r="I12" s="529">
        <v>120061</v>
      </c>
      <c r="J12" s="529">
        <v>127284</v>
      </c>
      <c r="N12" s="523"/>
      <c r="O12" s="523"/>
      <c r="P12" s="523"/>
      <c r="Q12" s="523"/>
      <c r="R12" s="523"/>
      <c r="S12" s="523"/>
      <c r="T12" s="523"/>
      <c r="U12" s="523"/>
      <c r="V12" s="523"/>
      <c r="W12" s="523"/>
      <c r="X12" s="523"/>
      <c r="Y12" s="523"/>
      <c r="Z12" s="523"/>
      <c r="AA12" s="523"/>
      <c r="AB12" s="523"/>
      <c r="AC12" s="523"/>
      <c r="AD12" s="523"/>
      <c r="AE12" s="523"/>
      <c r="AF12" s="523"/>
      <c r="AG12" s="523"/>
      <c r="AH12" s="523"/>
      <c r="AI12" s="525"/>
      <c r="AJ12" s="525"/>
      <c r="AK12" s="525"/>
      <c r="AL12" s="525"/>
      <c r="AM12" s="525"/>
      <c r="AN12" s="525"/>
      <c r="AO12" s="525"/>
      <c r="AP12" s="525"/>
      <c r="AQ12" s="525"/>
      <c r="AR12" s="525"/>
      <c r="AS12" s="525"/>
      <c r="AT12" s="525"/>
      <c r="AU12" s="525"/>
      <c r="AV12" s="525"/>
      <c r="AW12" s="525"/>
      <c r="AX12" s="525"/>
    </row>
    <row r="13" spans="1:50" x14ac:dyDescent="0.2">
      <c r="A13" s="206" t="s">
        <v>145</v>
      </c>
      <c r="B13" s="523">
        <v>11018</v>
      </c>
      <c r="C13" s="522">
        <v>12567</v>
      </c>
      <c r="D13" s="526">
        <v>19121</v>
      </c>
      <c r="E13" s="523">
        <v>30904</v>
      </c>
      <c r="F13" s="523">
        <v>33216</v>
      </c>
      <c r="G13" s="524">
        <v>27926</v>
      </c>
      <c r="H13" s="523">
        <v>95102</v>
      </c>
      <c r="I13" s="523">
        <v>76325</v>
      </c>
      <c r="J13" s="523">
        <v>48988</v>
      </c>
      <c r="K13" s="523"/>
      <c r="L13" s="523"/>
      <c r="M13" s="523"/>
      <c r="N13" s="523"/>
      <c r="O13" s="523"/>
      <c r="P13" s="523"/>
      <c r="Q13" s="523"/>
      <c r="R13" s="523"/>
      <c r="S13" s="523"/>
      <c r="T13" s="523"/>
      <c r="U13" s="523"/>
      <c r="V13" s="523"/>
      <c r="W13" s="523"/>
      <c r="X13" s="523"/>
      <c r="Y13" s="523"/>
      <c r="Z13" s="523"/>
      <c r="AA13" s="523"/>
      <c r="AB13" s="523"/>
      <c r="AC13" s="523"/>
      <c r="AD13" s="523"/>
      <c r="AE13" s="523"/>
      <c r="AF13" s="523"/>
      <c r="AG13" s="523"/>
      <c r="AH13" s="523"/>
      <c r="AI13" s="525"/>
      <c r="AJ13" s="525"/>
      <c r="AK13" s="525"/>
      <c r="AL13" s="525"/>
      <c r="AM13" s="525"/>
      <c r="AN13" s="525"/>
      <c r="AO13" s="525"/>
      <c r="AP13" s="525"/>
      <c r="AQ13" s="525"/>
      <c r="AR13" s="525"/>
      <c r="AS13" s="525"/>
      <c r="AT13" s="525"/>
      <c r="AU13" s="525"/>
      <c r="AV13" s="525"/>
      <c r="AW13" s="525"/>
      <c r="AX13" s="525"/>
    </row>
    <row r="14" spans="1:50" x14ac:dyDescent="0.2">
      <c r="A14" s="206" t="s">
        <v>7</v>
      </c>
      <c r="B14" s="523">
        <v>70928</v>
      </c>
      <c r="C14" s="522">
        <v>24533</v>
      </c>
      <c r="D14" s="523">
        <v>29886</v>
      </c>
      <c r="E14" s="523">
        <v>22591</v>
      </c>
      <c r="F14" s="523">
        <v>45729</v>
      </c>
      <c r="G14" s="524">
        <v>1307</v>
      </c>
      <c r="H14" s="523">
        <v>28278</v>
      </c>
      <c r="I14" s="523">
        <v>34979</v>
      </c>
      <c r="J14" s="523">
        <v>47553</v>
      </c>
      <c r="K14" s="523"/>
      <c r="L14" s="523"/>
      <c r="M14" s="523"/>
      <c r="N14" s="523"/>
      <c r="O14" s="523"/>
      <c r="P14" s="523"/>
      <c r="Q14" s="523"/>
      <c r="R14" s="523"/>
      <c r="S14" s="523"/>
      <c r="T14" s="523"/>
      <c r="U14" s="523"/>
      <c r="V14" s="523"/>
      <c r="W14" s="523"/>
      <c r="X14" s="523"/>
      <c r="Y14" s="523"/>
      <c r="Z14" s="523"/>
      <c r="AA14" s="523"/>
      <c r="AB14" s="523"/>
      <c r="AC14" s="523"/>
      <c r="AD14" s="523"/>
      <c r="AE14" s="523"/>
      <c r="AF14" s="523"/>
      <c r="AG14" s="523"/>
      <c r="AH14" s="523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</row>
    <row r="15" spans="1:50" x14ac:dyDescent="0.2">
      <c r="A15" s="206" t="s">
        <v>32</v>
      </c>
      <c r="B15" s="523">
        <v>-7752</v>
      </c>
      <c r="C15" s="522">
        <v>3487</v>
      </c>
      <c r="D15" s="523">
        <v>3487</v>
      </c>
      <c r="E15" s="523">
        <v>6729</v>
      </c>
      <c r="F15" s="523">
        <v>54217</v>
      </c>
      <c r="G15" s="524">
        <v>61895</v>
      </c>
      <c r="H15" s="523">
        <v>69314</v>
      </c>
      <c r="I15" s="523">
        <v>36339</v>
      </c>
      <c r="J15" s="523">
        <v>73003</v>
      </c>
      <c r="K15" s="523"/>
      <c r="L15" s="523"/>
      <c r="M15" s="523"/>
      <c r="N15" s="523"/>
      <c r="O15" s="523"/>
      <c r="P15" s="523"/>
      <c r="Q15" s="523"/>
      <c r="R15" s="523"/>
      <c r="S15" s="523"/>
      <c r="T15" s="523"/>
      <c r="U15" s="523"/>
      <c r="V15" s="523"/>
      <c r="W15" s="523"/>
      <c r="X15" s="523"/>
      <c r="Y15" s="523"/>
      <c r="Z15" s="523"/>
      <c r="AA15" s="523"/>
      <c r="AB15" s="523"/>
      <c r="AC15" s="523"/>
      <c r="AD15" s="523"/>
      <c r="AE15" s="523"/>
      <c r="AF15" s="523"/>
      <c r="AG15" s="523"/>
      <c r="AH15" s="523"/>
      <c r="AI15" s="525"/>
      <c r="AJ15" s="525"/>
      <c r="AK15" s="525"/>
      <c r="AL15" s="525"/>
      <c r="AM15" s="525"/>
      <c r="AN15" s="525"/>
      <c r="AO15" s="525"/>
      <c r="AP15" s="525"/>
      <c r="AQ15" s="525"/>
      <c r="AR15" s="525"/>
      <c r="AS15" s="525"/>
      <c r="AT15" s="525"/>
      <c r="AU15" s="525"/>
      <c r="AV15" s="525"/>
      <c r="AW15" s="525"/>
      <c r="AX15" s="525"/>
    </row>
    <row r="16" spans="1:50" x14ac:dyDescent="0.2">
      <c r="A16" s="206"/>
      <c r="B16" s="523">
        <f>SUM(B7:B15)</f>
        <v>296957</v>
      </c>
      <c r="C16" s="523">
        <f>SUM(C7:C15)</f>
        <v>201719</v>
      </c>
      <c r="D16" s="523">
        <f t="shared" ref="D16:L16" si="0">SUM(D7:D15)</f>
        <v>158722</v>
      </c>
      <c r="E16" s="523">
        <f t="shared" si="0"/>
        <v>247546</v>
      </c>
      <c r="F16" s="523">
        <f t="shared" si="0"/>
        <v>342248</v>
      </c>
      <c r="G16" s="523">
        <f t="shared" si="0"/>
        <v>203539</v>
      </c>
      <c r="H16" s="523">
        <f t="shared" si="0"/>
        <v>679080</v>
      </c>
      <c r="I16" s="523">
        <f t="shared" si="0"/>
        <v>668049</v>
      </c>
      <c r="J16" s="523">
        <f t="shared" si="0"/>
        <v>719629</v>
      </c>
      <c r="K16" s="523">
        <f t="shared" si="0"/>
        <v>0</v>
      </c>
      <c r="L16" s="523">
        <f t="shared" si="0"/>
        <v>0</v>
      </c>
      <c r="M16" s="523"/>
      <c r="N16" s="523"/>
      <c r="O16" s="523"/>
      <c r="P16" s="523"/>
      <c r="Q16" s="523"/>
      <c r="R16" s="523"/>
      <c r="S16" s="523"/>
      <c r="T16" s="523"/>
      <c r="U16" s="523"/>
      <c r="V16" s="523"/>
      <c r="W16" s="523"/>
      <c r="X16" s="523"/>
      <c r="Y16" s="523"/>
      <c r="Z16" s="523"/>
      <c r="AA16" s="523"/>
      <c r="AB16" s="523"/>
      <c r="AC16" s="523"/>
      <c r="AD16" s="523"/>
      <c r="AE16" s="523"/>
      <c r="AF16" s="523"/>
      <c r="AG16" s="523"/>
      <c r="AH16" s="523"/>
      <c r="AI16" s="525"/>
      <c r="AJ16" s="525"/>
      <c r="AK16" s="525"/>
      <c r="AL16" s="525"/>
      <c r="AM16" s="525"/>
      <c r="AN16" s="525"/>
      <c r="AO16" s="525"/>
      <c r="AP16" s="525"/>
      <c r="AQ16" s="525"/>
      <c r="AR16" s="525"/>
      <c r="AS16" s="525"/>
      <c r="AT16" s="525"/>
      <c r="AU16" s="525"/>
      <c r="AV16" s="525"/>
      <c r="AW16" s="525"/>
      <c r="AX16" s="525"/>
    </row>
    <row r="18" spans="1:50" x14ac:dyDescent="0.2">
      <c r="A18" s="532" t="s">
        <v>215</v>
      </c>
      <c r="B18" s="533"/>
      <c r="C18" s="533">
        <v>8.2100000000000009</v>
      </c>
      <c r="D18" s="533">
        <v>5.62</v>
      </c>
      <c r="E18" s="533">
        <v>4.9800000000000004</v>
      </c>
      <c r="F18" s="533">
        <v>4.87</v>
      </c>
      <c r="G18" s="533">
        <v>3.82</v>
      </c>
      <c r="H18" s="533">
        <v>3.2</v>
      </c>
      <c r="I18" s="533">
        <v>2.77</v>
      </c>
      <c r="J18" s="533">
        <v>2.77</v>
      </c>
      <c r="K18" s="533">
        <v>1.88</v>
      </c>
      <c r="L18" s="533">
        <f>+'[1]1001'!$M$39</f>
        <v>1.7</v>
      </c>
      <c r="M18" s="533"/>
      <c r="N18" s="533"/>
      <c r="O18" s="523"/>
      <c r="P18" s="523"/>
      <c r="Q18" s="523"/>
      <c r="R18" s="523"/>
      <c r="S18" s="523"/>
      <c r="T18" s="523"/>
      <c r="U18" s="523"/>
      <c r="V18" s="523"/>
      <c r="W18" s="523"/>
      <c r="X18" s="523"/>
      <c r="Y18" s="523"/>
      <c r="Z18" s="523"/>
      <c r="AA18" s="523"/>
      <c r="AB18" s="523"/>
      <c r="AC18" s="523"/>
      <c r="AD18" s="523"/>
      <c r="AE18" s="523"/>
      <c r="AF18" s="523"/>
      <c r="AG18" s="523"/>
      <c r="AH18" s="523"/>
      <c r="AI18" s="525"/>
      <c r="AJ18" s="525"/>
      <c r="AK18" s="525"/>
      <c r="AL18" s="525"/>
      <c r="AM18" s="525"/>
      <c r="AN18" s="525"/>
      <c r="AO18" s="525"/>
      <c r="AP18" s="525"/>
      <c r="AQ18" s="525"/>
      <c r="AR18" s="525"/>
      <c r="AS18" s="525"/>
      <c r="AT18" s="525"/>
      <c r="AU18" s="525"/>
      <c r="AV18" s="525"/>
      <c r="AW18" s="525"/>
      <c r="AX18" s="525"/>
    </row>
    <row r="19" spans="1:50" s="520" customFormat="1" x14ac:dyDescent="0.2">
      <c r="A19" s="367"/>
      <c r="B19" s="534"/>
      <c r="C19" s="535">
        <f t="shared" ref="C19:K19" si="1">+C18*B16</f>
        <v>2438016.9700000002</v>
      </c>
      <c r="D19" s="535">
        <f t="shared" si="1"/>
        <v>1133660.78</v>
      </c>
      <c r="E19" s="535">
        <f t="shared" si="1"/>
        <v>790435.56</v>
      </c>
      <c r="F19" s="535">
        <f t="shared" si="1"/>
        <v>1205549.02</v>
      </c>
      <c r="G19" s="535">
        <f t="shared" si="1"/>
        <v>1307387.3599999999</v>
      </c>
      <c r="H19" s="535">
        <f t="shared" si="1"/>
        <v>651324.80000000005</v>
      </c>
      <c r="I19" s="535">
        <f t="shared" si="1"/>
        <v>1881051.6</v>
      </c>
      <c r="J19" s="535">
        <f t="shared" si="1"/>
        <v>1850495.73</v>
      </c>
      <c r="K19" s="535">
        <f t="shared" si="1"/>
        <v>1352902.52</v>
      </c>
      <c r="L19" s="535">
        <f>+L16*M18</f>
        <v>0</v>
      </c>
      <c r="M19" s="534"/>
      <c r="N19" s="534"/>
      <c r="O19" s="534"/>
      <c r="P19" s="534"/>
      <c r="Q19" s="534"/>
      <c r="R19" s="534"/>
      <c r="S19" s="534"/>
      <c r="T19" s="534"/>
      <c r="U19" s="534"/>
      <c r="V19" s="534"/>
      <c r="W19" s="534"/>
      <c r="X19" s="534"/>
      <c r="Y19" s="534"/>
      <c r="Z19" s="534"/>
      <c r="AA19" s="534"/>
      <c r="AB19" s="534"/>
      <c r="AC19" s="534"/>
      <c r="AD19" s="534"/>
      <c r="AE19" s="534"/>
      <c r="AF19" s="534"/>
      <c r="AG19" s="534"/>
      <c r="AH19" s="534"/>
      <c r="AI19" s="536"/>
      <c r="AJ19" s="536"/>
      <c r="AK19" s="536"/>
      <c r="AL19" s="536"/>
      <c r="AM19" s="536"/>
      <c r="AN19" s="536"/>
      <c r="AO19" s="536"/>
      <c r="AP19" s="536"/>
      <c r="AQ19" s="536"/>
      <c r="AR19" s="536"/>
      <c r="AS19" s="536"/>
      <c r="AT19" s="536"/>
      <c r="AU19" s="536"/>
      <c r="AV19" s="536"/>
      <c r="AW19" s="536"/>
      <c r="AX19" s="536"/>
    </row>
    <row r="20" spans="1:50" s="520" customFormat="1" x14ac:dyDescent="0.2">
      <c r="A20" s="367"/>
      <c r="B20" s="534"/>
      <c r="C20" s="535"/>
      <c r="D20" s="535">
        <f t="shared" ref="D20:K20" si="2">+D19-C19</f>
        <v>-1304356.1900000002</v>
      </c>
      <c r="E20" s="535">
        <f t="shared" si="2"/>
        <v>-343225.22</v>
      </c>
      <c r="F20" s="535">
        <f t="shared" si="2"/>
        <v>415113.45999999996</v>
      </c>
      <c r="G20" s="535">
        <f t="shared" si="2"/>
        <v>101838.33999999985</v>
      </c>
      <c r="H20" s="535">
        <f t="shared" si="2"/>
        <v>-656062.55999999982</v>
      </c>
      <c r="I20" s="535">
        <f t="shared" si="2"/>
        <v>1229726.8</v>
      </c>
      <c r="J20" s="535">
        <f t="shared" si="2"/>
        <v>-30555.870000000112</v>
      </c>
      <c r="K20" s="535">
        <f t="shared" si="2"/>
        <v>-497593.20999999996</v>
      </c>
      <c r="L20" s="535"/>
      <c r="M20" s="534"/>
      <c r="N20" s="534"/>
      <c r="O20" s="534"/>
      <c r="P20" s="534"/>
      <c r="Q20" s="534"/>
      <c r="R20" s="534"/>
      <c r="S20" s="534"/>
      <c r="T20" s="534"/>
      <c r="U20" s="534"/>
      <c r="V20" s="534"/>
      <c r="W20" s="534"/>
      <c r="X20" s="534"/>
      <c r="Y20" s="534"/>
      <c r="Z20" s="534"/>
      <c r="AA20" s="534"/>
      <c r="AB20" s="534"/>
      <c r="AC20" s="534"/>
      <c r="AD20" s="534"/>
      <c r="AE20" s="534"/>
      <c r="AF20" s="534"/>
      <c r="AG20" s="534"/>
      <c r="AH20" s="534"/>
      <c r="AI20" s="536"/>
      <c r="AJ20" s="536"/>
      <c r="AK20" s="536"/>
      <c r="AL20" s="536"/>
      <c r="AM20" s="536"/>
      <c r="AN20" s="536"/>
      <c r="AO20" s="536"/>
      <c r="AP20" s="536"/>
      <c r="AQ20" s="536"/>
      <c r="AR20" s="536"/>
      <c r="AS20" s="536"/>
      <c r="AT20" s="536"/>
      <c r="AU20" s="536"/>
      <c r="AV20" s="536"/>
      <c r="AW20" s="536"/>
      <c r="AX20" s="536"/>
    </row>
    <row r="21" spans="1:50" s="520" customFormat="1" x14ac:dyDescent="0.2">
      <c r="A21" s="367"/>
      <c r="B21" s="534"/>
      <c r="C21" s="535"/>
      <c r="D21" s="535"/>
      <c r="E21" s="535"/>
      <c r="F21" s="535"/>
      <c r="G21" s="535"/>
      <c r="H21" s="535"/>
      <c r="I21" s="535"/>
      <c r="J21" s="535"/>
      <c r="K21" s="535"/>
      <c r="L21" s="535"/>
      <c r="M21" s="534"/>
      <c r="N21" s="534"/>
      <c r="O21" s="534"/>
      <c r="P21" s="534"/>
      <c r="Q21" s="534"/>
      <c r="R21" s="534"/>
      <c r="S21" s="534"/>
      <c r="T21" s="534"/>
      <c r="U21" s="534"/>
      <c r="V21" s="534"/>
      <c r="W21" s="534"/>
      <c r="X21" s="534"/>
      <c r="Y21" s="534"/>
      <c r="Z21" s="534"/>
      <c r="AA21" s="534"/>
      <c r="AB21" s="534"/>
      <c r="AC21" s="534"/>
      <c r="AD21" s="534"/>
      <c r="AE21" s="534"/>
      <c r="AF21" s="534"/>
      <c r="AG21" s="534"/>
      <c r="AH21" s="534"/>
      <c r="AI21" s="536"/>
      <c r="AJ21" s="536"/>
      <c r="AK21" s="536"/>
      <c r="AL21" s="536"/>
      <c r="AM21" s="536"/>
      <c r="AN21" s="536"/>
      <c r="AO21" s="536"/>
      <c r="AP21" s="536"/>
      <c r="AQ21" s="536"/>
      <c r="AR21" s="536"/>
      <c r="AS21" s="536"/>
      <c r="AT21" s="536"/>
      <c r="AU21" s="536"/>
      <c r="AV21" s="536"/>
      <c r="AW21" s="536"/>
      <c r="AX21" s="536"/>
    </row>
    <row r="22" spans="1:50" x14ac:dyDescent="0.2">
      <c r="R22" s="523"/>
      <c r="S22" s="523"/>
      <c r="T22" s="523"/>
      <c r="U22" s="523"/>
      <c r="V22" s="523"/>
      <c r="W22" s="523"/>
      <c r="X22" s="523"/>
      <c r="Y22" s="523"/>
      <c r="Z22" s="523"/>
      <c r="AA22" s="523"/>
      <c r="AB22" s="523"/>
      <c r="AC22" s="523"/>
      <c r="AD22" s="523"/>
      <c r="AE22" s="523"/>
      <c r="AF22" s="523"/>
      <c r="AG22" s="523"/>
      <c r="AH22" s="523"/>
      <c r="AI22" s="525"/>
      <c r="AJ22" s="525"/>
      <c r="AK22" s="525"/>
      <c r="AL22" s="525"/>
      <c r="AM22" s="525"/>
      <c r="AN22" s="525"/>
      <c r="AO22" s="525"/>
      <c r="AP22" s="525"/>
      <c r="AQ22" s="525"/>
      <c r="AR22" s="525"/>
      <c r="AS22" s="525"/>
      <c r="AT22" s="525"/>
      <c r="AU22" s="525"/>
      <c r="AV22" s="525"/>
      <c r="AW22" s="525"/>
      <c r="AX22" s="525"/>
    </row>
    <row r="23" spans="1:50" ht="13.5" customHeight="1" x14ac:dyDescent="0.2">
      <c r="A23" s="206" t="s">
        <v>29</v>
      </c>
      <c r="B23" s="523">
        <v>-70145</v>
      </c>
      <c r="C23" s="522">
        <v>-44467</v>
      </c>
      <c r="D23" s="523">
        <v>-9747</v>
      </c>
      <c r="E23" s="523">
        <v>30129</v>
      </c>
      <c r="F23" s="523">
        <v>121747</v>
      </c>
      <c r="G23" s="524">
        <v>278779</v>
      </c>
      <c r="H23" s="524">
        <v>286331</v>
      </c>
      <c r="I23" s="523">
        <v>310267</v>
      </c>
      <c r="J23" s="523">
        <v>275390</v>
      </c>
      <c r="K23" s="523"/>
      <c r="L23" s="523"/>
      <c r="M23" s="523"/>
      <c r="N23" s="523"/>
      <c r="O23" s="523"/>
      <c r="P23" s="523"/>
      <c r="Q23" s="523"/>
      <c r="R23" s="523"/>
      <c r="S23" s="523"/>
      <c r="T23" s="523"/>
      <c r="U23" s="523"/>
      <c r="V23" s="523"/>
      <c r="W23" s="523"/>
      <c r="X23" s="523"/>
      <c r="Y23" s="523"/>
      <c r="Z23" s="523"/>
      <c r="AA23" s="523"/>
      <c r="AB23" s="523"/>
      <c r="AC23" s="523"/>
      <c r="AD23" s="523"/>
      <c r="AE23" s="523"/>
      <c r="AF23" s="523"/>
      <c r="AG23" s="523"/>
      <c r="AH23" s="523"/>
      <c r="AI23" s="525"/>
      <c r="AJ23" s="525"/>
      <c r="AK23" s="525"/>
      <c r="AL23" s="525"/>
      <c r="AM23" s="525"/>
      <c r="AN23" s="525"/>
      <c r="AO23" s="525"/>
      <c r="AP23" s="525"/>
      <c r="AQ23" s="525"/>
      <c r="AR23" s="525"/>
      <c r="AS23" s="525"/>
      <c r="AT23" s="525"/>
      <c r="AU23" s="525"/>
      <c r="AV23" s="525"/>
      <c r="AW23" s="525"/>
      <c r="AX23" s="525"/>
    </row>
    <row r="24" spans="1:50" x14ac:dyDescent="0.2">
      <c r="A24" s="206" t="s">
        <v>212</v>
      </c>
      <c r="B24" s="523">
        <v>-55807</v>
      </c>
      <c r="C24" s="522">
        <v>-32211</v>
      </c>
      <c r="D24" s="523">
        <v>-38475</v>
      </c>
      <c r="E24" s="523">
        <v>-32230</v>
      </c>
      <c r="F24" s="523">
        <v>82528</v>
      </c>
      <c r="G24" s="524">
        <v>94855</v>
      </c>
      <c r="H24" s="524">
        <v>59179</v>
      </c>
      <c r="I24" s="523">
        <v>54883</v>
      </c>
      <c r="J24" s="523">
        <v>87070</v>
      </c>
      <c r="K24" s="523"/>
      <c r="L24" s="523"/>
      <c r="M24" s="538"/>
      <c r="N24" s="538"/>
      <c r="O24" s="523"/>
      <c r="P24" s="523"/>
      <c r="Q24" s="523"/>
      <c r="R24" s="523"/>
      <c r="S24" s="523"/>
      <c r="T24" s="523"/>
      <c r="U24" s="523"/>
      <c r="V24" s="523"/>
      <c r="W24" s="523"/>
      <c r="X24" s="523"/>
      <c r="Y24" s="523"/>
      <c r="Z24" s="523"/>
      <c r="AA24" s="523"/>
      <c r="AB24" s="523"/>
      <c r="AC24" s="523"/>
      <c r="AD24" s="523"/>
      <c r="AE24" s="523"/>
      <c r="AF24" s="523"/>
      <c r="AG24" s="523"/>
      <c r="AH24" s="523"/>
      <c r="AI24" s="525"/>
      <c r="AJ24" s="525"/>
      <c r="AK24" s="525"/>
      <c r="AL24" s="525"/>
      <c r="AM24" s="525"/>
      <c r="AN24" s="525"/>
      <c r="AO24" s="525"/>
      <c r="AP24" s="525"/>
      <c r="AQ24" s="525"/>
      <c r="AR24" s="525"/>
      <c r="AS24" s="525"/>
      <c r="AT24" s="525"/>
      <c r="AU24" s="525"/>
      <c r="AV24" s="525"/>
      <c r="AW24" s="525"/>
      <c r="AX24" s="525"/>
    </row>
    <row r="25" spans="1:50" x14ac:dyDescent="0.2">
      <c r="A25" s="206" t="s">
        <v>189</v>
      </c>
      <c r="B25" s="523">
        <v>268892</v>
      </c>
      <c r="C25" s="522">
        <v>198073</v>
      </c>
      <c r="D25" s="523">
        <v>173680</v>
      </c>
      <c r="E25" s="523">
        <v>168646</v>
      </c>
      <c r="F25" s="523">
        <v>255346</v>
      </c>
      <c r="G25" s="524">
        <v>300960</v>
      </c>
      <c r="H25" s="524">
        <v>170528</v>
      </c>
      <c r="I25" s="523">
        <v>27596</v>
      </c>
      <c r="J25" s="523">
        <v>-65974</v>
      </c>
      <c r="K25" s="523"/>
      <c r="L25" s="523"/>
      <c r="M25" s="523"/>
      <c r="N25" s="523"/>
      <c r="O25" s="523"/>
      <c r="P25" s="523"/>
      <c r="Q25" s="523"/>
      <c r="R25" s="523"/>
      <c r="S25" s="523"/>
      <c r="T25" s="523"/>
      <c r="U25" s="523"/>
      <c r="V25" s="523"/>
      <c r="W25" s="523"/>
      <c r="X25" s="523"/>
      <c r="Y25" s="523"/>
      <c r="Z25" s="523"/>
      <c r="AA25" s="523"/>
      <c r="AB25" s="523"/>
      <c r="AC25" s="523"/>
      <c r="AD25" s="523"/>
      <c r="AE25" s="523"/>
      <c r="AF25" s="523"/>
      <c r="AG25" s="523"/>
      <c r="AH25" s="523"/>
      <c r="AI25" s="525"/>
      <c r="AJ25" s="525"/>
      <c r="AK25" s="525"/>
      <c r="AL25" s="525"/>
      <c r="AM25" s="525"/>
      <c r="AN25" s="525"/>
      <c r="AO25" s="525"/>
      <c r="AP25" s="525"/>
      <c r="AQ25" s="525"/>
      <c r="AR25" s="525"/>
      <c r="AS25" s="525"/>
      <c r="AT25" s="525"/>
      <c r="AU25" s="525"/>
      <c r="AV25" s="525"/>
      <c r="AW25" s="525"/>
      <c r="AX25" s="525"/>
    </row>
    <row r="26" spans="1:50" x14ac:dyDescent="0.2">
      <c r="A26" s="206" t="s">
        <v>1</v>
      </c>
      <c r="B26" s="523">
        <v>-119838</v>
      </c>
      <c r="C26" s="522">
        <v>-60187</v>
      </c>
      <c r="D26" s="523">
        <v>6957</v>
      </c>
      <c r="E26" s="523">
        <v>-37371</v>
      </c>
      <c r="F26" s="523">
        <v>-18982</v>
      </c>
      <c r="G26" s="524">
        <v>-386</v>
      </c>
      <c r="H26" s="524">
        <v>11234</v>
      </c>
      <c r="I26" s="523">
        <v>5110</v>
      </c>
      <c r="J26" s="523">
        <v>70754</v>
      </c>
      <c r="K26" s="523"/>
      <c r="L26" s="523"/>
      <c r="M26" s="523"/>
      <c r="N26" s="523"/>
      <c r="O26" s="523"/>
      <c r="P26" s="523"/>
      <c r="Q26" s="523"/>
      <c r="R26" s="523"/>
      <c r="S26" s="523"/>
      <c r="T26" s="523"/>
      <c r="U26" s="523"/>
      <c r="V26" s="523"/>
      <c r="W26" s="523"/>
      <c r="X26" s="523"/>
      <c r="Y26" s="523"/>
      <c r="Z26" s="523"/>
      <c r="AA26" s="523"/>
      <c r="AB26" s="523"/>
      <c r="AC26" s="523"/>
      <c r="AD26" s="523"/>
      <c r="AE26" s="523"/>
      <c r="AF26" s="523"/>
      <c r="AG26" s="523"/>
      <c r="AH26" s="523"/>
      <c r="AI26" s="525"/>
      <c r="AJ26" s="525"/>
      <c r="AK26" s="525"/>
      <c r="AL26" s="525"/>
      <c r="AM26" s="525"/>
      <c r="AN26" s="525"/>
      <c r="AO26" s="525"/>
      <c r="AP26" s="525"/>
      <c r="AQ26" s="525"/>
      <c r="AR26" s="525"/>
      <c r="AS26" s="525"/>
      <c r="AT26" s="525"/>
      <c r="AU26" s="525"/>
      <c r="AV26" s="525"/>
      <c r="AW26" s="525"/>
      <c r="AX26" s="525"/>
    </row>
    <row r="27" spans="1:50" x14ac:dyDescent="0.2">
      <c r="A27" s="206"/>
      <c r="B27" s="523">
        <f t="shared" ref="B27:L27" si="3">SUM(B23:B26)</f>
        <v>23102</v>
      </c>
      <c r="C27" s="523">
        <f t="shared" si="3"/>
        <v>61208</v>
      </c>
      <c r="D27" s="523">
        <f t="shared" si="3"/>
        <v>132415</v>
      </c>
      <c r="E27" s="523">
        <f t="shared" si="3"/>
        <v>129174</v>
      </c>
      <c r="F27" s="523">
        <f t="shared" si="3"/>
        <v>440639</v>
      </c>
      <c r="G27" s="523">
        <f t="shared" si="3"/>
        <v>674208</v>
      </c>
      <c r="H27" s="523">
        <f t="shared" si="3"/>
        <v>527272</v>
      </c>
      <c r="I27" s="523">
        <f t="shared" si="3"/>
        <v>397856</v>
      </c>
      <c r="J27" s="523">
        <f t="shared" si="3"/>
        <v>367240</v>
      </c>
      <c r="K27" s="523">
        <f t="shared" si="3"/>
        <v>0</v>
      </c>
      <c r="L27" s="523">
        <f t="shared" si="3"/>
        <v>0</v>
      </c>
      <c r="M27" s="523"/>
      <c r="N27" s="523"/>
      <c r="O27" s="523"/>
      <c r="P27" s="523"/>
      <c r="Q27" s="523"/>
      <c r="R27" s="523"/>
      <c r="S27" s="523"/>
      <c r="T27" s="523"/>
      <c r="U27" s="523"/>
      <c r="V27" s="523"/>
      <c r="W27" s="523"/>
      <c r="X27" s="523"/>
      <c r="Y27" s="523"/>
      <c r="Z27" s="523"/>
      <c r="AA27" s="523"/>
      <c r="AB27" s="523"/>
      <c r="AC27" s="523"/>
      <c r="AD27" s="523"/>
      <c r="AE27" s="523"/>
      <c r="AF27" s="523"/>
      <c r="AG27" s="523"/>
      <c r="AH27" s="523"/>
      <c r="AI27" s="525"/>
      <c r="AJ27" s="525"/>
      <c r="AK27" s="525"/>
      <c r="AL27" s="525"/>
      <c r="AM27" s="525"/>
      <c r="AN27" s="525"/>
      <c r="AO27" s="525"/>
      <c r="AP27" s="525"/>
      <c r="AQ27" s="525"/>
      <c r="AR27" s="525"/>
      <c r="AS27" s="525"/>
      <c r="AT27" s="525"/>
      <c r="AU27" s="525"/>
      <c r="AV27" s="525"/>
      <c r="AW27" s="525"/>
      <c r="AX27" s="525"/>
    </row>
    <row r="29" spans="1:50" x14ac:dyDescent="0.2">
      <c r="A29" s="532" t="s">
        <v>216</v>
      </c>
      <c r="B29" s="533"/>
      <c r="C29" s="533">
        <v>8.1</v>
      </c>
      <c r="D29" s="533">
        <v>5.61</v>
      </c>
      <c r="E29" s="533">
        <v>4.87</v>
      </c>
      <c r="F29" s="533">
        <v>4.62</v>
      </c>
      <c r="G29" s="533">
        <v>3.44</v>
      </c>
      <c r="H29" s="533">
        <v>2.58</v>
      </c>
      <c r="I29" s="533">
        <v>2.4500000000000002</v>
      </c>
      <c r="J29" s="533">
        <v>2.61</v>
      </c>
      <c r="K29" s="533">
        <v>1.73</v>
      </c>
      <c r="L29" s="533">
        <f>+'[1]1001'!$K$39</f>
        <v>1.6</v>
      </c>
      <c r="M29" s="533"/>
      <c r="N29" s="533"/>
      <c r="O29" s="523"/>
      <c r="P29" s="523"/>
      <c r="Q29" s="523"/>
      <c r="R29" s="523"/>
      <c r="S29" s="523"/>
      <c r="T29" s="523"/>
      <c r="U29" s="523"/>
      <c r="V29" s="523"/>
      <c r="W29" s="523"/>
      <c r="X29" s="523"/>
      <c r="Y29" s="523"/>
      <c r="Z29" s="523"/>
      <c r="AA29" s="523"/>
      <c r="AB29" s="523"/>
      <c r="AC29" s="523"/>
      <c r="AD29" s="523"/>
      <c r="AE29" s="523"/>
      <c r="AF29" s="523"/>
      <c r="AG29" s="523"/>
      <c r="AH29" s="523"/>
      <c r="AI29" s="525"/>
      <c r="AJ29" s="525"/>
      <c r="AK29" s="525"/>
      <c r="AL29" s="525"/>
      <c r="AM29" s="525"/>
      <c r="AN29" s="525"/>
      <c r="AO29" s="525"/>
      <c r="AP29" s="525"/>
      <c r="AQ29" s="525"/>
      <c r="AR29" s="525"/>
      <c r="AS29" s="525"/>
      <c r="AT29" s="525"/>
      <c r="AU29" s="525"/>
      <c r="AV29" s="525"/>
      <c r="AW29" s="525"/>
      <c r="AX29" s="525"/>
    </row>
    <row r="30" spans="1:50" x14ac:dyDescent="0.2">
      <c r="A30" s="206"/>
      <c r="B30" s="523"/>
      <c r="C30" s="523">
        <f t="shared" ref="C30:J30" si="4">+C29*B27</f>
        <v>187126.19999999998</v>
      </c>
      <c r="D30" s="523">
        <f t="shared" si="4"/>
        <v>343376.88</v>
      </c>
      <c r="E30" s="523">
        <f t="shared" si="4"/>
        <v>644861.05000000005</v>
      </c>
      <c r="F30" s="523">
        <f t="shared" si="4"/>
        <v>596783.88</v>
      </c>
      <c r="G30" s="523">
        <f t="shared" si="4"/>
        <v>1515798.16</v>
      </c>
      <c r="H30" s="523">
        <f t="shared" si="4"/>
        <v>1739456.6400000001</v>
      </c>
      <c r="I30" s="523">
        <f t="shared" si="4"/>
        <v>1291816.4000000001</v>
      </c>
      <c r="J30" s="523">
        <f t="shared" si="4"/>
        <v>1038404.1599999999</v>
      </c>
      <c r="K30" s="523">
        <f>+J27*K29</f>
        <v>635325.19999999995</v>
      </c>
      <c r="L30" s="523"/>
      <c r="M30" s="523"/>
      <c r="N30" s="523"/>
      <c r="O30" s="523"/>
      <c r="P30" s="523"/>
      <c r="Q30" s="523"/>
      <c r="R30" s="523"/>
      <c r="S30" s="523"/>
      <c r="T30" s="523"/>
      <c r="U30" s="523"/>
      <c r="V30" s="523"/>
      <c r="W30" s="523"/>
      <c r="X30" s="523"/>
      <c r="Y30" s="523"/>
      <c r="Z30" s="523"/>
      <c r="AA30" s="523"/>
      <c r="AB30" s="523"/>
      <c r="AC30" s="523"/>
      <c r="AD30" s="523"/>
      <c r="AE30" s="523"/>
      <c r="AF30" s="523"/>
      <c r="AG30" s="523"/>
      <c r="AH30" s="523"/>
      <c r="AI30" s="525"/>
      <c r="AJ30" s="525"/>
      <c r="AK30" s="525"/>
      <c r="AL30" s="525"/>
      <c r="AM30" s="525"/>
      <c r="AN30" s="525"/>
      <c r="AO30" s="525"/>
      <c r="AP30" s="525"/>
      <c r="AQ30" s="525"/>
      <c r="AR30" s="525"/>
      <c r="AS30" s="525"/>
      <c r="AT30" s="525"/>
      <c r="AU30" s="525"/>
      <c r="AV30" s="525"/>
      <c r="AW30" s="525"/>
      <c r="AX30" s="525"/>
    </row>
    <row r="31" spans="1:50" s="525" customFormat="1" ht="12" x14ac:dyDescent="0.2">
      <c r="D31" s="537">
        <f t="shared" ref="D31:K31" si="5">+D30-C30</f>
        <v>156250.68000000002</v>
      </c>
      <c r="E31" s="537">
        <f t="shared" si="5"/>
        <v>301484.17000000004</v>
      </c>
      <c r="F31" s="537">
        <f t="shared" si="5"/>
        <v>-48077.170000000042</v>
      </c>
      <c r="G31" s="537">
        <f t="shared" si="5"/>
        <v>919014.27999999991</v>
      </c>
      <c r="H31" s="537">
        <f t="shared" si="5"/>
        <v>223658.48000000021</v>
      </c>
      <c r="I31" s="537">
        <f t="shared" si="5"/>
        <v>-447640.24</v>
      </c>
      <c r="J31" s="537">
        <f t="shared" si="5"/>
        <v>-253412.24000000022</v>
      </c>
      <c r="K31" s="537">
        <f t="shared" si="5"/>
        <v>-403078.95999999996</v>
      </c>
    </row>
    <row r="32" spans="1:50" s="525" customFormat="1" ht="12" x14ac:dyDescent="0.2">
      <c r="B32" s="533"/>
      <c r="C32" s="533"/>
      <c r="D32" s="533"/>
      <c r="E32" s="533"/>
      <c r="F32" s="533"/>
      <c r="G32" s="533"/>
      <c r="H32" s="533"/>
      <c r="I32" s="533"/>
      <c r="J32" s="533"/>
      <c r="K32" s="533"/>
      <c r="L32" s="533"/>
      <c r="M32" s="533"/>
      <c r="N32" s="533"/>
      <c r="O32" s="523"/>
      <c r="P32" s="523"/>
      <c r="Q32" s="523"/>
      <c r="R32" s="523"/>
      <c r="S32" s="523"/>
      <c r="T32" s="523"/>
      <c r="U32" s="523"/>
      <c r="V32" s="523"/>
      <c r="W32" s="523"/>
      <c r="X32" s="523"/>
      <c r="Y32" s="523"/>
      <c r="Z32" s="523"/>
      <c r="AA32" s="523"/>
      <c r="AB32" s="523"/>
      <c r="AC32" s="523"/>
      <c r="AD32" s="523"/>
      <c r="AE32" s="523"/>
      <c r="AF32" s="523"/>
      <c r="AG32" s="523"/>
      <c r="AH32" s="523"/>
    </row>
    <row r="33" spans="1:50" s="525" customFormat="1" ht="12" x14ac:dyDescent="0.2">
      <c r="B33" s="533"/>
      <c r="C33" s="533"/>
      <c r="D33" s="533"/>
      <c r="E33" s="533"/>
      <c r="F33" s="533"/>
      <c r="G33" s="533"/>
      <c r="H33" s="533"/>
      <c r="I33" s="533"/>
      <c r="J33" s="533"/>
      <c r="K33" s="533"/>
      <c r="L33" s="533"/>
      <c r="M33" s="533"/>
      <c r="N33" s="533"/>
      <c r="O33" s="523"/>
      <c r="P33" s="523"/>
      <c r="Q33" s="523"/>
      <c r="R33" s="523"/>
      <c r="S33" s="523"/>
      <c r="T33" s="523"/>
      <c r="U33" s="523"/>
      <c r="V33" s="523"/>
      <c r="W33" s="523"/>
      <c r="X33" s="523"/>
      <c r="Y33" s="523"/>
      <c r="Z33" s="523"/>
      <c r="AA33" s="523"/>
      <c r="AB33" s="523"/>
      <c r="AC33" s="523"/>
      <c r="AD33" s="523"/>
      <c r="AE33" s="523"/>
      <c r="AF33" s="523"/>
      <c r="AG33" s="523"/>
      <c r="AH33" s="523"/>
    </row>
    <row r="34" spans="1:50" s="520" customFormat="1" x14ac:dyDescent="0.2">
      <c r="A34" s="367"/>
      <c r="B34" s="534"/>
      <c r="C34" s="534"/>
      <c r="D34" s="534">
        <f t="shared" ref="D34:K34" si="6">+D31+D20</f>
        <v>-1148105.5100000002</v>
      </c>
      <c r="E34" s="534">
        <f t="shared" si="6"/>
        <v>-41741.04999999993</v>
      </c>
      <c r="F34" s="534">
        <f t="shared" si="6"/>
        <v>367036.28999999992</v>
      </c>
      <c r="G34" s="534">
        <f t="shared" si="6"/>
        <v>1020852.6199999998</v>
      </c>
      <c r="H34" s="534">
        <f t="shared" si="6"/>
        <v>-432404.07999999961</v>
      </c>
      <c r="I34" s="534">
        <f t="shared" si="6"/>
        <v>782086.56</v>
      </c>
      <c r="J34" s="534">
        <f t="shared" si="6"/>
        <v>-283968.11000000034</v>
      </c>
      <c r="K34" s="534">
        <f t="shared" si="6"/>
        <v>-900672.16999999993</v>
      </c>
      <c r="L34" s="534"/>
      <c r="M34" s="534"/>
      <c r="N34" s="534"/>
      <c r="O34" s="534"/>
      <c r="P34" s="534"/>
      <c r="Q34" s="534"/>
      <c r="R34" s="534"/>
      <c r="S34" s="534"/>
      <c r="T34" s="534"/>
      <c r="U34" s="534"/>
      <c r="V34" s="534"/>
      <c r="W34" s="534"/>
      <c r="X34" s="534"/>
      <c r="Y34" s="534"/>
      <c r="Z34" s="534"/>
      <c r="AA34" s="534"/>
      <c r="AB34" s="534"/>
      <c r="AC34" s="534"/>
      <c r="AD34" s="534"/>
      <c r="AE34" s="534"/>
      <c r="AF34" s="534"/>
      <c r="AG34" s="534"/>
      <c r="AH34" s="534"/>
      <c r="AI34" s="536"/>
      <c r="AJ34" s="536"/>
      <c r="AK34" s="536"/>
      <c r="AL34" s="536"/>
      <c r="AM34" s="536"/>
      <c r="AN34" s="536"/>
      <c r="AO34" s="536"/>
      <c r="AP34" s="536"/>
      <c r="AQ34" s="536"/>
      <c r="AR34" s="536"/>
      <c r="AS34" s="536"/>
      <c r="AT34" s="536"/>
      <c r="AU34" s="536"/>
      <c r="AV34" s="536"/>
      <c r="AW34" s="536"/>
      <c r="AX34" s="536"/>
    </row>
    <row r="35" spans="1:50" x14ac:dyDescent="0.2">
      <c r="A35" s="206"/>
      <c r="B35" s="533"/>
      <c r="C35" s="533"/>
      <c r="D35" s="533"/>
      <c r="E35" s="533"/>
      <c r="F35" s="533"/>
      <c r="G35" s="533"/>
      <c r="H35" s="533"/>
      <c r="I35" s="533"/>
      <c r="J35" s="533"/>
      <c r="K35" s="533"/>
      <c r="L35" s="533"/>
      <c r="M35" s="533"/>
      <c r="N35" s="533"/>
      <c r="O35" s="523"/>
      <c r="P35" s="523"/>
      <c r="Q35" s="523"/>
      <c r="R35" s="523"/>
      <c r="S35" s="523"/>
      <c r="T35" s="523"/>
      <c r="U35" s="523"/>
      <c r="V35" s="523"/>
      <c r="W35" s="523"/>
      <c r="X35" s="523"/>
      <c r="Y35" s="523"/>
      <c r="Z35" s="523"/>
      <c r="AA35" s="523"/>
      <c r="AB35" s="523"/>
      <c r="AC35" s="523"/>
      <c r="AD35" s="523"/>
      <c r="AE35" s="523"/>
      <c r="AF35" s="523"/>
      <c r="AG35" s="523"/>
      <c r="AH35" s="523"/>
      <c r="AI35" s="525"/>
      <c r="AJ35" s="525"/>
      <c r="AK35" s="525"/>
      <c r="AL35" s="525"/>
      <c r="AM35" s="525"/>
      <c r="AN35" s="525"/>
      <c r="AO35" s="525"/>
      <c r="AP35" s="525"/>
      <c r="AQ35" s="525"/>
      <c r="AR35" s="525"/>
      <c r="AS35" s="525"/>
      <c r="AT35" s="525"/>
      <c r="AU35" s="525"/>
      <c r="AV35" s="525"/>
      <c r="AW35" s="525"/>
      <c r="AX35" s="525"/>
    </row>
    <row r="36" spans="1:50" x14ac:dyDescent="0.2">
      <c r="A36" s="206"/>
      <c r="B36" s="523"/>
      <c r="C36" s="523"/>
      <c r="D36" s="523"/>
      <c r="E36" s="523"/>
      <c r="F36" s="523"/>
      <c r="G36" s="523"/>
      <c r="H36" s="523"/>
      <c r="I36" s="523"/>
      <c r="J36" s="523"/>
      <c r="K36" s="523"/>
      <c r="L36" s="523"/>
      <c r="M36" s="523"/>
      <c r="N36" s="523"/>
      <c r="O36" s="523"/>
      <c r="P36" s="523"/>
      <c r="Q36" s="523"/>
      <c r="R36" s="523"/>
      <c r="S36" s="523"/>
      <c r="T36" s="523"/>
      <c r="U36" s="523"/>
      <c r="V36" s="523"/>
      <c r="W36" s="523"/>
      <c r="X36" s="523"/>
      <c r="Y36" s="523"/>
      <c r="Z36" s="523"/>
      <c r="AA36" s="523"/>
      <c r="AB36" s="523"/>
      <c r="AC36" s="523"/>
      <c r="AD36" s="523"/>
      <c r="AE36" s="523"/>
      <c r="AF36" s="523"/>
      <c r="AG36" s="523"/>
      <c r="AH36" s="523"/>
      <c r="AI36" s="525"/>
      <c r="AJ36" s="525"/>
      <c r="AK36" s="525"/>
      <c r="AL36" s="525"/>
      <c r="AM36" s="525"/>
      <c r="AN36" s="525"/>
      <c r="AO36" s="525"/>
      <c r="AP36" s="525"/>
      <c r="AQ36" s="525"/>
      <c r="AR36" s="525"/>
      <c r="AS36" s="525"/>
      <c r="AT36" s="525"/>
      <c r="AU36" s="525"/>
      <c r="AV36" s="525"/>
      <c r="AW36" s="525"/>
      <c r="AX36" s="525"/>
    </row>
    <row r="37" spans="1:50" x14ac:dyDescent="0.2">
      <c r="A37" s="206"/>
      <c r="B37" s="523"/>
      <c r="C37" s="523"/>
      <c r="D37" s="523"/>
      <c r="E37" s="523"/>
      <c r="F37" s="523"/>
      <c r="G37" s="523"/>
      <c r="H37" s="523"/>
      <c r="I37" s="523"/>
      <c r="J37" s="523"/>
      <c r="K37" s="523"/>
      <c r="L37" s="523"/>
      <c r="M37" s="523"/>
      <c r="N37" s="523"/>
      <c r="O37" s="523"/>
      <c r="P37" s="523"/>
      <c r="Q37" s="523"/>
      <c r="R37" s="523"/>
      <c r="S37" s="523"/>
      <c r="T37" s="523"/>
      <c r="U37" s="523"/>
      <c r="V37" s="523"/>
      <c r="W37" s="523"/>
      <c r="X37" s="523"/>
      <c r="Y37" s="523"/>
      <c r="Z37" s="523"/>
      <c r="AA37" s="523"/>
      <c r="AB37" s="523"/>
      <c r="AC37" s="523"/>
      <c r="AD37" s="523"/>
      <c r="AE37" s="523"/>
      <c r="AF37" s="523"/>
      <c r="AG37" s="523"/>
      <c r="AH37" s="523"/>
      <c r="AI37" s="525"/>
      <c r="AJ37" s="525"/>
      <c r="AK37" s="525"/>
      <c r="AL37" s="525"/>
      <c r="AM37" s="525"/>
      <c r="AN37" s="525"/>
      <c r="AO37" s="525"/>
      <c r="AP37" s="525"/>
      <c r="AQ37" s="525"/>
      <c r="AR37" s="525"/>
      <c r="AS37" s="525"/>
      <c r="AT37" s="525"/>
      <c r="AU37" s="525"/>
      <c r="AV37" s="525"/>
      <c r="AW37" s="525"/>
      <c r="AX37" s="525"/>
    </row>
    <row r="38" spans="1:50" x14ac:dyDescent="0.2">
      <c r="A38" s="206"/>
      <c r="B38" s="523"/>
      <c r="C38" s="523"/>
      <c r="D38" s="523"/>
      <c r="E38" s="523"/>
      <c r="F38" s="523"/>
      <c r="G38" s="523"/>
      <c r="H38" s="523">
        <f>+H27+H16</f>
        <v>1206352</v>
      </c>
      <c r="I38" s="523">
        <f>+I27+I16</f>
        <v>1065905</v>
      </c>
      <c r="J38" s="523">
        <f>+J27+J16</f>
        <v>1086869</v>
      </c>
      <c r="K38" s="523">
        <f>+K27+K16</f>
        <v>0</v>
      </c>
      <c r="L38" s="523">
        <f>+L27+L16</f>
        <v>0</v>
      </c>
      <c r="M38" s="523"/>
      <c r="N38" s="523"/>
      <c r="O38" s="523"/>
      <c r="P38" s="523"/>
      <c r="Q38" s="523"/>
      <c r="R38" s="523"/>
      <c r="S38" s="523"/>
      <c r="T38" s="523"/>
      <c r="U38" s="523"/>
      <c r="V38" s="523"/>
      <c r="W38" s="523"/>
      <c r="X38" s="523"/>
      <c r="Y38" s="523"/>
      <c r="Z38" s="523"/>
      <c r="AA38" s="523"/>
      <c r="AB38" s="523"/>
      <c r="AC38" s="523"/>
      <c r="AD38" s="523"/>
      <c r="AE38" s="523"/>
      <c r="AF38" s="523"/>
      <c r="AG38" s="523"/>
      <c r="AH38" s="523"/>
      <c r="AI38" s="525"/>
      <c r="AJ38" s="525"/>
      <c r="AK38" s="525"/>
      <c r="AL38" s="525"/>
      <c r="AM38" s="525"/>
      <c r="AN38" s="525"/>
      <c r="AO38" s="525"/>
      <c r="AP38" s="525"/>
      <c r="AQ38" s="525"/>
      <c r="AR38" s="525"/>
      <c r="AS38" s="525"/>
      <c r="AT38" s="525"/>
      <c r="AU38" s="525"/>
      <c r="AV38" s="525"/>
      <c r="AW38" s="525"/>
      <c r="AX38" s="525"/>
    </row>
    <row r="39" spans="1:50" x14ac:dyDescent="0.2">
      <c r="A39" s="206"/>
      <c r="B39" s="523"/>
      <c r="C39" s="523"/>
      <c r="D39" s="523"/>
      <c r="E39" s="523"/>
      <c r="F39" s="523"/>
      <c r="G39" s="523"/>
      <c r="H39" s="523"/>
      <c r="I39" s="523"/>
      <c r="J39" s="523"/>
      <c r="K39" s="523"/>
      <c r="L39" s="523"/>
      <c r="M39" s="523"/>
      <c r="N39" s="523"/>
      <c r="O39" s="523"/>
      <c r="P39" s="523"/>
      <c r="Q39" s="523"/>
      <c r="R39" s="523"/>
      <c r="S39" s="523"/>
      <c r="T39" s="523"/>
      <c r="U39" s="523"/>
      <c r="V39" s="523"/>
      <c r="W39" s="523"/>
      <c r="X39" s="523"/>
      <c r="Y39" s="523"/>
      <c r="Z39" s="523"/>
      <c r="AA39" s="523"/>
      <c r="AB39" s="523"/>
      <c r="AC39" s="523"/>
      <c r="AD39" s="523"/>
      <c r="AE39" s="523"/>
      <c r="AF39" s="523"/>
      <c r="AG39" s="523"/>
      <c r="AH39" s="523"/>
      <c r="AI39" s="525"/>
      <c r="AJ39" s="525"/>
      <c r="AK39" s="525"/>
      <c r="AL39" s="525"/>
      <c r="AM39" s="525"/>
      <c r="AN39" s="525"/>
      <c r="AO39" s="525"/>
      <c r="AP39" s="525"/>
      <c r="AQ39" s="525"/>
      <c r="AR39" s="525"/>
      <c r="AS39" s="525"/>
      <c r="AT39" s="525"/>
      <c r="AU39" s="525"/>
      <c r="AV39" s="525"/>
      <c r="AW39" s="525"/>
      <c r="AX39" s="525"/>
    </row>
    <row r="40" spans="1:50" x14ac:dyDescent="0.2">
      <c r="A40" s="206"/>
      <c r="B40" s="523"/>
      <c r="C40" s="523"/>
      <c r="D40" s="523"/>
      <c r="E40" s="523"/>
      <c r="F40" s="523"/>
      <c r="G40" s="523"/>
      <c r="H40" s="523">
        <f>+H30+H19</f>
        <v>2390781.4400000004</v>
      </c>
      <c r="I40" s="523">
        <f>+I30+I19</f>
        <v>3172868</v>
      </c>
      <c r="J40" s="523">
        <f>+J30+J19</f>
        <v>2888899.8899999997</v>
      </c>
      <c r="K40" s="523">
        <f>+K30+K19</f>
        <v>1988227.72</v>
      </c>
      <c r="L40" s="523"/>
      <c r="M40" s="523"/>
      <c r="N40" s="523"/>
      <c r="O40" s="523"/>
      <c r="P40" s="523"/>
      <c r="Q40" s="523"/>
      <c r="R40" s="523"/>
      <c r="S40" s="523"/>
      <c r="T40" s="523"/>
      <c r="U40" s="523"/>
      <c r="V40" s="523"/>
      <c r="W40" s="523"/>
      <c r="X40" s="523"/>
      <c r="Y40" s="523"/>
      <c r="Z40" s="523"/>
      <c r="AA40" s="523"/>
      <c r="AB40" s="523"/>
      <c r="AC40" s="523"/>
      <c r="AD40" s="523"/>
      <c r="AE40" s="523"/>
      <c r="AF40" s="523"/>
      <c r="AG40" s="523"/>
      <c r="AH40" s="523"/>
      <c r="AI40" s="525"/>
      <c r="AJ40" s="525"/>
      <c r="AK40" s="525"/>
      <c r="AL40" s="525"/>
      <c r="AM40" s="525"/>
      <c r="AN40" s="525"/>
      <c r="AO40" s="525"/>
      <c r="AP40" s="525"/>
      <c r="AQ40" s="525"/>
      <c r="AR40" s="525"/>
      <c r="AS40" s="525"/>
      <c r="AT40" s="525"/>
      <c r="AU40" s="525"/>
      <c r="AV40" s="525"/>
      <c r="AW40" s="525"/>
      <c r="AX40" s="525"/>
    </row>
    <row r="41" spans="1:50" x14ac:dyDescent="0.2">
      <c r="A41" s="206"/>
      <c r="B41" s="523"/>
      <c r="C41" s="523"/>
      <c r="D41" s="523"/>
      <c r="E41" s="523"/>
      <c r="F41" s="523"/>
      <c r="G41" s="523"/>
      <c r="H41" s="523"/>
      <c r="I41" s="523"/>
      <c r="J41" s="523"/>
      <c r="K41" s="523">
        <v>2037075.88</v>
      </c>
      <c r="L41" s="523"/>
      <c r="M41" s="523"/>
      <c r="N41" s="523"/>
      <c r="O41" s="523"/>
      <c r="P41" s="523"/>
      <c r="Q41" s="523"/>
      <c r="R41" s="523"/>
      <c r="S41" s="523"/>
      <c r="T41" s="523"/>
      <c r="U41" s="523"/>
      <c r="V41" s="523"/>
      <c r="W41" s="523"/>
      <c r="X41" s="523"/>
      <c r="Y41" s="523"/>
      <c r="Z41" s="523"/>
      <c r="AA41" s="523"/>
      <c r="AB41" s="523"/>
      <c r="AC41" s="523"/>
      <c r="AD41" s="523"/>
      <c r="AE41" s="523"/>
      <c r="AF41" s="523"/>
      <c r="AG41" s="523"/>
      <c r="AH41" s="523"/>
      <c r="AI41" s="525"/>
      <c r="AJ41" s="525"/>
      <c r="AK41" s="525"/>
      <c r="AL41" s="525"/>
      <c r="AM41" s="525"/>
      <c r="AN41" s="525"/>
      <c r="AO41" s="525"/>
      <c r="AP41" s="525"/>
      <c r="AQ41" s="525"/>
      <c r="AR41" s="525"/>
      <c r="AS41" s="525"/>
      <c r="AT41" s="525"/>
      <c r="AU41" s="525"/>
      <c r="AV41" s="525"/>
      <c r="AW41" s="525"/>
      <c r="AX41" s="525"/>
    </row>
    <row r="42" spans="1:50" x14ac:dyDescent="0.2">
      <c r="A42" s="206"/>
      <c r="B42" s="523"/>
      <c r="C42" s="523"/>
      <c r="D42" s="523"/>
      <c r="E42" s="523"/>
      <c r="F42" s="523"/>
      <c r="G42" s="523"/>
      <c r="H42" s="523"/>
      <c r="I42" s="523"/>
      <c r="J42" s="523"/>
      <c r="K42" s="523">
        <f>+K40-K41</f>
        <v>-48848.159999999916</v>
      </c>
      <c r="L42" s="523"/>
      <c r="M42" s="523"/>
      <c r="N42" s="523"/>
      <c r="O42" s="523"/>
      <c r="P42" s="523"/>
      <c r="Q42" s="523"/>
      <c r="R42" s="523"/>
      <c r="S42" s="523"/>
      <c r="T42" s="523"/>
      <c r="U42" s="523"/>
      <c r="V42" s="523"/>
      <c r="W42" s="523"/>
      <c r="X42" s="523"/>
      <c r="Y42" s="523"/>
      <c r="Z42" s="523"/>
      <c r="AA42" s="523"/>
      <c r="AB42" s="523"/>
      <c r="AC42" s="523"/>
      <c r="AD42" s="523"/>
      <c r="AE42" s="523"/>
      <c r="AF42" s="523"/>
      <c r="AG42" s="523"/>
      <c r="AH42" s="523"/>
      <c r="AI42" s="525"/>
      <c r="AJ42" s="525"/>
      <c r="AK42" s="525"/>
      <c r="AL42" s="525"/>
      <c r="AM42" s="525"/>
      <c r="AN42" s="525"/>
      <c r="AO42" s="525"/>
      <c r="AP42" s="525"/>
      <c r="AQ42" s="525"/>
      <c r="AR42" s="525"/>
      <c r="AS42" s="525"/>
      <c r="AT42" s="525"/>
      <c r="AU42" s="525"/>
      <c r="AV42" s="525"/>
      <c r="AW42" s="525"/>
      <c r="AX42" s="525"/>
    </row>
    <row r="43" spans="1:50" x14ac:dyDescent="0.2">
      <c r="A43" s="206"/>
      <c r="B43" s="523"/>
      <c r="C43" s="523"/>
      <c r="D43" s="523"/>
      <c r="E43" s="523"/>
      <c r="F43" s="523"/>
      <c r="G43" s="523"/>
      <c r="H43" s="523"/>
      <c r="I43" s="523"/>
      <c r="J43" s="523"/>
      <c r="K43" s="523"/>
      <c r="L43" s="523"/>
      <c r="M43" s="523"/>
      <c r="N43" s="523"/>
      <c r="O43" s="523"/>
      <c r="P43" s="523"/>
      <c r="Q43" s="523"/>
      <c r="R43" s="523"/>
      <c r="S43" s="523"/>
      <c r="T43" s="523"/>
      <c r="U43" s="523"/>
      <c r="V43" s="523"/>
      <c r="W43" s="523"/>
      <c r="X43" s="523"/>
      <c r="Y43" s="523"/>
      <c r="Z43" s="523"/>
      <c r="AA43" s="523"/>
      <c r="AB43" s="523"/>
      <c r="AC43" s="523"/>
      <c r="AD43" s="523"/>
      <c r="AE43" s="523"/>
      <c r="AF43" s="523"/>
      <c r="AG43" s="523"/>
      <c r="AH43" s="523"/>
      <c r="AI43" s="525"/>
      <c r="AJ43" s="525"/>
      <c r="AK43" s="525"/>
      <c r="AL43" s="525"/>
      <c r="AM43" s="525"/>
      <c r="AN43" s="525"/>
      <c r="AO43" s="525"/>
      <c r="AP43" s="525"/>
      <c r="AQ43" s="525"/>
      <c r="AR43" s="525"/>
      <c r="AS43" s="525"/>
      <c r="AT43" s="525"/>
      <c r="AU43" s="525"/>
      <c r="AV43" s="525"/>
      <c r="AW43" s="525"/>
      <c r="AX43" s="525"/>
    </row>
    <row r="44" spans="1:50" x14ac:dyDescent="0.2">
      <c r="A44" s="206"/>
      <c r="B44" s="523"/>
      <c r="C44" s="523"/>
      <c r="D44" s="523"/>
      <c r="E44" s="523"/>
      <c r="F44" s="523"/>
      <c r="G44" s="523"/>
      <c r="H44" s="523"/>
      <c r="I44" s="523"/>
      <c r="J44" s="523"/>
      <c r="K44" s="523"/>
      <c r="L44" s="523"/>
      <c r="M44" s="523"/>
      <c r="N44" s="523"/>
      <c r="O44" s="523"/>
      <c r="P44" s="523"/>
      <c r="Q44" s="523"/>
      <c r="R44" s="523"/>
      <c r="S44" s="523"/>
      <c r="T44" s="523"/>
      <c r="U44" s="523"/>
      <c r="V44" s="523"/>
      <c r="W44" s="523"/>
      <c r="X44" s="523"/>
      <c r="Y44" s="523"/>
      <c r="Z44" s="523"/>
      <c r="AA44" s="523"/>
      <c r="AB44" s="523"/>
      <c r="AC44" s="523"/>
      <c r="AD44" s="523"/>
      <c r="AE44" s="523"/>
      <c r="AF44" s="523"/>
      <c r="AG44" s="523"/>
      <c r="AH44" s="523"/>
      <c r="AI44" s="525"/>
      <c r="AJ44" s="525"/>
      <c r="AK44" s="525"/>
      <c r="AL44" s="525"/>
      <c r="AM44" s="525"/>
      <c r="AN44" s="525"/>
      <c r="AO44" s="525"/>
      <c r="AP44" s="525"/>
      <c r="AQ44" s="525"/>
      <c r="AR44" s="525"/>
      <c r="AS44" s="525"/>
      <c r="AT44" s="525"/>
      <c r="AU44" s="525"/>
      <c r="AV44" s="525"/>
      <c r="AW44" s="525"/>
      <c r="AX44" s="525"/>
    </row>
    <row r="45" spans="1:50" x14ac:dyDescent="0.2">
      <c r="A45" s="206"/>
      <c r="B45" s="523"/>
      <c r="C45" s="523"/>
      <c r="D45" s="523"/>
      <c r="E45" s="523"/>
      <c r="F45" s="523"/>
      <c r="G45" s="523"/>
      <c r="H45" s="523"/>
      <c r="I45" s="523"/>
      <c r="J45" s="523"/>
      <c r="K45" s="523"/>
      <c r="L45" s="523"/>
      <c r="M45" s="523"/>
      <c r="N45" s="523"/>
      <c r="O45" s="523"/>
      <c r="P45" s="523"/>
      <c r="Q45" s="523"/>
      <c r="R45" s="523"/>
      <c r="S45" s="523"/>
      <c r="T45" s="523"/>
      <c r="U45" s="523"/>
      <c r="V45" s="523"/>
      <c r="W45" s="523"/>
      <c r="X45" s="523"/>
      <c r="Y45" s="523"/>
      <c r="Z45" s="523"/>
      <c r="AA45" s="523"/>
      <c r="AB45" s="523"/>
      <c r="AC45" s="523"/>
      <c r="AD45" s="523"/>
      <c r="AE45" s="523"/>
      <c r="AF45" s="523"/>
      <c r="AG45" s="523"/>
      <c r="AH45" s="523"/>
      <c r="AI45" s="525"/>
      <c r="AJ45" s="525"/>
      <c r="AK45" s="525"/>
      <c r="AL45" s="525"/>
      <c r="AM45" s="525"/>
      <c r="AN45" s="525"/>
      <c r="AO45" s="525"/>
      <c r="AP45" s="525"/>
      <c r="AQ45" s="525"/>
      <c r="AR45" s="525"/>
      <c r="AS45" s="525"/>
      <c r="AT45" s="525"/>
      <c r="AU45" s="525"/>
      <c r="AV45" s="525"/>
      <c r="AW45" s="525"/>
      <c r="AX45" s="525"/>
    </row>
    <row r="46" spans="1:50" x14ac:dyDescent="0.2">
      <c r="A46" s="206"/>
      <c r="B46" s="523"/>
      <c r="C46" s="523"/>
      <c r="D46" s="523"/>
      <c r="E46" s="523"/>
      <c r="F46" s="523"/>
      <c r="G46" s="523"/>
      <c r="H46" s="523"/>
      <c r="I46" s="523"/>
      <c r="J46" s="523"/>
      <c r="K46" s="523"/>
      <c r="L46" s="523"/>
      <c r="M46" s="523"/>
      <c r="N46" s="523"/>
      <c r="O46" s="523"/>
      <c r="P46" s="523"/>
      <c r="Q46" s="523"/>
      <c r="R46" s="523"/>
      <c r="S46" s="523"/>
      <c r="T46" s="523"/>
      <c r="U46" s="523"/>
      <c r="V46" s="523"/>
      <c r="W46" s="523"/>
      <c r="X46" s="523"/>
      <c r="Y46" s="523"/>
      <c r="Z46" s="523"/>
      <c r="AA46" s="523"/>
      <c r="AB46" s="523"/>
      <c r="AC46" s="523"/>
      <c r="AD46" s="523"/>
      <c r="AE46" s="523"/>
      <c r="AF46" s="523"/>
      <c r="AG46" s="523"/>
      <c r="AH46" s="523"/>
      <c r="AI46" s="525"/>
      <c r="AJ46" s="525"/>
      <c r="AK46" s="525"/>
      <c r="AL46" s="525"/>
      <c r="AM46" s="525"/>
      <c r="AN46" s="525"/>
      <c r="AO46" s="525"/>
      <c r="AP46" s="525"/>
      <c r="AQ46" s="525"/>
      <c r="AR46" s="525"/>
      <c r="AS46" s="525"/>
      <c r="AT46" s="525"/>
      <c r="AU46" s="525"/>
      <c r="AV46" s="525"/>
      <c r="AW46" s="525"/>
      <c r="AX46" s="525"/>
    </row>
    <row r="47" spans="1:50" x14ac:dyDescent="0.2">
      <c r="A47" s="206" t="s">
        <v>24</v>
      </c>
      <c r="B47" s="523">
        <v>3246</v>
      </c>
      <c r="C47" s="522">
        <v>30877</v>
      </c>
      <c r="D47" s="526">
        <v>40063</v>
      </c>
      <c r="E47" s="523">
        <v>48379</v>
      </c>
      <c r="F47" s="523">
        <v>80516</v>
      </c>
      <c r="G47" s="524">
        <v>96175</v>
      </c>
      <c r="H47" s="524">
        <v>140689</v>
      </c>
      <c r="I47" s="523">
        <v>147133</v>
      </c>
      <c r="J47" s="523">
        <v>143078</v>
      </c>
      <c r="K47" s="523"/>
      <c r="L47" s="523"/>
      <c r="M47" s="523"/>
      <c r="N47" s="523"/>
      <c r="O47" s="523"/>
      <c r="P47" s="523"/>
      <c r="Q47" s="523"/>
      <c r="R47" s="523"/>
      <c r="S47" s="523"/>
      <c r="T47" s="523"/>
      <c r="U47" s="523"/>
      <c r="V47" s="523"/>
      <c r="W47" s="523"/>
      <c r="X47" s="523"/>
      <c r="Y47" s="523"/>
      <c r="Z47" s="523"/>
      <c r="AA47" s="523"/>
      <c r="AB47" s="523"/>
      <c r="AC47" s="523"/>
      <c r="AD47" s="523"/>
      <c r="AE47" s="523"/>
      <c r="AF47" s="523"/>
      <c r="AG47" s="523"/>
      <c r="AH47" s="523"/>
      <c r="AI47" s="525"/>
      <c r="AJ47" s="525"/>
      <c r="AK47" s="525"/>
      <c r="AL47" s="525"/>
      <c r="AM47" s="525"/>
      <c r="AN47" s="525"/>
      <c r="AO47" s="525"/>
      <c r="AP47" s="525"/>
      <c r="AQ47" s="525"/>
      <c r="AR47" s="525"/>
      <c r="AS47" s="525"/>
      <c r="AT47" s="525"/>
      <c r="AU47" s="525"/>
      <c r="AV47" s="525"/>
      <c r="AW47" s="525"/>
      <c r="AX47" s="525"/>
    </row>
    <row r="48" spans="1:50" x14ac:dyDescent="0.2">
      <c r="A48" s="206"/>
      <c r="B48" s="523"/>
      <c r="C48" s="523"/>
      <c r="D48" s="523"/>
      <c r="E48" s="523"/>
      <c r="F48" s="523"/>
      <c r="G48" s="523"/>
      <c r="H48" s="523"/>
      <c r="I48" s="523"/>
      <c r="J48" s="523"/>
      <c r="K48" s="523"/>
      <c r="L48" s="523"/>
      <c r="M48" s="523"/>
      <c r="N48" s="523"/>
      <c r="O48" s="523"/>
      <c r="P48" s="523"/>
      <c r="Q48" s="523"/>
      <c r="R48" s="523"/>
      <c r="S48" s="523"/>
      <c r="T48" s="523"/>
      <c r="U48" s="523"/>
      <c r="V48" s="523"/>
      <c r="W48" s="523"/>
      <c r="X48" s="523"/>
      <c r="Y48" s="523"/>
      <c r="Z48" s="523"/>
      <c r="AA48" s="523"/>
      <c r="AB48" s="523"/>
      <c r="AC48" s="523"/>
      <c r="AD48" s="523"/>
      <c r="AE48" s="523"/>
      <c r="AF48" s="523"/>
      <c r="AG48" s="523"/>
      <c r="AH48" s="523"/>
      <c r="AI48" s="525"/>
      <c r="AJ48" s="525"/>
      <c r="AK48" s="525"/>
      <c r="AL48" s="525"/>
      <c r="AM48" s="525"/>
      <c r="AN48" s="525"/>
      <c r="AO48" s="525"/>
      <c r="AP48" s="525"/>
      <c r="AQ48" s="525"/>
      <c r="AR48" s="525"/>
      <c r="AS48" s="525"/>
      <c r="AT48" s="525"/>
      <c r="AU48" s="525"/>
      <c r="AV48" s="525"/>
      <c r="AW48" s="525"/>
      <c r="AX48" s="525"/>
    </row>
    <row r="49" spans="1:50" x14ac:dyDescent="0.2">
      <c r="A49" s="206"/>
      <c r="B49" s="523"/>
      <c r="C49" s="523"/>
      <c r="D49" s="523"/>
      <c r="E49" s="523"/>
      <c r="F49" s="523"/>
      <c r="G49" s="523"/>
      <c r="H49" s="523"/>
      <c r="I49" s="523"/>
      <c r="J49" s="523"/>
      <c r="K49" s="523"/>
      <c r="L49" s="523"/>
      <c r="M49" s="523"/>
      <c r="N49" s="523"/>
      <c r="O49" s="523"/>
      <c r="P49" s="523"/>
      <c r="Q49" s="523"/>
      <c r="R49" s="523"/>
      <c r="S49" s="523"/>
      <c r="T49" s="523"/>
      <c r="U49" s="523"/>
      <c r="V49" s="523"/>
      <c r="W49" s="523"/>
      <c r="X49" s="523"/>
      <c r="Y49" s="523"/>
      <c r="Z49" s="523"/>
      <c r="AA49" s="523"/>
      <c r="AB49" s="523"/>
      <c r="AC49" s="523"/>
      <c r="AD49" s="523"/>
      <c r="AE49" s="523"/>
      <c r="AF49" s="523"/>
      <c r="AG49" s="523"/>
      <c r="AH49" s="523"/>
      <c r="AI49" s="525"/>
      <c r="AJ49" s="525"/>
      <c r="AK49" s="525"/>
      <c r="AL49" s="525"/>
      <c r="AM49" s="525"/>
      <c r="AN49" s="525"/>
      <c r="AO49" s="525"/>
      <c r="AP49" s="525"/>
      <c r="AQ49" s="525"/>
      <c r="AR49" s="525"/>
      <c r="AS49" s="525"/>
      <c r="AT49" s="525"/>
      <c r="AU49" s="525"/>
      <c r="AV49" s="525"/>
      <c r="AW49" s="525"/>
      <c r="AX49" s="525"/>
    </row>
    <row r="50" spans="1:50" x14ac:dyDescent="0.2">
      <c r="A50" s="206"/>
      <c r="B50" s="523"/>
      <c r="C50" s="523"/>
      <c r="D50" s="523"/>
      <c r="E50" s="523"/>
      <c r="F50" s="523"/>
      <c r="G50" s="523"/>
      <c r="H50" s="523"/>
      <c r="I50" s="523"/>
      <c r="J50" s="523"/>
      <c r="K50" s="523"/>
      <c r="L50" s="523"/>
      <c r="M50" s="523"/>
      <c r="N50" s="523"/>
      <c r="O50" s="523"/>
      <c r="P50" s="523"/>
      <c r="Q50" s="523"/>
      <c r="R50" s="523"/>
      <c r="S50" s="523"/>
      <c r="T50" s="523"/>
      <c r="U50" s="523"/>
      <c r="V50" s="523"/>
      <c r="W50" s="523"/>
      <c r="X50" s="523"/>
      <c r="Y50" s="523"/>
      <c r="Z50" s="523"/>
      <c r="AA50" s="523"/>
      <c r="AB50" s="523"/>
      <c r="AC50" s="523"/>
      <c r="AD50" s="523"/>
      <c r="AE50" s="523"/>
      <c r="AF50" s="523"/>
      <c r="AG50" s="523"/>
      <c r="AH50" s="523"/>
      <c r="AI50" s="525"/>
      <c r="AJ50" s="525"/>
      <c r="AK50" s="525"/>
      <c r="AL50" s="525"/>
      <c r="AM50" s="525"/>
      <c r="AN50" s="525"/>
      <c r="AO50" s="525"/>
      <c r="AP50" s="525"/>
      <c r="AQ50" s="525"/>
      <c r="AR50" s="525"/>
      <c r="AS50" s="525"/>
      <c r="AT50" s="525"/>
      <c r="AU50" s="525"/>
      <c r="AV50" s="525"/>
      <c r="AW50" s="525"/>
      <c r="AX50" s="525"/>
    </row>
    <row r="51" spans="1:50" x14ac:dyDescent="0.2">
      <c r="A51" s="206"/>
      <c r="B51" s="523"/>
      <c r="C51" s="523"/>
      <c r="D51" s="523"/>
      <c r="E51" s="523"/>
      <c r="F51" s="523"/>
      <c r="G51" s="523"/>
      <c r="H51" s="523"/>
      <c r="I51" s="523"/>
      <c r="J51" s="523"/>
      <c r="K51" s="523"/>
      <c r="L51" s="523"/>
      <c r="M51" s="523"/>
      <c r="N51" s="523"/>
      <c r="O51" s="523"/>
      <c r="P51" s="523"/>
      <c r="Q51" s="523"/>
      <c r="R51" s="523"/>
      <c r="S51" s="523"/>
      <c r="T51" s="523"/>
      <c r="U51" s="523"/>
      <c r="V51" s="523"/>
      <c r="W51" s="523"/>
      <c r="X51" s="523"/>
      <c r="Y51" s="523"/>
      <c r="Z51" s="523"/>
      <c r="AA51" s="523"/>
      <c r="AB51" s="523"/>
      <c r="AC51" s="523"/>
      <c r="AD51" s="523"/>
      <c r="AE51" s="523"/>
      <c r="AF51" s="523"/>
      <c r="AG51" s="523"/>
      <c r="AH51" s="523"/>
      <c r="AI51" s="525"/>
      <c r="AJ51" s="525"/>
      <c r="AK51" s="525"/>
      <c r="AL51" s="525"/>
      <c r="AM51" s="525"/>
      <c r="AN51" s="525"/>
      <c r="AO51" s="525"/>
      <c r="AP51" s="525"/>
      <c r="AQ51" s="525"/>
      <c r="AR51" s="525"/>
      <c r="AS51" s="525"/>
      <c r="AT51" s="525"/>
      <c r="AU51" s="525"/>
      <c r="AV51" s="525"/>
      <c r="AW51" s="525"/>
      <c r="AX51" s="525"/>
    </row>
    <row r="52" spans="1:50" x14ac:dyDescent="0.2">
      <c r="A52" s="206"/>
      <c r="B52" s="523"/>
      <c r="C52" s="523"/>
      <c r="D52" s="523"/>
      <c r="E52" s="523"/>
      <c r="F52" s="523"/>
      <c r="G52" s="523"/>
      <c r="H52" s="523"/>
      <c r="I52" s="523"/>
      <c r="J52" s="523"/>
      <c r="K52" s="523"/>
      <c r="L52" s="523"/>
      <c r="M52" s="523"/>
      <c r="N52" s="523"/>
      <c r="O52" s="523"/>
      <c r="P52" s="523"/>
      <c r="Q52" s="523"/>
      <c r="R52" s="523"/>
      <c r="S52" s="523"/>
      <c r="T52" s="523"/>
      <c r="U52" s="523"/>
      <c r="V52" s="523"/>
      <c r="W52" s="523"/>
      <c r="X52" s="523"/>
      <c r="Y52" s="523"/>
      <c r="Z52" s="523"/>
      <c r="AA52" s="523"/>
      <c r="AB52" s="523"/>
      <c r="AC52" s="523"/>
      <c r="AD52" s="523"/>
      <c r="AE52" s="523"/>
      <c r="AF52" s="523"/>
      <c r="AG52" s="523"/>
      <c r="AH52" s="523"/>
      <c r="AI52" s="525"/>
      <c r="AJ52" s="525"/>
      <c r="AK52" s="525"/>
      <c r="AL52" s="525"/>
      <c r="AM52" s="525"/>
      <c r="AN52" s="525"/>
      <c r="AO52" s="525"/>
      <c r="AP52" s="525"/>
      <c r="AQ52" s="525"/>
      <c r="AR52" s="525"/>
      <c r="AS52" s="525"/>
      <c r="AT52" s="525"/>
      <c r="AU52" s="525"/>
      <c r="AV52" s="525"/>
      <c r="AW52" s="525"/>
      <c r="AX52" s="525"/>
    </row>
    <row r="53" spans="1:50" x14ac:dyDescent="0.2">
      <c r="A53" s="206"/>
      <c r="B53" s="523"/>
      <c r="C53" s="523"/>
      <c r="D53" s="523"/>
      <c r="E53" s="523"/>
      <c r="F53" s="523"/>
      <c r="G53" s="523"/>
      <c r="H53" s="523"/>
      <c r="I53" s="523"/>
      <c r="J53" s="523"/>
      <c r="K53" s="523"/>
      <c r="L53" s="523"/>
      <c r="M53" s="523"/>
      <c r="N53" s="523"/>
      <c r="O53" s="523"/>
      <c r="P53" s="523"/>
      <c r="Q53" s="523"/>
      <c r="R53" s="523"/>
      <c r="S53" s="523"/>
      <c r="T53" s="523"/>
      <c r="U53" s="523"/>
      <c r="V53" s="523"/>
      <c r="W53" s="523"/>
      <c r="X53" s="523"/>
      <c r="Y53" s="523"/>
      <c r="Z53" s="523"/>
      <c r="AA53" s="523"/>
      <c r="AB53" s="523"/>
      <c r="AC53" s="523"/>
      <c r="AD53" s="523"/>
      <c r="AE53" s="523"/>
      <c r="AF53" s="523"/>
      <c r="AG53" s="523"/>
      <c r="AH53" s="523"/>
      <c r="AI53" s="525"/>
      <c r="AJ53" s="525"/>
      <c r="AK53" s="525"/>
      <c r="AL53" s="525"/>
      <c r="AM53" s="525"/>
      <c r="AN53" s="525"/>
      <c r="AO53" s="525"/>
      <c r="AP53" s="525"/>
      <c r="AQ53" s="525"/>
      <c r="AR53" s="525"/>
      <c r="AS53" s="525"/>
      <c r="AT53" s="525"/>
      <c r="AU53" s="525"/>
      <c r="AV53" s="525"/>
      <c r="AW53" s="525"/>
      <c r="AX53" s="525"/>
    </row>
    <row r="54" spans="1:50" x14ac:dyDescent="0.2">
      <c r="A54" s="206"/>
      <c r="B54" s="523"/>
      <c r="C54" s="523"/>
      <c r="D54" s="523"/>
      <c r="E54" s="523"/>
      <c r="F54" s="523"/>
      <c r="G54" s="523"/>
      <c r="H54" s="523"/>
      <c r="I54" s="523"/>
      <c r="J54" s="523"/>
      <c r="K54" s="523"/>
      <c r="L54" s="523"/>
      <c r="M54" s="523"/>
      <c r="N54" s="523"/>
      <c r="O54" s="523"/>
      <c r="P54" s="523"/>
      <c r="Q54" s="523"/>
      <c r="R54" s="523"/>
      <c r="S54" s="523"/>
      <c r="T54" s="523"/>
      <c r="U54" s="523"/>
      <c r="V54" s="523"/>
      <c r="W54" s="523"/>
      <c r="X54" s="523"/>
      <c r="Y54" s="523"/>
      <c r="Z54" s="523"/>
      <c r="AA54" s="523"/>
      <c r="AB54" s="523"/>
      <c r="AC54" s="523"/>
      <c r="AD54" s="523"/>
      <c r="AE54" s="523"/>
      <c r="AF54" s="523"/>
      <c r="AG54" s="523"/>
      <c r="AH54" s="523"/>
      <c r="AI54" s="525"/>
      <c r="AJ54" s="525"/>
      <c r="AK54" s="525"/>
      <c r="AL54" s="525"/>
      <c r="AM54" s="525"/>
      <c r="AN54" s="525"/>
      <c r="AO54" s="525"/>
      <c r="AP54" s="525"/>
      <c r="AQ54" s="525"/>
      <c r="AR54" s="525"/>
      <c r="AS54" s="525"/>
      <c r="AT54" s="525"/>
      <c r="AU54" s="525"/>
      <c r="AV54" s="525"/>
      <c r="AW54" s="525"/>
      <c r="AX54" s="525"/>
    </row>
    <row r="55" spans="1:50" x14ac:dyDescent="0.2">
      <c r="A55" s="206"/>
      <c r="B55" s="523"/>
      <c r="C55" s="523"/>
      <c r="D55" s="523"/>
      <c r="E55" s="523"/>
      <c r="F55" s="523"/>
      <c r="G55" s="523"/>
      <c r="H55" s="523"/>
      <c r="I55" s="523"/>
      <c r="J55" s="523"/>
      <c r="K55" s="523"/>
      <c r="L55" s="523"/>
      <c r="M55" s="523"/>
      <c r="N55" s="523"/>
      <c r="O55" s="523"/>
      <c r="P55" s="523"/>
      <c r="Q55" s="523"/>
      <c r="R55" s="523"/>
      <c r="S55" s="523"/>
      <c r="T55" s="523"/>
      <c r="U55" s="523"/>
      <c r="V55" s="523"/>
      <c r="W55" s="523"/>
      <c r="X55" s="523"/>
      <c r="Y55" s="523"/>
      <c r="Z55" s="523"/>
      <c r="AA55" s="523"/>
      <c r="AB55" s="523"/>
      <c r="AC55" s="523"/>
      <c r="AD55" s="523"/>
      <c r="AE55" s="523"/>
      <c r="AF55" s="523"/>
      <c r="AG55" s="523"/>
      <c r="AH55" s="523"/>
      <c r="AI55" s="525"/>
      <c r="AJ55" s="525"/>
      <c r="AK55" s="525"/>
      <c r="AL55" s="525"/>
      <c r="AM55" s="525"/>
      <c r="AN55" s="525"/>
      <c r="AO55" s="525"/>
      <c r="AP55" s="525"/>
      <c r="AQ55" s="525"/>
      <c r="AR55" s="525"/>
      <c r="AS55" s="525"/>
      <c r="AT55" s="525"/>
      <c r="AU55" s="525"/>
      <c r="AV55" s="525"/>
      <c r="AW55" s="525"/>
      <c r="AX55" s="525"/>
    </row>
    <row r="56" spans="1:50" x14ac:dyDescent="0.2">
      <c r="A56" s="206"/>
      <c r="B56" s="523"/>
      <c r="C56" s="523"/>
      <c r="D56" s="523"/>
      <c r="E56" s="523"/>
      <c r="F56" s="523"/>
      <c r="G56" s="523"/>
      <c r="H56" s="523"/>
      <c r="I56" s="523"/>
      <c r="J56" s="523"/>
      <c r="K56" s="523"/>
      <c r="L56" s="523"/>
      <c r="M56" s="523"/>
      <c r="N56" s="523"/>
      <c r="O56" s="523"/>
      <c r="P56" s="523"/>
      <c r="Q56" s="523"/>
      <c r="R56" s="523"/>
      <c r="S56" s="523"/>
      <c r="T56" s="523"/>
      <c r="U56" s="523"/>
      <c r="V56" s="523"/>
      <c r="W56" s="523"/>
      <c r="X56" s="523"/>
      <c r="Y56" s="523"/>
      <c r="Z56" s="523"/>
      <c r="AA56" s="523"/>
      <c r="AB56" s="523"/>
      <c r="AC56" s="523"/>
      <c r="AD56" s="523"/>
      <c r="AE56" s="523"/>
      <c r="AF56" s="523"/>
      <c r="AG56" s="523"/>
      <c r="AH56" s="523"/>
      <c r="AI56" s="525"/>
      <c r="AJ56" s="525"/>
      <c r="AK56" s="525"/>
      <c r="AL56" s="525"/>
      <c r="AM56" s="525"/>
      <c r="AN56" s="525"/>
      <c r="AO56" s="525"/>
      <c r="AP56" s="525"/>
      <c r="AQ56" s="525"/>
      <c r="AR56" s="525"/>
      <c r="AS56" s="525"/>
      <c r="AT56" s="525"/>
      <c r="AU56" s="525"/>
      <c r="AV56" s="525"/>
      <c r="AW56" s="525"/>
      <c r="AX56" s="525"/>
    </row>
    <row r="57" spans="1:50" x14ac:dyDescent="0.2">
      <c r="A57" s="206"/>
      <c r="B57" s="523"/>
      <c r="C57" s="523"/>
      <c r="D57" s="523"/>
      <c r="E57" s="523"/>
      <c r="F57" s="523"/>
      <c r="G57" s="523"/>
      <c r="H57" s="523"/>
      <c r="I57" s="523"/>
      <c r="J57" s="523"/>
      <c r="K57" s="523"/>
      <c r="L57" s="523"/>
      <c r="M57" s="523"/>
      <c r="N57" s="523"/>
      <c r="O57" s="523"/>
      <c r="P57" s="523"/>
      <c r="Q57" s="523"/>
      <c r="R57" s="523"/>
      <c r="S57" s="523"/>
      <c r="T57" s="523"/>
      <c r="U57" s="523"/>
      <c r="V57" s="523"/>
      <c r="W57" s="523"/>
      <c r="X57" s="523"/>
      <c r="Y57" s="523"/>
      <c r="Z57" s="523"/>
      <c r="AA57" s="523"/>
      <c r="AB57" s="523"/>
      <c r="AC57" s="523"/>
      <c r="AD57" s="523"/>
      <c r="AE57" s="523"/>
      <c r="AF57" s="523"/>
      <c r="AG57" s="523"/>
      <c r="AH57" s="523"/>
      <c r="AI57" s="525"/>
      <c r="AJ57" s="525"/>
      <c r="AK57" s="525"/>
      <c r="AL57" s="525"/>
      <c r="AM57" s="525"/>
      <c r="AN57" s="525"/>
      <c r="AO57" s="525"/>
      <c r="AP57" s="525"/>
      <c r="AQ57" s="525"/>
      <c r="AR57" s="525"/>
      <c r="AS57" s="525"/>
      <c r="AT57" s="525"/>
      <c r="AU57" s="525"/>
      <c r="AV57" s="525"/>
      <c r="AW57" s="525"/>
      <c r="AX57" s="525"/>
    </row>
    <row r="58" spans="1:50" x14ac:dyDescent="0.2">
      <c r="A58" s="206"/>
      <c r="B58" s="523"/>
      <c r="C58" s="523"/>
      <c r="D58" s="523"/>
      <c r="E58" s="523"/>
      <c r="F58" s="523"/>
      <c r="G58" s="523"/>
      <c r="H58" s="523"/>
      <c r="I58" s="523"/>
      <c r="J58" s="523"/>
      <c r="K58" s="523"/>
      <c r="L58" s="523"/>
      <c r="M58" s="523"/>
      <c r="N58" s="523"/>
      <c r="O58" s="523"/>
      <c r="P58" s="523"/>
      <c r="Q58" s="523"/>
      <c r="R58" s="523"/>
      <c r="S58" s="523"/>
      <c r="T58" s="523"/>
      <c r="U58" s="523"/>
      <c r="V58" s="523"/>
      <c r="W58" s="523"/>
      <c r="X58" s="523"/>
      <c r="Y58" s="523"/>
      <c r="Z58" s="523"/>
      <c r="AA58" s="523"/>
      <c r="AB58" s="523"/>
      <c r="AC58" s="523"/>
      <c r="AD58" s="523"/>
      <c r="AE58" s="523"/>
      <c r="AF58" s="523"/>
      <c r="AG58" s="523"/>
      <c r="AH58" s="523"/>
      <c r="AI58" s="525"/>
      <c r="AJ58" s="525"/>
      <c r="AK58" s="525"/>
      <c r="AL58" s="525"/>
      <c r="AM58" s="525"/>
      <c r="AN58" s="525"/>
      <c r="AO58" s="525"/>
      <c r="AP58" s="525"/>
      <c r="AQ58" s="525"/>
      <c r="AR58" s="525"/>
      <c r="AS58" s="525"/>
      <c r="AT58" s="525"/>
      <c r="AU58" s="525"/>
      <c r="AV58" s="525"/>
      <c r="AW58" s="525"/>
      <c r="AX58" s="525"/>
    </row>
    <row r="59" spans="1:50" x14ac:dyDescent="0.2">
      <c r="A59" s="206"/>
      <c r="B59" s="523"/>
      <c r="C59" s="523"/>
      <c r="D59" s="523"/>
      <c r="E59" s="523"/>
      <c r="F59" s="523"/>
      <c r="G59" s="523"/>
      <c r="H59" s="523"/>
      <c r="I59" s="523"/>
      <c r="J59" s="523"/>
      <c r="K59" s="523"/>
      <c r="L59" s="523"/>
      <c r="M59" s="523"/>
      <c r="N59" s="523"/>
      <c r="O59" s="523"/>
      <c r="P59" s="523"/>
      <c r="Q59" s="523"/>
      <c r="R59" s="523"/>
      <c r="S59" s="523"/>
      <c r="T59" s="523"/>
      <c r="U59" s="523"/>
      <c r="V59" s="523"/>
      <c r="W59" s="523"/>
      <c r="X59" s="523"/>
      <c r="Y59" s="523"/>
      <c r="Z59" s="523"/>
      <c r="AA59" s="523"/>
      <c r="AB59" s="523"/>
      <c r="AC59" s="523"/>
      <c r="AD59" s="523"/>
      <c r="AE59" s="523"/>
      <c r="AF59" s="523"/>
      <c r="AG59" s="523"/>
      <c r="AH59" s="523"/>
      <c r="AI59" s="525"/>
      <c r="AJ59" s="525"/>
      <c r="AK59" s="525"/>
      <c r="AL59" s="525"/>
      <c r="AM59" s="525"/>
      <c r="AN59" s="525"/>
      <c r="AO59" s="525"/>
      <c r="AP59" s="525"/>
      <c r="AQ59" s="525"/>
      <c r="AR59" s="525"/>
      <c r="AS59" s="525"/>
      <c r="AT59" s="525"/>
      <c r="AU59" s="525"/>
      <c r="AV59" s="525"/>
      <c r="AW59" s="525"/>
      <c r="AX59" s="525"/>
    </row>
    <row r="60" spans="1:50" x14ac:dyDescent="0.2">
      <c r="A60" s="206"/>
      <c r="B60" s="523"/>
      <c r="C60" s="523"/>
      <c r="D60" s="523"/>
      <c r="E60" s="523"/>
      <c r="F60" s="523"/>
      <c r="G60" s="523"/>
      <c r="H60" s="523"/>
      <c r="I60" s="523"/>
      <c r="J60" s="523"/>
      <c r="K60" s="523"/>
      <c r="L60" s="523"/>
      <c r="M60" s="523"/>
      <c r="N60" s="523"/>
      <c r="O60" s="523"/>
      <c r="P60" s="523"/>
      <c r="Q60" s="523"/>
      <c r="R60" s="523"/>
      <c r="S60" s="523"/>
      <c r="T60" s="523"/>
      <c r="U60" s="523"/>
      <c r="V60" s="523"/>
      <c r="W60" s="523"/>
      <c r="X60" s="523"/>
      <c r="Y60" s="523"/>
      <c r="Z60" s="523"/>
      <c r="AA60" s="523"/>
      <c r="AB60" s="523"/>
      <c r="AC60" s="523"/>
      <c r="AD60" s="523"/>
      <c r="AE60" s="523"/>
      <c r="AF60" s="523"/>
      <c r="AG60" s="523"/>
      <c r="AH60" s="523"/>
      <c r="AI60" s="525"/>
      <c r="AJ60" s="525"/>
      <c r="AK60" s="525"/>
      <c r="AL60" s="525"/>
      <c r="AM60" s="525"/>
      <c r="AN60" s="525"/>
      <c r="AO60" s="525"/>
      <c r="AP60" s="525"/>
      <c r="AQ60" s="525"/>
      <c r="AR60" s="525"/>
      <c r="AS60" s="525"/>
      <c r="AT60" s="525"/>
      <c r="AU60" s="525"/>
      <c r="AV60" s="525"/>
      <c r="AW60" s="525"/>
      <c r="AX60" s="525"/>
    </row>
    <row r="61" spans="1:50" x14ac:dyDescent="0.2">
      <c r="A61" s="206"/>
      <c r="B61" s="523"/>
      <c r="C61" s="523"/>
      <c r="D61" s="523"/>
      <c r="E61" s="523"/>
      <c r="F61" s="523"/>
      <c r="G61" s="523"/>
      <c r="H61" s="523"/>
      <c r="I61" s="523"/>
      <c r="J61" s="523"/>
      <c r="K61" s="523"/>
      <c r="L61" s="523"/>
      <c r="M61" s="523"/>
      <c r="N61" s="523"/>
      <c r="O61" s="523"/>
      <c r="P61" s="523"/>
      <c r="Q61" s="523"/>
      <c r="R61" s="523"/>
      <c r="S61" s="523"/>
      <c r="T61" s="523"/>
      <c r="U61" s="523"/>
      <c r="V61" s="523"/>
      <c r="W61" s="523"/>
      <c r="X61" s="523"/>
      <c r="Y61" s="523"/>
      <c r="Z61" s="523"/>
      <c r="AA61" s="523"/>
      <c r="AB61" s="523"/>
      <c r="AC61" s="523"/>
      <c r="AD61" s="523"/>
      <c r="AE61" s="523"/>
      <c r="AF61" s="523"/>
      <c r="AG61" s="523"/>
      <c r="AH61" s="523"/>
      <c r="AI61" s="525"/>
      <c r="AJ61" s="525"/>
      <c r="AK61" s="525"/>
      <c r="AL61" s="525"/>
      <c r="AM61" s="525"/>
      <c r="AN61" s="525"/>
      <c r="AO61" s="525"/>
      <c r="AP61" s="525"/>
      <c r="AQ61" s="525"/>
      <c r="AR61" s="525"/>
      <c r="AS61" s="525"/>
      <c r="AT61" s="525"/>
      <c r="AU61" s="525"/>
      <c r="AV61" s="525"/>
      <c r="AW61" s="525"/>
      <c r="AX61" s="525"/>
    </row>
    <row r="62" spans="1:50" x14ac:dyDescent="0.2">
      <c r="A62" s="206"/>
      <c r="B62" s="523"/>
      <c r="C62" s="523"/>
      <c r="D62" s="523"/>
      <c r="E62" s="523"/>
      <c r="F62" s="523"/>
      <c r="G62" s="523"/>
      <c r="H62" s="523"/>
      <c r="I62" s="523"/>
      <c r="J62" s="523"/>
      <c r="K62" s="523"/>
      <c r="L62" s="523"/>
      <c r="M62" s="523"/>
      <c r="N62" s="523"/>
      <c r="O62" s="523"/>
      <c r="P62" s="523"/>
      <c r="Q62" s="523"/>
      <c r="R62" s="523"/>
      <c r="S62" s="523"/>
      <c r="T62" s="523"/>
      <c r="U62" s="523"/>
      <c r="V62" s="523"/>
      <c r="W62" s="523"/>
      <c r="X62" s="523"/>
      <c r="Y62" s="523"/>
      <c r="Z62" s="523"/>
      <c r="AA62" s="523"/>
      <c r="AB62" s="523"/>
      <c r="AC62" s="523"/>
      <c r="AD62" s="523"/>
      <c r="AE62" s="523"/>
      <c r="AF62" s="523"/>
      <c r="AG62" s="523"/>
      <c r="AH62" s="523"/>
      <c r="AI62" s="525"/>
      <c r="AJ62" s="525"/>
      <c r="AK62" s="525"/>
      <c r="AL62" s="525"/>
      <c r="AM62" s="525"/>
      <c r="AN62" s="525"/>
      <c r="AO62" s="525"/>
      <c r="AP62" s="525"/>
      <c r="AQ62" s="525"/>
      <c r="AR62" s="525"/>
      <c r="AS62" s="525"/>
      <c r="AT62" s="525"/>
      <c r="AU62" s="525"/>
      <c r="AV62" s="525"/>
      <c r="AW62" s="525"/>
      <c r="AX62" s="525"/>
    </row>
    <row r="63" spans="1:50" x14ac:dyDescent="0.2">
      <c r="A63" s="206"/>
      <c r="B63" s="523"/>
      <c r="C63" s="523"/>
      <c r="D63" s="523"/>
      <c r="E63" s="523"/>
      <c r="F63" s="523"/>
      <c r="G63" s="523"/>
      <c r="H63" s="523"/>
      <c r="I63" s="523"/>
      <c r="J63" s="523"/>
      <c r="K63" s="523"/>
      <c r="L63" s="523"/>
      <c r="M63" s="523"/>
      <c r="N63" s="523"/>
      <c r="O63" s="523"/>
      <c r="P63" s="523"/>
      <c r="Q63" s="523"/>
      <c r="R63" s="523"/>
      <c r="S63" s="523"/>
      <c r="T63" s="523"/>
      <c r="U63" s="523"/>
      <c r="V63" s="523"/>
      <c r="W63" s="523"/>
      <c r="X63" s="523"/>
      <c r="Y63" s="523"/>
      <c r="Z63" s="523"/>
      <c r="AA63" s="523"/>
      <c r="AB63" s="523"/>
      <c r="AC63" s="523"/>
      <c r="AD63" s="523"/>
      <c r="AE63" s="523"/>
      <c r="AF63" s="523"/>
      <c r="AG63" s="523"/>
      <c r="AH63" s="523"/>
      <c r="AI63" s="525"/>
      <c r="AJ63" s="525"/>
      <c r="AK63" s="525"/>
      <c r="AL63" s="525"/>
      <c r="AM63" s="525"/>
      <c r="AN63" s="525"/>
      <c r="AO63" s="525"/>
      <c r="AP63" s="525"/>
      <c r="AQ63" s="525"/>
      <c r="AR63" s="525"/>
      <c r="AS63" s="525"/>
      <c r="AT63" s="525"/>
      <c r="AU63" s="525"/>
      <c r="AV63" s="525"/>
      <c r="AW63" s="525"/>
      <c r="AX63" s="525"/>
    </row>
    <row r="64" spans="1:50" x14ac:dyDescent="0.2">
      <c r="A64" s="206"/>
      <c r="B64" s="523"/>
      <c r="C64" s="523"/>
      <c r="D64" s="523"/>
      <c r="E64" s="523"/>
      <c r="F64" s="523"/>
      <c r="G64" s="523"/>
      <c r="H64" s="523"/>
      <c r="I64" s="523"/>
      <c r="J64" s="523"/>
      <c r="K64" s="523"/>
      <c r="L64" s="523"/>
      <c r="M64" s="523"/>
      <c r="N64" s="523"/>
      <c r="O64" s="523"/>
      <c r="P64" s="523"/>
      <c r="Q64" s="523"/>
      <c r="R64" s="523"/>
      <c r="S64" s="523"/>
      <c r="T64" s="523"/>
      <c r="U64" s="523"/>
      <c r="V64" s="523"/>
      <c r="W64" s="523"/>
      <c r="X64" s="523"/>
      <c r="Y64" s="523"/>
      <c r="Z64" s="523"/>
      <c r="AA64" s="523"/>
      <c r="AB64" s="523"/>
      <c r="AC64" s="523"/>
      <c r="AD64" s="523"/>
      <c r="AE64" s="523"/>
      <c r="AF64" s="523"/>
      <c r="AG64" s="523"/>
      <c r="AH64" s="523"/>
      <c r="AI64" s="525"/>
      <c r="AJ64" s="525"/>
      <c r="AK64" s="525"/>
      <c r="AL64" s="525"/>
      <c r="AM64" s="525"/>
      <c r="AN64" s="525"/>
      <c r="AO64" s="525"/>
      <c r="AP64" s="525"/>
      <c r="AQ64" s="525"/>
      <c r="AR64" s="525"/>
      <c r="AS64" s="525"/>
      <c r="AT64" s="525"/>
      <c r="AU64" s="525"/>
      <c r="AV64" s="525"/>
      <c r="AW64" s="525"/>
      <c r="AX64" s="525"/>
    </row>
    <row r="65" spans="1:50" x14ac:dyDescent="0.2">
      <c r="A65" s="206"/>
      <c r="B65" s="523"/>
      <c r="C65" s="523"/>
      <c r="D65" s="523"/>
      <c r="E65" s="523"/>
      <c r="F65" s="523"/>
      <c r="G65" s="523"/>
      <c r="H65" s="523"/>
      <c r="I65" s="523"/>
      <c r="J65" s="523"/>
      <c r="K65" s="523"/>
      <c r="L65" s="523"/>
      <c r="M65" s="523"/>
      <c r="N65" s="523"/>
      <c r="O65" s="523"/>
      <c r="P65" s="523"/>
      <c r="Q65" s="523"/>
      <c r="R65" s="523"/>
      <c r="S65" s="523"/>
      <c r="T65" s="523"/>
      <c r="U65" s="523"/>
      <c r="V65" s="523"/>
      <c r="W65" s="523"/>
      <c r="X65" s="523"/>
      <c r="Y65" s="523"/>
      <c r="Z65" s="523"/>
      <c r="AA65" s="523"/>
      <c r="AB65" s="523"/>
      <c r="AC65" s="523"/>
      <c r="AD65" s="523"/>
      <c r="AE65" s="523"/>
      <c r="AF65" s="523"/>
      <c r="AG65" s="523"/>
      <c r="AH65" s="523"/>
      <c r="AI65" s="525"/>
      <c r="AJ65" s="525"/>
      <c r="AK65" s="525"/>
      <c r="AL65" s="525"/>
      <c r="AM65" s="525"/>
      <c r="AN65" s="525"/>
      <c r="AO65" s="525"/>
      <c r="AP65" s="525"/>
      <c r="AQ65" s="525"/>
      <c r="AR65" s="525"/>
      <c r="AS65" s="525"/>
      <c r="AT65" s="525"/>
      <c r="AU65" s="525"/>
      <c r="AV65" s="525"/>
      <c r="AW65" s="525"/>
      <c r="AX65" s="525"/>
    </row>
    <row r="66" spans="1:50" x14ac:dyDescent="0.2">
      <c r="A66" s="206"/>
      <c r="B66" s="523"/>
      <c r="C66" s="523"/>
      <c r="D66" s="523"/>
      <c r="E66" s="523"/>
      <c r="F66" s="523"/>
      <c r="G66" s="523"/>
      <c r="H66" s="523"/>
      <c r="I66" s="523"/>
      <c r="J66" s="523"/>
      <c r="K66" s="523"/>
      <c r="L66" s="523"/>
      <c r="M66" s="523"/>
      <c r="N66" s="523"/>
      <c r="O66" s="523"/>
      <c r="P66" s="523"/>
      <c r="Q66" s="523"/>
      <c r="R66" s="523"/>
      <c r="S66" s="523"/>
      <c r="T66" s="523"/>
      <c r="U66" s="523"/>
      <c r="V66" s="523"/>
      <c r="W66" s="523"/>
      <c r="X66" s="523"/>
      <c r="Y66" s="523"/>
      <c r="Z66" s="523"/>
      <c r="AA66" s="523"/>
      <c r="AB66" s="523"/>
      <c r="AC66" s="523"/>
      <c r="AD66" s="523"/>
      <c r="AE66" s="523"/>
      <c r="AF66" s="523"/>
      <c r="AG66" s="523"/>
      <c r="AH66" s="523"/>
      <c r="AI66" s="525"/>
      <c r="AJ66" s="525"/>
      <c r="AK66" s="525"/>
      <c r="AL66" s="525"/>
      <c r="AM66" s="525"/>
      <c r="AN66" s="525"/>
      <c r="AO66" s="525"/>
      <c r="AP66" s="525"/>
      <c r="AQ66" s="525"/>
      <c r="AR66" s="525"/>
      <c r="AS66" s="525"/>
      <c r="AT66" s="525"/>
      <c r="AU66" s="525"/>
      <c r="AV66" s="525"/>
      <c r="AW66" s="525"/>
      <c r="AX66" s="525"/>
    </row>
    <row r="67" spans="1:50" x14ac:dyDescent="0.2">
      <c r="A67" s="206"/>
      <c r="B67" s="523"/>
      <c r="C67" s="523"/>
      <c r="D67" s="523"/>
      <c r="E67" s="523"/>
      <c r="F67" s="523"/>
      <c r="G67" s="523"/>
      <c r="H67" s="523"/>
      <c r="I67" s="523"/>
      <c r="J67" s="523"/>
      <c r="K67" s="523"/>
      <c r="L67" s="523"/>
      <c r="M67" s="523"/>
      <c r="N67" s="523"/>
      <c r="O67" s="523"/>
      <c r="P67" s="523"/>
      <c r="Q67" s="523"/>
      <c r="R67" s="523"/>
      <c r="S67" s="523"/>
      <c r="T67" s="523"/>
      <c r="U67" s="523"/>
      <c r="V67" s="523"/>
      <c r="W67" s="523"/>
      <c r="X67" s="523"/>
      <c r="Y67" s="523"/>
      <c r="Z67" s="523"/>
      <c r="AA67" s="523"/>
      <c r="AB67" s="523"/>
      <c r="AC67" s="523"/>
      <c r="AD67" s="523"/>
      <c r="AE67" s="523"/>
      <c r="AF67" s="523"/>
      <c r="AG67" s="523"/>
      <c r="AH67" s="523"/>
      <c r="AI67" s="525"/>
      <c r="AJ67" s="525"/>
      <c r="AK67" s="525"/>
      <c r="AL67" s="525"/>
      <c r="AM67" s="525"/>
      <c r="AN67" s="525"/>
      <c r="AO67" s="525"/>
      <c r="AP67" s="525"/>
      <c r="AQ67" s="525"/>
      <c r="AR67" s="525"/>
      <c r="AS67" s="525"/>
      <c r="AT67" s="525"/>
      <c r="AU67" s="525"/>
      <c r="AV67" s="525"/>
      <c r="AW67" s="525"/>
      <c r="AX67" s="525"/>
    </row>
    <row r="68" spans="1:50" x14ac:dyDescent="0.2">
      <c r="A68" s="206"/>
      <c r="B68" s="523"/>
      <c r="C68" s="523"/>
      <c r="D68" s="523"/>
      <c r="E68" s="523"/>
      <c r="F68" s="523"/>
      <c r="G68" s="523"/>
      <c r="H68" s="523"/>
      <c r="I68" s="523"/>
      <c r="J68" s="523"/>
      <c r="K68" s="523"/>
      <c r="L68" s="523"/>
      <c r="M68" s="523"/>
      <c r="N68" s="523"/>
      <c r="O68" s="523"/>
      <c r="P68" s="523"/>
      <c r="Q68" s="523"/>
      <c r="R68" s="523"/>
      <c r="S68" s="523"/>
      <c r="T68" s="523"/>
      <c r="U68" s="523"/>
      <c r="V68" s="523"/>
      <c r="W68" s="523"/>
      <c r="X68" s="523"/>
      <c r="Y68" s="523"/>
      <c r="Z68" s="523"/>
      <c r="AA68" s="523"/>
      <c r="AB68" s="523"/>
      <c r="AC68" s="523"/>
      <c r="AD68" s="523"/>
      <c r="AE68" s="523"/>
      <c r="AF68" s="523"/>
      <c r="AG68" s="523"/>
      <c r="AH68" s="523"/>
    </row>
    <row r="69" spans="1:50" x14ac:dyDescent="0.2">
      <c r="A69" s="206"/>
      <c r="B69" s="523"/>
      <c r="C69" s="523"/>
      <c r="D69" s="523"/>
      <c r="E69" s="523"/>
      <c r="F69" s="523"/>
      <c r="G69" s="523"/>
      <c r="H69" s="523"/>
      <c r="I69" s="523"/>
      <c r="J69" s="523"/>
      <c r="K69" s="523"/>
      <c r="L69" s="523"/>
      <c r="M69" s="523"/>
      <c r="N69" s="523"/>
      <c r="O69" s="523"/>
      <c r="P69" s="523"/>
      <c r="Q69" s="523"/>
      <c r="R69" s="523"/>
      <c r="S69" s="523"/>
      <c r="T69" s="523"/>
      <c r="U69" s="523"/>
      <c r="V69" s="523"/>
      <c r="W69" s="523"/>
      <c r="X69" s="523"/>
      <c r="Y69" s="523"/>
      <c r="Z69" s="523"/>
      <c r="AA69" s="523"/>
      <c r="AB69" s="523"/>
      <c r="AC69" s="523"/>
      <c r="AD69" s="523"/>
      <c r="AE69" s="523"/>
      <c r="AF69" s="523"/>
      <c r="AG69" s="523"/>
      <c r="AH69" s="523"/>
    </row>
    <row r="70" spans="1:50" x14ac:dyDescent="0.2">
      <c r="A70" s="206"/>
      <c r="B70" s="523"/>
      <c r="C70" s="523"/>
      <c r="D70" s="523"/>
      <c r="E70" s="523"/>
      <c r="F70" s="523"/>
      <c r="G70" s="523"/>
      <c r="H70" s="523"/>
      <c r="I70" s="523"/>
      <c r="J70" s="523"/>
      <c r="K70" s="523"/>
      <c r="L70" s="523"/>
      <c r="M70" s="523"/>
      <c r="N70" s="523"/>
      <c r="O70" s="523"/>
      <c r="P70" s="523"/>
      <c r="Q70" s="523"/>
      <c r="R70" s="523"/>
      <c r="S70" s="523"/>
      <c r="T70" s="523"/>
      <c r="U70" s="523"/>
      <c r="V70" s="523"/>
      <c r="W70" s="523"/>
      <c r="X70" s="523"/>
      <c r="Y70" s="523"/>
      <c r="Z70" s="523"/>
      <c r="AA70" s="523"/>
      <c r="AB70" s="523"/>
      <c r="AC70" s="523"/>
      <c r="AD70" s="523"/>
      <c r="AE70" s="523"/>
      <c r="AF70" s="523"/>
      <c r="AG70" s="523"/>
      <c r="AH70" s="523"/>
    </row>
    <row r="71" spans="1:50" x14ac:dyDescent="0.2">
      <c r="A71" s="206"/>
      <c r="B71" s="523"/>
      <c r="C71" s="523"/>
      <c r="D71" s="523"/>
      <c r="E71" s="523"/>
      <c r="F71" s="523"/>
      <c r="G71" s="523"/>
      <c r="H71" s="523"/>
      <c r="I71" s="523"/>
      <c r="J71" s="523"/>
      <c r="K71" s="523"/>
      <c r="L71" s="523"/>
      <c r="M71" s="523"/>
      <c r="N71" s="523"/>
      <c r="O71" s="523"/>
      <c r="P71" s="523"/>
      <c r="Q71" s="523"/>
      <c r="R71" s="523"/>
      <c r="S71" s="523"/>
      <c r="T71" s="523"/>
      <c r="U71" s="523"/>
      <c r="V71" s="523"/>
      <c r="W71" s="523"/>
      <c r="X71" s="523"/>
      <c r="Y71" s="523"/>
      <c r="Z71" s="523"/>
      <c r="AA71" s="523"/>
      <c r="AB71" s="523"/>
      <c r="AC71" s="523"/>
      <c r="AD71" s="523"/>
      <c r="AE71" s="523"/>
      <c r="AF71" s="523"/>
      <c r="AG71" s="523"/>
      <c r="AH71" s="523"/>
    </row>
    <row r="72" spans="1:50" x14ac:dyDescent="0.2">
      <c r="A72" s="519"/>
      <c r="B72" s="523"/>
      <c r="C72" s="523"/>
      <c r="D72" s="523"/>
      <c r="E72" s="523"/>
      <c r="F72" s="523"/>
      <c r="G72" s="523"/>
      <c r="H72" s="523"/>
      <c r="I72" s="523"/>
      <c r="J72" s="523"/>
      <c r="K72" s="523"/>
      <c r="L72" s="523"/>
      <c r="M72" s="523"/>
      <c r="N72" s="523"/>
      <c r="O72" s="523"/>
      <c r="P72" s="523"/>
      <c r="Q72" s="523"/>
      <c r="R72" s="523"/>
      <c r="S72" s="523"/>
      <c r="T72" s="523"/>
      <c r="U72" s="523"/>
      <c r="V72" s="523"/>
      <c r="W72" s="523"/>
      <c r="X72" s="523"/>
      <c r="Y72" s="523"/>
      <c r="Z72" s="523"/>
      <c r="AA72" s="523"/>
      <c r="AB72" s="523"/>
      <c r="AC72" s="523"/>
      <c r="AD72" s="523"/>
      <c r="AE72" s="523"/>
      <c r="AF72" s="523"/>
      <c r="AG72" s="523"/>
      <c r="AH72" s="523"/>
    </row>
    <row r="73" spans="1:50" x14ac:dyDescent="0.2">
      <c r="A73" s="519"/>
      <c r="B73" s="523"/>
      <c r="C73" s="523"/>
      <c r="D73" s="523"/>
      <c r="E73" s="523"/>
      <c r="F73" s="523"/>
      <c r="G73" s="523"/>
      <c r="H73" s="523"/>
      <c r="I73" s="523"/>
      <c r="J73" s="523"/>
      <c r="K73" s="523"/>
      <c r="L73" s="523"/>
      <c r="M73" s="523"/>
      <c r="N73" s="523"/>
      <c r="O73" s="523"/>
      <c r="P73" s="523"/>
      <c r="Q73" s="523"/>
      <c r="R73" s="523"/>
      <c r="S73" s="523"/>
      <c r="T73" s="523"/>
      <c r="U73" s="523"/>
      <c r="V73" s="523"/>
      <c r="W73" s="523"/>
      <c r="X73" s="523"/>
      <c r="Y73" s="523"/>
      <c r="Z73" s="523"/>
      <c r="AA73" s="523"/>
      <c r="AB73" s="523"/>
      <c r="AC73" s="523"/>
      <c r="AD73" s="523"/>
      <c r="AE73" s="523"/>
      <c r="AF73" s="523"/>
      <c r="AG73" s="523"/>
      <c r="AH73" s="523"/>
    </row>
    <row r="74" spans="1:50" x14ac:dyDescent="0.2">
      <c r="A74" s="519"/>
      <c r="B74" s="523"/>
      <c r="C74" s="523"/>
      <c r="D74" s="523"/>
      <c r="E74" s="523"/>
      <c r="F74" s="523"/>
      <c r="G74" s="523"/>
      <c r="H74" s="523"/>
      <c r="I74" s="523"/>
      <c r="J74" s="523"/>
      <c r="K74" s="523"/>
      <c r="L74" s="523"/>
      <c r="M74" s="523"/>
      <c r="N74" s="523"/>
      <c r="O74" s="523"/>
      <c r="P74" s="523"/>
      <c r="Q74" s="523"/>
      <c r="R74" s="523"/>
      <c r="S74" s="523"/>
      <c r="T74" s="523"/>
      <c r="U74" s="523"/>
      <c r="V74" s="523"/>
      <c r="W74" s="523"/>
      <c r="X74" s="523"/>
      <c r="Y74" s="523"/>
      <c r="Z74" s="523"/>
      <c r="AA74" s="523"/>
      <c r="AB74" s="523"/>
      <c r="AC74" s="523"/>
      <c r="AD74" s="523"/>
      <c r="AE74" s="523"/>
      <c r="AF74" s="523"/>
      <c r="AG74" s="523"/>
      <c r="AH74" s="523"/>
    </row>
    <row r="75" spans="1:50" x14ac:dyDescent="0.2">
      <c r="A75" s="519"/>
      <c r="B75" s="523"/>
      <c r="C75" s="523"/>
      <c r="D75" s="523"/>
      <c r="E75" s="523"/>
      <c r="F75" s="523"/>
      <c r="G75" s="523"/>
      <c r="H75" s="523"/>
      <c r="I75" s="523"/>
      <c r="J75" s="523"/>
      <c r="K75" s="523"/>
      <c r="L75" s="523"/>
      <c r="M75" s="523"/>
      <c r="N75" s="523"/>
      <c r="O75" s="523"/>
      <c r="P75" s="523"/>
      <c r="Q75" s="523"/>
      <c r="R75" s="523"/>
      <c r="S75" s="523"/>
      <c r="T75" s="523"/>
      <c r="U75" s="523"/>
      <c r="V75" s="523"/>
      <c r="W75" s="523"/>
      <c r="X75" s="523"/>
      <c r="Y75" s="523"/>
      <c r="Z75" s="523"/>
      <c r="AA75" s="523"/>
      <c r="AB75" s="523"/>
      <c r="AC75" s="523"/>
      <c r="AD75" s="523"/>
      <c r="AE75" s="523"/>
      <c r="AF75" s="523"/>
      <c r="AG75" s="523"/>
      <c r="AH75" s="523"/>
    </row>
    <row r="76" spans="1:50" x14ac:dyDescent="0.2">
      <c r="A76" s="519"/>
      <c r="B76" s="523"/>
      <c r="C76" s="523"/>
      <c r="D76" s="523"/>
      <c r="E76" s="523"/>
      <c r="F76" s="523"/>
      <c r="G76" s="523"/>
      <c r="H76" s="523"/>
      <c r="I76" s="523"/>
      <c r="J76" s="523"/>
      <c r="K76" s="523"/>
      <c r="L76" s="523"/>
      <c r="M76" s="523"/>
      <c r="N76" s="523"/>
      <c r="O76" s="523"/>
      <c r="P76" s="523"/>
      <c r="Q76" s="523"/>
      <c r="R76" s="523"/>
      <c r="S76" s="523"/>
      <c r="T76" s="523"/>
      <c r="U76" s="523"/>
      <c r="V76" s="523"/>
      <c r="W76" s="523"/>
      <c r="X76" s="523"/>
      <c r="Y76" s="523"/>
      <c r="Z76" s="523"/>
      <c r="AA76" s="523"/>
      <c r="AB76" s="523"/>
      <c r="AC76" s="523"/>
      <c r="AD76" s="523"/>
      <c r="AE76" s="523"/>
      <c r="AF76" s="523"/>
      <c r="AG76" s="523"/>
      <c r="AH76" s="523"/>
    </row>
    <row r="77" spans="1:50" x14ac:dyDescent="0.2">
      <c r="A77" s="519"/>
      <c r="B77" s="523"/>
      <c r="C77" s="523"/>
      <c r="D77" s="523"/>
      <c r="E77" s="523"/>
      <c r="F77" s="523"/>
      <c r="G77" s="523"/>
      <c r="H77" s="523"/>
      <c r="I77" s="523"/>
      <c r="J77" s="523"/>
      <c r="K77" s="523"/>
      <c r="L77" s="523"/>
      <c r="M77" s="523"/>
      <c r="N77" s="523"/>
      <c r="O77" s="523"/>
      <c r="P77" s="523"/>
      <c r="Q77" s="523"/>
      <c r="R77" s="523"/>
      <c r="S77" s="523"/>
      <c r="T77" s="523"/>
      <c r="U77" s="523"/>
      <c r="V77" s="523"/>
      <c r="W77" s="523"/>
      <c r="X77" s="523"/>
      <c r="Y77" s="523"/>
      <c r="Z77" s="523"/>
      <c r="AA77" s="523"/>
      <c r="AB77" s="523"/>
      <c r="AC77" s="523"/>
      <c r="AD77" s="523"/>
      <c r="AE77" s="523"/>
      <c r="AF77" s="523"/>
      <c r="AG77" s="523"/>
      <c r="AH77" s="523"/>
    </row>
    <row r="78" spans="1:50" x14ac:dyDescent="0.2">
      <c r="A78" s="519"/>
      <c r="B78" s="523"/>
      <c r="C78" s="523"/>
      <c r="D78" s="523"/>
      <c r="E78" s="523"/>
      <c r="F78" s="523"/>
      <c r="G78" s="523"/>
      <c r="H78" s="523"/>
      <c r="I78" s="523"/>
      <c r="J78" s="523"/>
      <c r="K78" s="523"/>
      <c r="L78" s="523"/>
      <c r="M78" s="523"/>
      <c r="N78" s="523"/>
      <c r="O78" s="523"/>
      <c r="P78" s="523"/>
      <c r="Q78" s="523"/>
      <c r="R78" s="523"/>
      <c r="S78" s="523"/>
      <c r="T78" s="523"/>
      <c r="U78" s="523"/>
      <c r="V78" s="523"/>
      <c r="W78" s="523"/>
      <c r="X78" s="523"/>
      <c r="Y78" s="523"/>
      <c r="Z78" s="523"/>
      <c r="AA78" s="523"/>
      <c r="AB78" s="523"/>
      <c r="AC78" s="523"/>
      <c r="AD78" s="523"/>
      <c r="AE78" s="523"/>
      <c r="AF78" s="523"/>
      <c r="AG78" s="523"/>
      <c r="AH78" s="523"/>
    </row>
    <row r="79" spans="1:50" x14ac:dyDescent="0.2">
      <c r="A79" s="519"/>
      <c r="B79" s="523"/>
      <c r="C79" s="523"/>
      <c r="D79" s="523"/>
      <c r="E79" s="523"/>
      <c r="F79" s="523"/>
      <c r="G79" s="523"/>
      <c r="H79" s="523"/>
      <c r="I79" s="523"/>
      <c r="J79" s="523"/>
      <c r="K79" s="523"/>
      <c r="L79" s="523"/>
      <c r="M79" s="523"/>
      <c r="N79" s="523"/>
      <c r="O79" s="523"/>
      <c r="P79" s="523"/>
      <c r="Q79" s="523"/>
      <c r="R79" s="523"/>
      <c r="S79" s="523"/>
      <c r="T79" s="523"/>
      <c r="U79" s="523"/>
      <c r="V79" s="523"/>
      <c r="W79" s="523"/>
      <c r="X79" s="523"/>
      <c r="Y79" s="523"/>
      <c r="Z79" s="523"/>
      <c r="AA79" s="523"/>
      <c r="AB79" s="523"/>
      <c r="AC79" s="523"/>
      <c r="AD79" s="523"/>
      <c r="AE79" s="523"/>
      <c r="AF79" s="523"/>
      <c r="AG79" s="523"/>
      <c r="AH79" s="523"/>
    </row>
    <row r="80" spans="1:50" x14ac:dyDescent="0.2">
      <c r="A80" s="519"/>
      <c r="B80" s="523"/>
      <c r="C80" s="523"/>
      <c r="D80" s="523"/>
      <c r="E80" s="523"/>
      <c r="F80" s="523"/>
      <c r="G80" s="523"/>
      <c r="H80" s="523"/>
      <c r="I80" s="523"/>
      <c r="J80" s="523"/>
      <c r="K80" s="523"/>
      <c r="L80" s="523"/>
      <c r="M80" s="523"/>
      <c r="N80" s="523"/>
      <c r="O80" s="523"/>
      <c r="P80" s="523"/>
      <c r="Q80" s="523"/>
      <c r="R80" s="523"/>
      <c r="S80" s="523"/>
      <c r="T80" s="523"/>
      <c r="U80" s="523"/>
      <c r="V80" s="523"/>
      <c r="W80" s="523"/>
      <c r="X80" s="523"/>
      <c r="Y80" s="523"/>
      <c r="Z80" s="523"/>
      <c r="AA80" s="523"/>
      <c r="AB80" s="523"/>
      <c r="AC80" s="523"/>
      <c r="AD80" s="523"/>
      <c r="AE80" s="523"/>
      <c r="AF80" s="523"/>
      <c r="AG80" s="523"/>
      <c r="AH80" s="523"/>
    </row>
    <row r="81" spans="1:34" x14ac:dyDescent="0.2">
      <c r="A81" s="519"/>
      <c r="B81" s="523"/>
      <c r="C81" s="523"/>
      <c r="D81" s="523"/>
      <c r="E81" s="523"/>
      <c r="F81" s="523"/>
      <c r="G81" s="523"/>
      <c r="H81" s="523"/>
      <c r="I81" s="523"/>
      <c r="J81" s="523"/>
      <c r="K81" s="523"/>
      <c r="L81" s="523"/>
      <c r="M81" s="523"/>
      <c r="N81" s="523"/>
      <c r="O81" s="523"/>
      <c r="P81" s="523"/>
      <c r="Q81" s="523"/>
      <c r="R81" s="523"/>
      <c r="S81" s="523"/>
      <c r="T81" s="523"/>
      <c r="U81" s="523"/>
      <c r="V81" s="523"/>
      <c r="W81" s="523"/>
      <c r="X81" s="523"/>
      <c r="Y81" s="523"/>
      <c r="Z81" s="523"/>
      <c r="AA81" s="523"/>
      <c r="AB81" s="523"/>
      <c r="AC81" s="523"/>
      <c r="AD81" s="523"/>
      <c r="AE81" s="523"/>
      <c r="AF81" s="523"/>
      <c r="AG81" s="523"/>
      <c r="AH81" s="523"/>
    </row>
    <row r="82" spans="1:34" x14ac:dyDescent="0.2">
      <c r="A82" s="519"/>
      <c r="B82" s="523"/>
      <c r="C82" s="523"/>
      <c r="D82" s="523"/>
      <c r="E82" s="523"/>
      <c r="F82" s="523"/>
      <c r="G82" s="523"/>
      <c r="H82" s="523"/>
      <c r="I82" s="523"/>
      <c r="J82" s="523"/>
      <c r="K82" s="523"/>
      <c r="L82" s="523"/>
      <c r="M82" s="523"/>
      <c r="N82" s="523"/>
      <c r="O82" s="523"/>
      <c r="P82" s="523"/>
      <c r="Q82" s="523"/>
      <c r="R82" s="523"/>
      <c r="S82" s="523"/>
      <c r="T82" s="523"/>
      <c r="U82" s="523"/>
      <c r="V82" s="523"/>
      <c r="W82" s="523"/>
      <c r="X82" s="523"/>
      <c r="Y82" s="523"/>
      <c r="Z82" s="523"/>
      <c r="AA82" s="523"/>
      <c r="AB82" s="523"/>
      <c r="AC82" s="523"/>
      <c r="AD82" s="523"/>
      <c r="AE82" s="523"/>
      <c r="AF82" s="523"/>
      <c r="AG82" s="523"/>
      <c r="AH82" s="523"/>
    </row>
    <row r="83" spans="1:34" x14ac:dyDescent="0.2">
      <c r="A83" s="519"/>
      <c r="B83" s="523"/>
      <c r="C83" s="523"/>
      <c r="D83" s="523"/>
      <c r="E83" s="523"/>
      <c r="F83" s="523"/>
      <c r="G83" s="523"/>
      <c r="H83" s="523"/>
      <c r="I83" s="523"/>
      <c r="J83" s="523"/>
      <c r="K83" s="523"/>
      <c r="L83" s="523"/>
      <c r="M83" s="523"/>
      <c r="N83" s="523"/>
      <c r="O83" s="523"/>
      <c r="P83" s="523"/>
      <c r="Q83" s="523"/>
      <c r="R83" s="523"/>
      <c r="S83" s="523"/>
      <c r="T83" s="523"/>
      <c r="U83" s="523"/>
      <c r="V83" s="523"/>
      <c r="W83" s="523"/>
      <c r="X83" s="523"/>
      <c r="Y83" s="523"/>
      <c r="Z83" s="523"/>
      <c r="AA83" s="523"/>
      <c r="AB83" s="523"/>
      <c r="AC83" s="523"/>
      <c r="AD83" s="523"/>
      <c r="AE83" s="523"/>
      <c r="AF83" s="523"/>
      <c r="AG83" s="523"/>
      <c r="AH83" s="523"/>
    </row>
    <row r="84" spans="1:34" x14ac:dyDescent="0.2">
      <c r="A84" s="519"/>
      <c r="B84" s="523"/>
      <c r="C84" s="523"/>
      <c r="D84" s="523"/>
      <c r="E84" s="523"/>
      <c r="F84" s="523"/>
      <c r="G84" s="523"/>
      <c r="H84" s="523"/>
      <c r="I84" s="523"/>
      <c r="J84" s="523"/>
      <c r="K84" s="523"/>
      <c r="L84" s="523"/>
      <c r="M84" s="523"/>
      <c r="N84" s="523"/>
      <c r="O84" s="523"/>
      <c r="P84" s="523"/>
      <c r="Q84" s="523"/>
      <c r="R84" s="523"/>
      <c r="S84" s="523"/>
      <c r="T84" s="523"/>
      <c r="U84" s="523"/>
      <c r="V84" s="523"/>
      <c r="W84" s="523"/>
      <c r="X84" s="523"/>
      <c r="Y84" s="523"/>
      <c r="Z84" s="523"/>
      <c r="AA84" s="523"/>
      <c r="AB84" s="523"/>
      <c r="AC84" s="523"/>
      <c r="AD84" s="523"/>
      <c r="AE84" s="523"/>
      <c r="AF84" s="523"/>
      <c r="AG84" s="523"/>
      <c r="AH84" s="523"/>
    </row>
    <row r="85" spans="1:34" x14ac:dyDescent="0.2">
      <c r="A85" s="519"/>
      <c r="B85" s="523"/>
      <c r="C85" s="523"/>
      <c r="D85" s="523"/>
      <c r="E85" s="523"/>
      <c r="F85" s="523"/>
      <c r="G85" s="523"/>
      <c r="H85" s="523"/>
      <c r="I85" s="523"/>
      <c r="J85" s="523"/>
      <c r="K85" s="523"/>
      <c r="L85" s="523"/>
      <c r="M85" s="523"/>
      <c r="N85" s="523"/>
      <c r="O85" s="523"/>
      <c r="P85" s="523"/>
      <c r="Q85" s="523"/>
      <c r="R85" s="523"/>
      <c r="S85" s="523"/>
      <c r="T85" s="523"/>
      <c r="U85" s="523"/>
      <c r="V85" s="523"/>
      <c r="W85" s="523"/>
      <c r="X85" s="523"/>
      <c r="Y85" s="523"/>
      <c r="Z85" s="523"/>
      <c r="AA85" s="523"/>
      <c r="AB85" s="523"/>
      <c r="AC85" s="523"/>
      <c r="AD85" s="523"/>
      <c r="AE85" s="523"/>
      <c r="AF85" s="523"/>
      <c r="AG85" s="523"/>
      <c r="AH85" s="523"/>
    </row>
    <row r="86" spans="1:34" x14ac:dyDescent="0.2">
      <c r="A86" s="519"/>
      <c r="B86" s="523"/>
      <c r="C86" s="523"/>
      <c r="D86" s="523"/>
      <c r="E86" s="523"/>
      <c r="F86" s="523"/>
      <c r="G86" s="523"/>
      <c r="H86" s="523"/>
      <c r="I86" s="523"/>
      <c r="J86" s="523"/>
      <c r="K86" s="523"/>
      <c r="L86" s="523"/>
      <c r="M86" s="523"/>
      <c r="N86" s="523"/>
      <c r="O86" s="523"/>
      <c r="P86" s="523"/>
      <c r="Q86" s="523"/>
      <c r="R86" s="523"/>
      <c r="S86" s="523"/>
      <c r="T86" s="523"/>
      <c r="U86" s="523"/>
      <c r="V86" s="523"/>
      <c r="W86" s="523"/>
      <c r="X86" s="523"/>
      <c r="Y86" s="523"/>
      <c r="Z86" s="523"/>
      <c r="AA86" s="523"/>
      <c r="AB86" s="523"/>
      <c r="AC86" s="523"/>
      <c r="AD86" s="523"/>
      <c r="AE86" s="523"/>
      <c r="AF86" s="523"/>
      <c r="AG86" s="523"/>
      <c r="AH86" s="523"/>
    </row>
    <row r="87" spans="1:34" x14ac:dyDescent="0.2">
      <c r="A87" s="519"/>
      <c r="B87" s="523"/>
      <c r="C87" s="523"/>
      <c r="D87" s="523"/>
      <c r="E87" s="523"/>
      <c r="F87" s="523"/>
      <c r="G87" s="523"/>
      <c r="H87" s="523"/>
      <c r="I87" s="523"/>
      <c r="J87" s="523"/>
      <c r="K87" s="523"/>
      <c r="L87" s="523"/>
      <c r="M87" s="523"/>
      <c r="N87" s="523"/>
      <c r="O87" s="523"/>
      <c r="P87" s="523"/>
      <c r="Q87" s="523"/>
      <c r="R87" s="523"/>
      <c r="S87" s="523"/>
      <c r="T87" s="523"/>
      <c r="U87" s="523"/>
      <c r="V87" s="523"/>
      <c r="W87" s="523"/>
      <c r="X87" s="523"/>
      <c r="Y87" s="523"/>
      <c r="Z87" s="523"/>
      <c r="AA87" s="523"/>
      <c r="AB87" s="523"/>
      <c r="AC87" s="523"/>
      <c r="AD87" s="523"/>
      <c r="AE87" s="523"/>
      <c r="AF87" s="523"/>
      <c r="AG87" s="523"/>
      <c r="AH87" s="523"/>
    </row>
    <row r="88" spans="1:34" x14ac:dyDescent="0.2">
      <c r="A88" s="519"/>
      <c r="B88" s="523"/>
      <c r="C88" s="523"/>
      <c r="D88" s="523"/>
      <c r="E88" s="523"/>
      <c r="F88" s="523"/>
      <c r="G88" s="523"/>
      <c r="H88" s="523"/>
      <c r="I88" s="523"/>
      <c r="J88" s="523"/>
      <c r="K88" s="523"/>
      <c r="L88" s="523"/>
      <c r="M88" s="523"/>
      <c r="N88" s="523"/>
      <c r="O88" s="523"/>
      <c r="P88" s="523"/>
      <c r="Q88" s="523"/>
      <c r="R88" s="523"/>
      <c r="S88" s="523"/>
      <c r="T88" s="523"/>
      <c r="U88" s="523"/>
      <c r="V88" s="523"/>
      <c r="W88" s="523"/>
      <c r="X88" s="523"/>
      <c r="Y88" s="523"/>
      <c r="Z88" s="523"/>
      <c r="AA88" s="523"/>
      <c r="AB88" s="523"/>
      <c r="AC88" s="523"/>
      <c r="AD88" s="523"/>
      <c r="AE88" s="523"/>
      <c r="AF88" s="523"/>
      <c r="AG88" s="523"/>
      <c r="AH88" s="523"/>
    </row>
    <row r="89" spans="1:34" x14ac:dyDescent="0.2">
      <c r="A89" s="519"/>
      <c r="B89" s="523"/>
      <c r="C89" s="523"/>
      <c r="D89" s="523"/>
      <c r="E89" s="523"/>
      <c r="F89" s="523"/>
      <c r="G89" s="523"/>
      <c r="H89" s="523"/>
      <c r="I89" s="523"/>
      <c r="J89" s="523"/>
      <c r="K89" s="523"/>
      <c r="L89" s="523"/>
      <c r="M89" s="523"/>
      <c r="N89" s="523"/>
      <c r="O89" s="523"/>
      <c r="P89" s="523"/>
      <c r="Q89" s="523"/>
      <c r="R89" s="523"/>
      <c r="S89" s="523"/>
      <c r="T89" s="523"/>
      <c r="U89" s="523"/>
      <c r="V89" s="523"/>
      <c r="W89" s="523"/>
      <c r="X89" s="523"/>
      <c r="Y89" s="523"/>
      <c r="Z89" s="523"/>
      <c r="AA89" s="523"/>
      <c r="AB89" s="523"/>
      <c r="AC89" s="523"/>
      <c r="AD89" s="523"/>
      <c r="AE89" s="523"/>
      <c r="AF89" s="523"/>
      <c r="AG89" s="523"/>
      <c r="AH89" s="523"/>
    </row>
    <row r="90" spans="1:34" x14ac:dyDescent="0.2">
      <c r="A90" s="519"/>
      <c r="B90" s="346"/>
      <c r="C90" s="346"/>
      <c r="D90" s="346"/>
      <c r="E90" s="346"/>
      <c r="F90" s="346"/>
      <c r="G90" s="346"/>
      <c r="H90" s="346"/>
      <c r="I90" s="346"/>
      <c r="J90" s="346"/>
      <c r="K90" s="346"/>
      <c r="L90" s="346"/>
      <c r="M90" s="346"/>
      <c r="N90" s="346"/>
      <c r="O90" s="346"/>
      <c r="P90" s="346"/>
      <c r="Q90" s="346"/>
      <c r="R90" s="346"/>
      <c r="S90" s="346"/>
      <c r="T90" s="346"/>
      <c r="U90" s="346"/>
      <c r="V90" s="346"/>
      <c r="W90" s="346"/>
      <c r="X90" s="346"/>
      <c r="Y90" s="346"/>
      <c r="Z90" s="346"/>
      <c r="AA90" s="346"/>
      <c r="AB90" s="346"/>
      <c r="AC90" s="346"/>
      <c r="AD90" s="346"/>
      <c r="AE90" s="346"/>
      <c r="AF90" s="346"/>
    </row>
    <row r="91" spans="1:34" x14ac:dyDescent="0.2">
      <c r="A91" s="519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6"/>
      <c r="R91" s="346"/>
      <c r="S91" s="346"/>
      <c r="T91" s="346"/>
      <c r="U91" s="346"/>
      <c r="V91" s="346"/>
      <c r="W91" s="346"/>
      <c r="X91" s="346"/>
      <c r="Y91" s="346"/>
      <c r="Z91" s="346"/>
      <c r="AA91" s="346"/>
      <c r="AB91" s="346"/>
      <c r="AC91" s="346"/>
      <c r="AD91" s="346"/>
      <c r="AE91" s="346"/>
      <c r="AF91" s="346"/>
    </row>
    <row r="92" spans="1:34" x14ac:dyDescent="0.2">
      <c r="A92" s="519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46"/>
      <c r="P92" s="346"/>
      <c r="Q92" s="346"/>
      <c r="R92" s="346"/>
      <c r="S92" s="346"/>
      <c r="T92" s="346"/>
      <c r="U92" s="346"/>
      <c r="V92" s="346"/>
      <c r="W92" s="346"/>
      <c r="X92" s="346"/>
      <c r="Y92" s="346"/>
      <c r="Z92" s="346"/>
      <c r="AA92" s="346"/>
      <c r="AB92" s="346"/>
      <c r="AC92" s="346"/>
      <c r="AD92" s="346"/>
      <c r="AE92" s="346"/>
      <c r="AF92" s="346"/>
    </row>
    <row r="93" spans="1:34" x14ac:dyDescent="0.2">
      <c r="A93" s="519"/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346"/>
      <c r="AB93" s="346"/>
      <c r="AC93" s="346"/>
      <c r="AD93" s="346"/>
      <c r="AE93" s="346"/>
      <c r="AF93" s="346"/>
    </row>
    <row r="94" spans="1:34" x14ac:dyDescent="0.2">
      <c r="A94" s="519"/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46"/>
      <c r="AB94" s="346"/>
      <c r="AC94" s="346"/>
      <c r="AD94" s="346"/>
      <c r="AE94" s="346"/>
      <c r="AF94" s="346"/>
    </row>
    <row r="95" spans="1:34" x14ac:dyDescent="0.2">
      <c r="A95" s="519"/>
      <c r="B95" s="346"/>
      <c r="C95" s="346"/>
      <c r="D95" s="346"/>
      <c r="E95" s="346"/>
      <c r="F95" s="346"/>
      <c r="G95" s="346"/>
      <c r="H95" s="346"/>
      <c r="I95" s="346"/>
      <c r="J95" s="346"/>
      <c r="K95" s="346"/>
      <c r="L95" s="346"/>
      <c r="M95" s="346"/>
      <c r="N95" s="346"/>
      <c r="O95" s="346"/>
      <c r="P95" s="346"/>
      <c r="Q95" s="346"/>
      <c r="R95" s="346"/>
      <c r="S95" s="346"/>
      <c r="T95" s="346"/>
      <c r="U95" s="346"/>
      <c r="V95" s="346"/>
      <c r="W95" s="346"/>
      <c r="X95" s="346"/>
      <c r="Y95" s="346"/>
      <c r="Z95" s="346"/>
      <c r="AA95" s="346"/>
      <c r="AB95" s="346"/>
      <c r="AC95" s="346"/>
      <c r="AD95" s="346"/>
      <c r="AE95" s="346"/>
      <c r="AF95" s="346"/>
    </row>
    <row r="96" spans="1:34" x14ac:dyDescent="0.2">
      <c r="A96" s="519"/>
      <c r="B96" s="346"/>
      <c r="C96" s="346"/>
      <c r="D96" s="346"/>
      <c r="E96" s="346"/>
      <c r="F96" s="346"/>
      <c r="G96" s="346"/>
      <c r="H96" s="346"/>
      <c r="I96" s="346"/>
      <c r="J96" s="346"/>
      <c r="K96" s="346"/>
      <c r="L96" s="346"/>
      <c r="M96" s="346"/>
      <c r="N96" s="346"/>
      <c r="O96" s="346"/>
      <c r="P96" s="346"/>
      <c r="Q96" s="346"/>
      <c r="R96" s="346"/>
      <c r="S96" s="346"/>
      <c r="T96" s="346"/>
      <c r="U96" s="346"/>
      <c r="V96" s="346"/>
      <c r="W96" s="346"/>
      <c r="X96" s="346"/>
      <c r="Y96" s="346"/>
      <c r="Z96" s="346"/>
      <c r="AA96" s="346"/>
      <c r="AB96" s="346"/>
      <c r="AC96" s="346"/>
      <c r="AD96" s="346"/>
      <c r="AE96" s="346"/>
      <c r="AF96" s="346"/>
    </row>
    <row r="97" spans="1:32" x14ac:dyDescent="0.2">
      <c r="A97" s="519"/>
      <c r="B97" s="346"/>
      <c r="C97" s="346"/>
      <c r="D97" s="346"/>
      <c r="E97" s="346"/>
      <c r="F97" s="346"/>
      <c r="G97" s="346"/>
      <c r="H97" s="346"/>
      <c r="I97" s="346"/>
      <c r="J97" s="346"/>
      <c r="K97" s="346"/>
      <c r="L97" s="346"/>
      <c r="M97" s="346"/>
      <c r="N97" s="346"/>
      <c r="O97" s="346"/>
      <c r="P97" s="346"/>
      <c r="Q97" s="346"/>
      <c r="R97" s="346"/>
      <c r="S97" s="346"/>
      <c r="T97" s="346"/>
      <c r="U97" s="346"/>
      <c r="V97" s="346"/>
      <c r="W97" s="346"/>
      <c r="X97" s="346"/>
      <c r="Y97" s="346"/>
      <c r="Z97" s="346"/>
      <c r="AA97" s="346"/>
      <c r="AB97" s="346"/>
      <c r="AC97" s="346"/>
      <c r="AD97" s="346"/>
      <c r="AE97" s="346"/>
      <c r="AF97" s="346"/>
    </row>
    <row r="98" spans="1:32" x14ac:dyDescent="0.2">
      <c r="A98" s="519"/>
      <c r="B98" s="346"/>
      <c r="C98" s="346"/>
      <c r="D98" s="346"/>
      <c r="E98" s="346"/>
      <c r="F98" s="346"/>
      <c r="G98" s="346"/>
      <c r="H98" s="346"/>
      <c r="I98" s="346"/>
      <c r="J98" s="346"/>
      <c r="K98" s="346"/>
      <c r="L98" s="346"/>
      <c r="M98" s="346"/>
      <c r="N98" s="346"/>
      <c r="O98" s="346"/>
      <c r="P98" s="346"/>
      <c r="Q98" s="346"/>
      <c r="R98" s="346"/>
      <c r="S98" s="346"/>
      <c r="T98" s="346"/>
      <c r="U98" s="346"/>
      <c r="V98" s="346"/>
      <c r="W98" s="346"/>
      <c r="X98" s="346"/>
      <c r="Y98" s="346"/>
      <c r="Z98" s="346"/>
      <c r="AA98" s="346"/>
      <c r="AB98" s="346"/>
      <c r="AC98" s="346"/>
      <c r="AD98" s="346"/>
      <c r="AE98" s="346"/>
      <c r="AF98" s="346"/>
    </row>
    <row r="99" spans="1:32" x14ac:dyDescent="0.2">
      <c r="A99" s="519"/>
      <c r="B99" s="346"/>
      <c r="C99" s="346"/>
      <c r="D99" s="346"/>
      <c r="E99" s="346"/>
      <c r="F99" s="346"/>
      <c r="G99" s="346"/>
      <c r="H99" s="346"/>
      <c r="I99" s="346"/>
      <c r="J99" s="346"/>
      <c r="K99" s="346"/>
      <c r="L99" s="346"/>
      <c r="M99" s="346"/>
      <c r="N99" s="346"/>
      <c r="O99" s="346"/>
      <c r="P99" s="346"/>
      <c r="Q99" s="346"/>
      <c r="R99" s="346"/>
      <c r="S99" s="346"/>
      <c r="T99" s="346"/>
      <c r="U99" s="346"/>
      <c r="V99" s="346"/>
      <c r="W99" s="346"/>
      <c r="X99" s="346"/>
      <c r="Y99" s="346"/>
      <c r="Z99" s="346"/>
      <c r="AA99" s="346"/>
      <c r="AB99" s="346"/>
      <c r="AC99" s="346"/>
      <c r="AD99" s="346"/>
      <c r="AE99" s="346"/>
      <c r="AF99" s="346"/>
    </row>
    <row r="100" spans="1:32" x14ac:dyDescent="0.2">
      <c r="A100" s="519"/>
      <c r="B100" s="346"/>
      <c r="C100" s="346"/>
      <c r="D100" s="346"/>
      <c r="E100" s="346"/>
      <c r="F100" s="346"/>
      <c r="G100" s="346"/>
      <c r="H100" s="346"/>
      <c r="I100" s="346"/>
      <c r="J100" s="346"/>
      <c r="K100" s="346"/>
      <c r="L100" s="346"/>
      <c r="M100" s="346"/>
      <c r="N100" s="346"/>
      <c r="O100" s="346"/>
      <c r="P100" s="346"/>
      <c r="Q100" s="346"/>
      <c r="R100" s="346"/>
      <c r="S100" s="346"/>
      <c r="T100" s="346"/>
      <c r="U100" s="346"/>
      <c r="V100" s="346"/>
      <c r="W100" s="346"/>
      <c r="X100" s="346"/>
      <c r="Y100" s="346"/>
      <c r="Z100" s="346"/>
      <c r="AA100" s="346"/>
      <c r="AB100" s="346"/>
      <c r="AC100" s="346"/>
      <c r="AD100" s="346"/>
      <c r="AE100" s="346"/>
      <c r="AF100" s="346"/>
    </row>
    <row r="101" spans="1:32" x14ac:dyDescent="0.2">
      <c r="A101" s="519"/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46"/>
      <c r="P101" s="346"/>
      <c r="Q101" s="346"/>
      <c r="R101" s="346"/>
      <c r="S101" s="346"/>
      <c r="T101" s="346"/>
      <c r="U101" s="346"/>
      <c r="V101" s="346"/>
      <c r="W101" s="346"/>
      <c r="X101" s="346"/>
      <c r="Y101" s="346"/>
      <c r="Z101" s="346"/>
      <c r="AA101" s="346"/>
      <c r="AB101" s="346"/>
      <c r="AC101" s="346"/>
      <c r="AD101" s="346"/>
      <c r="AE101" s="346"/>
      <c r="AF101" s="346"/>
    </row>
    <row r="102" spans="1:32" x14ac:dyDescent="0.2">
      <c r="A102" s="519"/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46"/>
      <c r="P102" s="346"/>
      <c r="Q102" s="346"/>
      <c r="R102" s="346"/>
      <c r="S102" s="346"/>
      <c r="T102" s="346"/>
      <c r="U102" s="346"/>
      <c r="V102" s="346"/>
      <c r="W102" s="346"/>
      <c r="X102" s="346"/>
      <c r="Y102" s="346"/>
      <c r="Z102" s="346"/>
      <c r="AA102" s="346"/>
      <c r="AB102" s="346"/>
      <c r="AC102" s="346"/>
      <c r="AD102" s="346"/>
      <c r="AE102" s="346"/>
      <c r="AF102" s="346"/>
    </row>
    <row r="103" spans="1:32" x14ac:dyDescent="0.2">
      <c r="A103" s="519"/>
      <c r="B103" s="346"/>
      <c r="C103" s="346"/>
      <c r="D103" s="346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  <c r="AA103" s="346"/>
      <c r="AB103" s="346"/>
      <c r="AC103" s="346"/>
      <c r="AD103" s="346"/>
      <c r="AE103" s="346"/>
      <c r="AF103" s="346"/>
    </row>
    <row r="104" spans="1:32" x14ac:dyDescent="0.2">
      <c r="A104" s="519"/>
      <c r="B104" s="520"/>
      <c r="C104" s="511"/>
    </row>
    <row r="105" spans="1:32" x14ac:dyDescent="0.2">
      <c r="A105" s="519"/>
      <c r="B105" s="520"/>
      <c r="C105" s="511"/>
    </row>
    <row r="106" spans="1:32" x14ac:dyDescent="0.2">
      <c r="A106" s="519"/>
      <c r="B106" s="520"/>
      <c r="C106" s="511"/>
    </row>
    <row r="107" spans="1:32" x14ac:dyDescent="0.2">
      <c r="A107" s="519"/>
      <c r="B107" s="520"/>
      <c r="C107" s="511"/>
    </row>
    <row r="108" spans="1:32" x14ac:dyDescent="0.2">
      <c r="A108" s="519"/>
      <c r="B108" s="520"/>
      <c r="C108" s="511"/>
    </row>
    <row r="109" spans="1:32" x14ac:dyDescent="0.2">
      <c r="A109" s="519"/>
      <c r="B109" s="520"/>
      <c r="C109" s="511"/>
    </row>
    <row r="110" spans="1:32" x14ac:dyDescent="0.2">
      <c r="A110" s="519"/>
      <c r="B110" s="520"/>
      <c r="C110" s="511"/>
    </row>
    <row r="111" spans="1:32" x14ac:dyDescent="0.2">
      <c r="A111" s="519"/>
      <c r="B111" s="520"/>
      <c r="C111" s="511"/>
    </row>
    <row r="112" spans="1:32" x14ac:dyDescent="0.2">
      <c r="A112" s="519"/>
      <c r="B112" s="520"/>
      <c r="C112" s="511"/>
    </row>
    <row r="113" spans="1:3" x14ac:dyDescent="0.2">
      <c r="A113" s="519"/>
      <c r="B113" s="520"/>
      <c r="C113" s="511"/>
    </row>
    <row r="114" spans="1:3" x14ac:dyDescent="0.2">
      <c r="A114" s="519"/>
      <c r="B114" s="520"/>
      <c r="C114" s="511"/>
    </row>
    <row r="115" spans="1:3" x14ac:dyDescent="0.2">
      <c r="A115" s="519"/>
      <c r="B115" s="520"/>
      <c r="C115" s="511"/>
    </row>
    <row r="116" spans="1:3" x14ac:dyDescent="0.2">
      <c r="A116" s="519"/>
      <c r="B116" s="520"/>
      <c r="C116" s="511"/>
    </row>
    <row r="117" spans="1:3" x14ac:dyDescent="0.2">
      <c r="A117" s="519"/>
      <c r="B117" s="520"/>
      <c r="C117" s="511"/>
    </row>
    <row r="118" spans="1:3" x14ac:dyDescent="0.2">
      <c r="A118" s="519"/>
      <c r="B118" s="520"/>
      <c r="C118" s="511"/>
    </row>
    <row r="119" spans="1:3" x14ac:dyDescent="0.2">
      <c r="A119" s="519"/>
      <c r="B119" s="520"/>
      <c r="C119" s="511"/>
    </row>
    <row r="120" spans="1:3" x14ac:dyDescent="0.2">
      <c r="A120" s="519"/>
      <c r="B120" s="520"/>
      <c r="C120" s="511"/>
    </row>
    <row r="121" spans="1:3" x14ac:dyDescent="0.2">
      <c r="A121" s="519"/>
      <c r="B121" s="520"/>
      <c r="C121" s="511"/>
    </row>
    <row r="122" spans="1:3" x14ac:dyDescent="0.2">
      <c r="A122" s="519"/>
      <c r="B122" s="520"/>
      <c r="C122" s="511"/>
    </row>
    <row r="123" spans="1:3" x14ac:dyDescent="0.2">
      <c r="A123" s="519"/>
      <c r="B123" s="520"/>
      <c r="C123" s="511"/>
    </row>
    <row r="124" spans="1:3" x14ac:dyDescent="0.2">
      <c r="A124" s="519"/>
      <c r="B124" s="520"/>
      <c r="C124" s="511"/>
    </row>
    <row r="125" spans="1:3" x14ac:dyDescent="0.2">
      <c r="A125" s="519"/>
      <c r="B125" s="520"/>
      <c r="C125" s="511"/>
    </row>
    <row r="126" spans="1:3" x14ac:dyDescent="0.2">
      <c r="A126" s="519"/>
      <c r="B126" s="520"/>
      <c r="C126" s="511"/>
    </row>
    <row r="127" spans="1:3" x14ac:dyDescent="0.2">
      <c r="A127" s="519"/>
      <c r="B127" s="520"/>
      <c r="C127" s="511"/>
    </row>
    <row r="128" spans="1:3" x14ac:dyDescent="0.2">
      <c r="A128" s="519"/>
      <c r="B128" s="520"/>
      <c r="C128" s="511"/>
    </row>
    <row r="129" spans="1:3" x14ac:dyDescent="0.2">
      <c r="A129" s="519"/>
      <c r="B129" s="520"/>
      <c r="C129" s="511"/>
    </row>
    <row r="130" spans="1:3" x14ac:dyDescent="0.2">
      <c r="A130" s="519"/>
      <c r="B130" s="520"/>
      <c r="C130" s="511"/>
    </row>
    <row r="131" spans="1:3" x14ac:dyDescent="0.2">
      <c r="A131" s="519"/>
      <c r="B131" s="520"/>
      <c r="C131" s="511"/>
    </row>
    <row r="132" spans="1:3" x14ac:dyDescent="0.2">
      <c r="A132" s="519"/>
      <c r="B132" s="520"/>
      <c r="C132" s="511"/>
    </row>
    <row r="133" spans="1:3" x14ac:dyDescent="0.2">
      <c r="A133" s="519"/>
      <c r="B133" s="520"/>
      <c r="C133" s="511"/>
    </row>
    <row r="134" spans="1:3" x14ac:dyDescent="0.2">
      <c r="A134" s="519"/>
      <c r="B134" s="520"/>
      <c r="C134" s="511"/>
    </row>
    <row r="135" spans="1:3" x14ac:dyDescent="0.2">
      <c r="A135" s="519"/>
      <c r="B135" s="520"/>
      <c r="C135" s="511"/>
    </row>
    <row r="136" spans="1:3" x14ac:dyDescent="0.2">
      <c r="A136" s="519"/>
      <c r="B136" s="520"/>
      <c r="C136" s="511"/>
    </row>
    <row r="137" spans="1:3" x14ac:dyDescent="0.2">
      <c r="A137" s="519"/>
      <c r="B137" s="520"/>
      <c r="C137" s="511"/>
    </row>
    <row r="138" spans="1:3" x14ac:dyDescent="0.2">
      <c r="A138" s="519"/>
      <c r="B138" s="520"/>
      <c r="C138" s="511"/>
    </row>
    <row r="139" spans="1:3" x14ac:dyDescent="0.2">
      <c r="A139" s="519"/>
      <c r="B139" s="520"/>
      <c r="C139" s="511"/>
    </row>
    <row r="140" spans="1:3" x14ac:dyDescent="0.2">
      <c r="A140" s="519"/>
      <c r="B140" s="520"/>
      <c r="C140" s="511"/>
    </row>
    <row r="141" spans="1:3" x14ac:dyDescent="0.2">
      <c r="A141" s="519"/>
      <c r="B141" s="520"/>
      <c r="C141" s="511"/>
    </row>
    <row r="142" spans="1:3" x14ac:dyDescent="0.2">
      <c r="A142" s="519"/>
      <c r="B142" s="520"/>
      <c r="C142" s="511"/>
    </row>
    <row r="143" spans="1:3" x14ac:dyDescent="0.2">
      <c r="A143" s="519"/>
      <c r="B143" s="520"/>
      <c r="C143" s="511"/>
    </row>
    <row r="144" spans="1:3" x14ac:dyDescent="0.2">
      <c r="A144" s="519"/>
      <c r="B144" s="520"/>
      <c r="C144" s="511"/>
    </row>
    <row r="145" spans="1:3" x14ac:dyDescent="0.2">
      <c r="A145" s="519"/>
      <c r="B145" s="520"/>
      <c r="C145" s="511"/>
    </row>
    <row r="146" spans="1:3" x14ac:dyDescent="0.2">
      <c r="A146" s="519"/>
      <c r="B146" s="520"/>
      <c r="C146" s="511"/>
    </row>
    <row r="147" spans="1:3" x14ac:dyDescent="0.2">
      <c r="A147" s="519"/>
      <c r="B147" s="520"/>
      <c r="C147" s="511"/>
    </row>
    <row r="148" spans="1:3" x14ac:dyDescent="0.2">
      <c r="A148" s="519"/>
      <c r="B148" s="520"/>
      <c r="C148" s="511"/>
    </row>
    <row r="149" spans="1:3" x14ac:dyDescent="0.2">
      <c r="A149" s="519"/>
      <c r="B149" s="520"/>
      <c r="C149" s="511"/>
    </row>
    <row r="150" spans="1:3" x14ac:dyDescent="0.2">
      <c r="A150" s="519"/>
      <c r="B150" s="520"/>
      <c r="C150" s="511"/>
    </row>
    <row r="151" spans="1:3" x14ac:dyDescent="0.2">
      <c r="A151" s="519"/>
      <c r="B151" s="520"/>
      <c r="C151" s="511"/>
    </row>
    <row r="152" spans="1:3" x14ac:dyDescent="0.2">
      <c r="A152" s="519"/>
      <c r="B152" s="520"/>
      <c r="C152" s="511"/>
    </row>
    <row r="153" spans="1:3" x14ac:dyDescent="0.2">
      <c r="A153" s="519"/>
      <c r="B153" s="520"/>
      <c r="C153" s="511"/>
    </row>
    <row r="154" spans="1:3" x14ac:dyDescent="0.2">
      <c r="A154" s="519"/>
      <c r="B154" s="520"/>
      <c r="C154" s="511"/>
    </row>
    <row r="155" spans="1:3" x14ac:dyDescent="0.2">
      <c r="A155" s="519"/>
      <c r="B155" s="520"/>
      <c r="C155" s="511"/>
    </row>
    <row r="156" spans="1:3" x14ac:dyDescent="0.2">
      <c r="A156" s="519"/>
      <c r="B156" s="520"/>
      <c r="C156" s="511"/>
    </row>
    <row r="157" spans="1:3" x14ac:dyDescent="0.2">
      <c r="A157" s="519"/>
      <c r="B157" s="520"/>
      <c r="C157" s="511"/>
    </row>
    <row r="158" spans="1:3" x14ac:dyDescent="0.2">
      <c r="A158" s="519"/>
      <c r="B158" s="520"/>
      <c r="C158" s="511"/>
    </row>
    <row r="159" spans="1:3" x14ac:dyDescent="0.2">
      <c r="A159" s="519"/>
      <c r="B159" s="520"/>
      <c r="C159" s="511"/>
    </row>
    <row r="160" spans="1:3" x14ac:dyDescent="0.2">
      <c r="A160" s="519"/>
      <c r="B160" s="520"/>
      <c r="C160" s="511"/>
    </row>
    <row r="161" spans="1:3" x14ac:dyDescent="0.2">
      <c r="A161" s="519"/>
      <c r="B161" s="520"/>
      <c r="C161" s="511"/>
    </row>
    <row r="162" spans="1:3" x14ac:dyDescent="0.2">
      <c r="A162" s="519"/>
      <c r="B162" s="520"/>
      <c r="C162" s="511"/>
    </row>
    <row r="163" spans="1:3" x14ac:dyDescent="0.2">
      <c r="A163" s="519"/>
      <c r="B163" s="520"/>
      <c r="C163" s="511"/>
    </row>
    <row r="164" spans="1:3" x14ac:dyDescent="0.2">
      <c r="A164" s="519"/>
      <c r="B164" s="520"/>
      <c r="C164" s="511"/>
    </row>
    <row r="165" spans="1:3" x14ac:dyDescent="0.2">
      <c r="A165" s="519"/>
      <c r="B165" s="520"/>
      <c r="C165" s="511"/>
    </row>
    <row r="166" spans="1:3" x14ac:dyDescent="0.2">
      <c r="A166" s="519"/>
      <c r="B166" s="520"/>
      <c r="C166" s="511"/>
    </row>
    <row r="167" spans="1:3" x14ac:dyDescent="0.2">
      <c r="A167" s="519"/>
      <c r="B167" s="520"/>
      <c r="C167" s="511"/>
    </row>
    <row r="168" spans="1:3" x14ac:dyDescent="0.2">
      <c r="A168" s="519"/>
      <c r="B168" s="520"/>
      <c r="C168" s="511"/>
    </row>
    <row r="169" spans="1:3" x14ac:dyDescent="0.2">
      <c r="A169" s="519"/>
      <c r="B169" s="520"/>
      <c r="C169" s="511"/>
    </row>
    <row r="170" spans="1:3" x14ac:dyDescent="0.2">
      <c r="A170" s="519"/>
      <c r="B170" s="520"/>
      <c r="C170" s="511"/>
    </row>
    <row r="171" spans="1:3" x14ac:dyDescent="0.2">
      <c r="A171" s="519"/>
      <c r="B171" s="520"/>
      <c r="C171" s="511"/>
    </row>
    <row r="172" spans="1:3" x14ac:dyDescent="0.2">
      <c r="A172" s="519"/>
      <c r="B172" s="520"/>
      <c r="C172" s="511"/>
    </row>
    <row r="173" spans="1:3" x14ac:dyDescent="0.2">
      <c r="A173" s="519"/>
      <c r="B173" s="520"/>
      <c r="C173" s="511"/>
    </row>
    <row r="174" spans="1:3" x14ac:dyDescent="0.2">
      <c r="A174" s="519"/>
      <c r="B174" s="520"/>
      <c r="C174" s="511"/>
    </row>
    <row r="175" spans="1:3" x14ac:dyDescent="0.2">
      <c r="A175" s="519"/>
      <c r="B175" s="520"/>
      <c r="C175" s="511"/>
    </row>
    <row r="176" spans="1:3" x14ac:dyDescent="0.2">
      <c r="A176" s="519"/>
      <c r="B176" s="520"/>
      <c r="C176" s="511"/>
    </row>
    <row r="177" spans="1:3" x14ac:dyDescent="0.2">
      <c r="A177" s="519"/>
      <c r="B177" s="520"/>
      <c r="C177" s="511"/>
    </row>
    <row r="178" spans="1:3" x14ac:dyDescent="0.2">
      <c r="A178" s="519"/>
      <c r="B178" s="520"/>
      <c r="C178" s="511"/>
    </row>
    <row r="179" spans="1:3" x14ac:dyDescent="0.2">
      <c r="A179" s="519"/>
      <c r="B179" s="520"/>
      <c r="C179" s="511"/>
    </row>
    <row r="180" spans="1:3" x14ac:dyDescent="0.2">
      <c r="A180" s="519"/>
      <c r="B180" s="520"/>
      <c r="C180" s="511"/>
    </row>
    <row r="181" spans="1:3" x14ac:dyDescent="0.2">
      <c r="A181" s="519"/>
      <c r="B181" s="520"/>
      <c r="C181" s="511"/>
    </row>
    <row r="182" spans="1:3" x14ac:dyDescent="0.2">
      <c r="A182" s="519"/>
      <c r="B182" s="520"/>
      <c r="C182" s="511"/>
    </row>
    <row r="183" spans="1:3" x14ac:dyDescent="0.2">
      <c r="A183" s="519"/>
      <c r="B183" s="520"/>
      <c r="C183" s="511"/>
    </row>
    <row r="184" spans="1:3" x14ac:dyDescent="0.2">
      <c r="A184" s="519"/>
      <c r="B184" s="520"/>
      <c r="C184" s="511"/>
    </row>
    <row r="185" spans="1:3" x14ac:dyDescent="0.2">
      <c r="A185" s="519"/>
      <c r="B185" s="520"/>
      <c r="C185" s="511"/>
    </row>
    <row r="186" spans="1:3" x14ac:dyDescent="0.2">
      <c r="A186" s="519"/>
      <c r="B186" s="520"/>
      <c r="C186" s="511"/>
    </row>
    <row r="187" spans="1:3" x14ac:dyDescent="0.2">
      <c r="A187" s="519"/>
      <c r="B187" s="520"/>
      <c r="C187" s="511"/>
    </row>
    <row r="188" spans="1:3" x14ac:dyDescent="0.2">
      <c r="A188" s="519"/>
      <c r="B188" s="520"/>
      <c r="C188" s="511"/>
    </row>
    <row r="189" spans="1:3" x14ac:dyDescent="0.2">
      <c r="A189" s="519"/>
      <c r="B189" s="520"/>
      <c r="C189" s="511"/>
    </row>
    <row r="190" spans="1:3" x14ac:dyDescent="0.2">
      <c r="A190" s="519"/>
      <c r="B190" s="520"/>
      <c r="C190" s="511"/>
    </row>
    <row r="191" spans="1:3" x14ac:dyDescent="0.2">
      <c r="A191" s="519"/>
      <c r="B191" s="520"/>
      <c r="C191" s="511"/>
    </row>
    <row r="192" spans="1:3" x14ac:dyDescent="0.2">
      <c r="A192" s="519"/>
      <c r="B192" s="520"/>
      <c r="C192" s="511"/>
    </row>
    <row r="193" spans="1:3" x14ac:dyDescent="0.2">
      <c r="A193" s="519"/>
      <c r="B193" s="520"/>
      <c r="C193" s="511"/>
    </row>
    <row r="194" spans="1:3" x14ac:dyDescent="0.2">
      <c r="A194" s="519"/>
      <c r="B194" s="520"/>
      <c r="C194" s="511"/>
    </row>
    <row r="195" spans="1:3" x14ac:dyDescent="0.2">
      <c r="A195" s="519"/>
      <c r="B195" s="520"/>
      <c r="C195" s="511"/>
    </row>
    <row r="196" spans="1:3" x14ac:dyDescent="0.2">
      <c r="A196" s="519"/>
      <c r="B196" s="520"/>
      <c r="C196" s="511"/>
    </row>
    <row r="197" spans="1:3" x14ac:dyDescent="0.2">
      <c r="A197" s="519"/>
      <c r="B197" s="520"/>
      <c r="C197" s="511"/>
    </row>
    <row r="198" spans="1:3" x14ac:dyDescent="0.2">
      <c r="A198" s="519"/>
      <c r="B198" s="520"/>
      <c r="C198" s="511"/>
    </row>
    <row r="199" spans="1:3" x14ac:dyDescent="0.2">
      <c r="A199" s="519"/>
      <c r="B199" s="520"/>
      <c r="C199" s="511"/>
    </row>
    <row r="200" spans="1:3" x14ac:dyDescent="0.2">
      <c r="A200" s="519"/>
      <c r="B200" s="520"/>
      <c r="C200" s="511"/>
    </row>
    <row r="201" spans="1:3" x14ac:dyDescent="0.2">
      <c r="A201" s="519"/>
      <c r="B201" s="520"/>
      <c r="C201" s="511"/>
    </row>
    <row r="202" spans="1:3" x14ac:dyDescent="0.2">
      <c r="A202" s="519"/>
      <c r="B202" s="520"/>
      <c r="C202" s="511"/>
    </row>
    <row r="203" spans="1:3" x14ac:dyDescent="0.2">
      <c r="A203" s="519"/>
      <c r="B203" s="520"/>
      <c r="C203" s="511"/>
    </row>
    <row r="204" spans="1:3" x14ac:dyDescent="0.2">
      <c r="A204" s="519"/>
      <c r="B204" s="520"/>
      <c r="C204" s="511"/>
    </row>
    <row r="205" spans="1:3" x14ac:dyDescent="0.2">
      <c r="A205" s="519"/>
      <c r="B205" s="520"/>
      <c r="C205" s="511"/>
    </row>
    <row r="206" spans="1:3" x14ac:dyDescent="0.2">
      <c r="A206" s="519"/>
      <c r="B206" s="520"/>
      <c r="C206" s="511"/>
    </row>
    <row r="207" spans="1:3" x14ac:dyDescent="0.2">
      <c r="A207" s="519"/>
      <c r="B207" s="520"/>
      <c r="C207" s="511"/>
    </row>
    <row r="208" spans="1:3" x14ac:dyDescent="0.2">
      <c r="A208" s="519"/>
      <c r="B208" s="520"/>
      <c r="C208" s="511"/>
    </row>
    <row r="209" spans="1:3" x14ac:dyDescent="0.2">
      <c r="A209" s="519"/>
      <c r="B209" s="520"/>
      <c r="C209" s="511"/>
    </row>
    <row r="210" spans="1:3" x14ac:dyDescent="0.2">
      <c r="A210" s="519"/>
      <c r="B210" s="520"/>
      <c r="C210" s="511"/>
    </row>
    <row r="211" spans="1:3" x14ac:dyDescent="0.2">
      <c r="A211" s="519"/>
      <c r="B211" s="520"/>
      <c r="C211" s="511"/>
    </row>
    <row r="212" spans="1:3" x14ac:dyDescent="0.2">
      <c r="A212" s="519"/>
      <c r="B212" s="520"/>
      <c r="C212" s="511"/>
    </row>
    <row r="213" spans="1:3" x14ac:dyDescent="0.2">
      <c r="A213" s="519"/>
      <c r="B213" s="520"/>
      <c r="C213" s="511"/>
    </row>
    <row r="214" spans="1:3" x14ac:dyDescent="0.2">
      <c r="A214" s="519"/>
      <c r="B214" s="520"/>
      <c r="C214" s="511"/>
    </row>
    <row r="215" spans="1:3" x14ac:dyDescent="0.2">
      <c r="A215" s="519"/>
      <c r="B215" s="520"/>
      <c r="C215" s="511"/>
    </row>
    <row r="216" spans="1:3" x14ac:dyDescent="0.2">
      <c r="A216" s="519"/>
      <c r="B216" s="520"/>
      <c r="C216" s="511"/>
    </row>
    <row r="217" spans="1:3" x14ac:dyDescent="0.2">
      <c r="A217" s="519"/>
      <c r="B217" s="520"/>
      <c r="C217" s="511"/>
    </row>
    <row r="218" spans="1:3" x14ac:dyDescent="0.2">
      <c r="A218" s="519"/>
      <c r="B218" s="520"/>
      <c r="C218" s="511"/>
    </row>
    <row r="219" spans="1:3" x14ac:dyDescent="0.2">
      <c r="A219" s="519"/>
      <c r="B219" s="520"/>
      <c r="C219" s="511"/>
    </row>
    <row r="220" spans="1:3" x14ac:dyDescent="0.2">
      <c r="A220" s="519"/>
      <c r="B220" s="520"/>
      <c r="C220" s="511"/>
    </row>
    <row r="221" spans="1:3" x14ac:dyDescent="0.2">
      <c r="A221" s="519"/>
      <c r="B221" s="520"/>
      <c r="C221" s="511"/>
    </row>
    <row r="222" spans="1:3" x14ac:dyDescent="0.2">
      <c r="A222" s="519"/>
      <c r="B222" s="520"/>
      <c r="C222" s="511"/>
    </row>
    <row r="223" spans="1:3" x14ac:dyDescent="0.2">
      <c r="A223" s="519"/>
      <c r="B223" s="520"/>
      <c r="C223" s="511"/>
    </row>
    <row r="224" spans="1:3" x14ac:dyDescent="0.2">
      <c r="A224" s="519"/>
      <c r="B224" s="520"/>
      <c r="C224" s="511"/>
    </row>
    <row r="225" spans="1:3" x14ac:dyDescent="0.2">
      <c r="A225" s="519"/>
      <c r="B225" s="520"/>
      <c r="C225" s="511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4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37567</v>
      </c>
      <c r="C6" s="11">
        <v>26995</v>
      </c>
      <c r="D6" s="25">
        <f>+C6-B6</f>
        <v>-10572</v>
      </c>
    </row>
    <row r="7" spans="1:4" x14ac:dyDescent="0.2">
      <c r="A7" s="10">
        <v>2</v>
      </c>
      <c r="B7" s="11">
        <v>36858</v>
      </c>
      <c r="C7" s="11">
        <v>33994</v>
      </c>
      <c r="D7" s="25">
        <f t="shared" ref="D7:D36" si="0">+C7-B7</f>
        <v>-2864</v>
      </c>
    </row>
    <row r="8" spans="1:4" x14ac:dyDescent="0.2">
      <c r="A8" s="10">
        <v>3</v>
      </c>
      <c r="B8" s="11">
        <v>30888</v>
      </c>
      <c r="C8" s="11">
        <v>33652</v>
      </c>
      <c r="D8" s="25">
        <f t="shared" si="0"/>
        <v>2764</v>
      </c>
    </row>
    <row r="9" spans="1:4" x14ac:dyDescent="0.2">
      <c r="A9" s="10">
        <v>4</v>
      </c>
      <c r="B9" s="11">
        <v>32049</v>
      </c>
      <c r="C9" s="11">
        <v>34000</v>
      </c>
      <c r="D9" s="25">
        <f t="shared" si="0"/>
        <v>1951</v>
      </c>
    </row>
    <row r="10" spans="1:4" x14ac:dyDescent="0.2">
      <c r="A10" s="10">
        <v>5</v>
      </c>
      <c r="B10" s="11">
        <v>32187</v>
      </c>
      <c r="C10" s="11">
        <v>34000</v>
      </c>
      <c r="D10" s="25">
        <f t="shared" si="0"/>
        <v>1813</v>
      </c>
    </row>
    <row r="11" spans="1:4" x14ac:dyDescent="0.2">
      <c r="A11" s="10">
        <v>6</v>
      </c>
      <c r="B11" s="129">
        <v>34233</v>
      </c>
      <c r="C11" s="11">
        <v>34000</v>
      </c>
      <c r="D11" s="25">
        <f t="shared" si="0"/>
        <v>-233</v>
      </c>
    </row>
    <row r="12" spans="1:4" x14ac:dyDescent="0.2">
      <c r="A12" s="10">
        <v>7</v>
      </c>
      <c r="B12" s="129">
        <v>34862</v>
      </c>
      <c r="C12" s="11">
        <v>34000</v>
      </c>
      <c r="D12" s="25">
        <f t="shared" si="0"/>
        <v>-862</v>
      </c>
    </row>
    <row r="13" spans="1:4" x14ac:dyDescent="0.2">
      <c r="A13" s="10">
        <v>8</v>
      </c>
      <c r="B13" s="129"/>
      <c r="C13" s="11"/>
      <c r="D13" s="25">
        <f t="shared" si="0"/>
        <v>0</v>
      </c>
    </row>
    <row r="14" spans="1:4" x14ac:dyDescent="0.2">
      <c r="A14" s="10">
        <v>9</v>
      </c>
      <c r="B14" s="129"/>
      <c r="C14" s="11"/>
      <c r="D14" s="25">
        <f t="shared" si="0"/>
        <v>0</v>
      </c>
    </row>
    <row r="15" spans="1:4" x14ac:dyDescent="0.2">
      <c r="A15" s="10">
        <v>10</v>
      </c>
      <c r="B15" s="129"/>
      <c r="C15" s="11"/>
      <c r="D15" s="25">
        <f t="shared" si="0"/>
        <v>0</v>
      </c>
    </row>
    <row r="16" spans="1:4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238644</v>
      </c>
      <c r="C37" s="11">
        <f>SUM(C6:C36)</f>
        <v>230641</v>
      </c>
      <c r="D37" s="25">
        <f>SUM(D6:D36)</f>
        <v>-8003</v>
      </c>
    </row>
    <row r="38" spans="1:4" x14ac:dyDescent="0.2">
      <c r="A38" s="26"/>
      <c r="C38" s="14"/>
      <c r="D38" s="341">
        <f>+summary!H5</f>
        <v>1.75</v>
      </c>
    </row>
    <row r="39" spans="1:4" x14ac:dyDescent="0.2">
      <c r="D39" s="138">
        <f>+D38*D37</f>
        <v>-14005.25</v>
      </c>
    </row>
    <row r="40" spans="1:4" x14ac:dyDescent="0.2">
      <c r="A40" s="57">
        <v>37164</v>
      </c>
      <c r="C40" s="15"/>
      <c r="D40" s="487">
        <v>-43287</v>
      </c>
    </row>
    <row r="41" spans="1:4" x14ac:dyDescent="0.2">
      <c r="A41" s="57">
        <v>37171</v>
      </c>
      <c r="C41" s="48"/>
      <c r="D41" s="138">
        <f>+D40+D39</f>
        <v>-57292.25</v>
      </c>
    </row>
    <row r="44" spans="1:4" x14ac:dyDescent="0.2">
      <c r="A44" s="32" t="s">
        <v>153</v>
      </c>
      <c r="B44" s="32"/>
      <c r="C44" s="32"/>
      <c r="D44" s="32"/>
    </row>
    <row r="45" spans="1:4" x14ac:dyDescent="0.2">
      <c r="A45" s="49">
        <f>+A40</f>
        <v>37164</v>
      </c>
      <c r="B45" s="32"/>
      <c r="C45" s="32"/>
      <c r="D45" s="488">
        <v>-5073</v>
      </c>
    </row>
    <row r="46" spans="1:4" x14ac:dyDescent="0.2">
      <c r="A46" s="49">
        <f>+A41</f>
        <v>37171</v>
      </c>
      <c r="B46" s="32"/>
      <c r="C46" s="32"/>
      <c r="D46" s="371">
        <f>+D37</f>
        <v>-8003</v>
      </c>
    </row>
    <row r="47" spans="1:4" x14ac:dyDescent="0.2">
      <c r="A47" s="32"/>
      <c r="B47" s="32"/>
      <c r="C47" s="32"/>
      <c r="D47" s="14">
        <f>+D46+D45</f>
        <v>-13076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workbookViewId="3">
      <selection activeCell="C13" sqref="C13"/>
    </sheetView>
  </sheetViews>
  <sheetFormatPr defaultRowHeight="12.75" x14ac:dyDescent="0.2"/>
  <sheetData>
    <row r="3" spans="1:4" ht="15" x14ac:dyDescent="0.25">
      <c r="A3" s="134"/>
      <c r="B3" s="34" t="s">
        <v>134</v>
      </c>
    </row>
    <row r="4" spans="1:4" x14ac:dyDescent="0.2">
      <c r="A4" s="3"/>
      <c r="B4" s="59" t="s">
        <v>135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56700</v>
      </c>
      <c r="C6" s="11">
        <v>56672</v>
      </c>
      <c r="D6" s="25">
        <f>+C6-B6</f>
        <v>-28</v>
      </c>
    </row>
    <row r="7" spans="1:4" x14ac:dyDescent="0.2">
      <c r="A7" s="10">
        <v>2</v>
      </c>
      <c r="B7" s="129">
        <v>63202</v>
      </c>
      <c r="C7" s="11">
        <v>63276</v>
      </c>
      <c r="D7" s="25">
        <f t="shared" ref="D7:D36" si="0">+C7-B7</f>
        <v>74</v>
      </c>
    </row>
    <row r="8" spans="1:4" x14ac:dyDescent="0.2">
      <c r="A8" s="10">
        <v>3</v>
      </c>
      <c r="B8" s="11">
        <v>58153</v>
      </c>
      <c r="C8" s="11">
        <v>58516</v>
      </c>
      <c r="D8" s="25">
        <f t="shared" si="0"/>
        <v>363</v>
      </c>
    </row>
    <row r="9" spans="1:4" x14ac:dyDescent="0.2">
      <c r="A9" s="10">
        <v>4</v>
      </c>
      <c r="B9" s="11">
        <v>54653</v>
      </c>
      <c r="C9" s="11">
        <v>54653</v>
      </c>
      <c r="D9" s="25">
        <f t="shared" si="0"/>
        <v>0</v>
      </c>
    </row>
    <row r="10" spans="1:4" x14ac:dyDescent="0.2">
      <c r="A10" s="10">
        <v>5</v>
      </c>
      <c r="B10" s="11">
        <v>54545</v>
      </c>
      <c r="C10" s="11">
        <v>54088</v>
      </c>
      <c r="D10" s="25">
        <f t="shared" si="0"/>
        <v>-457</v>
      </c>
    </row>
    <row r="11" spans="1:4" x14ac:dyDescent="0.2">
      <c r="A11" s="10">
        <v>6</v>
      </c>
      <c r="B11" s="11">
        <v>58729</v>
      </c>
      <c r="C11" s="11">
        <v>59030</v>
      </c>
      <c r="D11" s="25">
        <f t="shared" si="0"/>
        <v>301</v>
      </c>
    </row>
    <row r="12" spans="1:4" x14ac:dyDescent="0.2">
      <c r="A12" s="10">
        <v>7</v>
      </c>
      <c r="B12" s="11">
        <v>59209</v>
      </c>
      <c r="C12" s="11">
        <v>60374</v>
      </c>
      <c r="D12" s="25">
        <f t="shared" si="0"/>
        <v>1165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405191</v>
      </c>
      <c r="C37" s="11">
        <f>SUM(C6:C36)</f>
        <v>406609</v>
      </c>
      <c r="D37" s="25">
        <f>SUM(D6:D36)</f>
        <v>1418</v>
      </c>
    </row>
    <row r="38" spans="1:4" x14ac:dyDescent="0.2">
      <c r="A38" s="26"/>
      <c r="C38" s="14"/>
      <c r="D38" s="341">
        <f>+summary!H5</f>
        <v>1.75</v>
      </c>
    </row>
    <row r="39" spans="1:4" x14ac:dyDescent="0.2">
      <c r="D39" s="138">
        <f>+D38*D37</f>
        <v>2481.5</v>
      </c>
    </row>
    <row r="40" spans="1:4" x14ac:dyDescent="0.2">
      <c r="A40" s="57">
        <v>37164</v>
      </c>
      <c r="C40" s="15"/>
      <c r="D40" s="482">
        <v>7185</v>
      </c>
    </row>
    <row r="41" spans="1:4" x14ac:dyDescent="0.2">
      <c r="A41" s="57">
        <v>37171</v>
      </c>
      <c r="C41" s="48"/>
      <c r="D41" s="138">
        <f>+D40+D39</f>
        <v>9666.5</v>
      </c>
    </row>
    <row r="45" spans="1:4" x14ac:dyDescent="0.2">
      <c r="A45" s="32" t="s">
        <v>153</v>
      </c>
      <c r="B45" s="32"/>
      <c r="C45" s="32"/>
      <c r="D45" s="32"/>
    </row>
    <row r="46" spans="1:4" x14ac:dyDescent="0.2">
      <c r="A46" s="49">
        <f>+A40</f>
        <v>37164</v>
      </c>
      <c r="B46" s="32"/>
      <c r="C46" s="32"/>
      <c r="D46" s="468">
        <v>1289</v>
      </c>
    </row>
    <row r="47" spans="1:4" x14ac:dyDescent="0.2">
      <c r="A47" s="49">
        <f>+A41</f>
        <v>37171</v>
      </c>
      <c r="B47" s="32"/>
      <c r="C47" s="32"/>
      <c r="D47" s="371">
        <f>+D37</f>
        <v>1418</v>
      </c>
    </row>
    <row r="48" spans="1:4" x14ac:dyDescent="0.2">
      <c r="A48" s="32"/>
      <c r="B48" s="32"/>
      <c r="C48" s="32"/>
      <c r="D48" s="14">
        <f>+D47+D46</f>
        <v>2707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workbookViewId="3">
      <selection activeCell="C12" sqref="C1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136</v>
      </c>
      <c r="C3" s="87"/>
      <c r="D3" s="87"/>
      <c r="E3" s="87"/>
    </row>
    <row r="4" spans="1:13" x14ac:dyDescent="0.2">
      <c r="A4" s="3"/>
      <c r="B4" s="343" t="s">
        <v>137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/>
      <c r="C6" s="11">
        <v>-2139</v>
      </c>
      <c r="D6" s="25">
        <f>+C6-B6</f>
        <v>-2139</v>
      </c>
    </row>
    <row r="7" spans="1:13" x14ac:dyDescent="0.2">
      <c r="A7" s="10">
        <v>2</v>
      </c>
      <c r="B7" s="11"/>
      <c r="C7" s="11">
        <v>-2139</v>
      </c>
      <c r="D7" s="25">
        <f t="shared" ref="D7:D36" si="0">+C7-B7</f>
        <v>-2139</v>
      </c>
    </row>
    <row r="8" spans="1:13" x14ac:dyDescent="0.2">
      <c r="A8" s="10">
        <v>3</v>
      </c>
      <c r="B8" s="11"/>
      <c r="C8" s="11">
        <v>-2139</v>
      </c>
      <c r="D8" s="25">
        <f t="shared" si="0"/>
        <v>-2139</v>
      </c>
    </row>
    <row r="9" spans="1:13" x14ac:dyDescent="0.2">
      <c r="A9" s="10">
        <v>4</v>
      </c>
      <c r="B9" s="11"/>
      <c r="C9" s="11">
        <v>-2139</v>
      </c>
      <c r="D9" s="25">
        <f t="shared" si="0"/>
        <v>-2139</v>
      </c>
    </row>
    <row r="10" spans="1:13" x14ac:dyDescent="0.2">
      <c r="A10" s="10">
        <v>5</v>
      </c>
      <c r="B10" s="11"/>
      <c r="C10" s="11">
        <v>-2139</v>
      </c>
      <c r="D10" s="25">
        <f t="shared" si="0"/>
        <v>-2139</v>
      </c>
    </row>
    <row r="11" spans="1:13" x14ac:dyDescent="0.2">
      <c r="A11" s="10">
        <v>6</v>
      </c>
      <c r="B11" s="11"/>
      <c r="C11" s="11">
        <v>-2139</v>
      </c>
      <c r="D11" s="25">
        <f t="shared" si="0"/>
        <v>-2139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42" t="s">
        <v>183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40</v>
      </c>
      <c r="I14" s="443" t="s">
        <v>20</v>
      </c>
      <c r="J14" s="443" t="s">
        <v>21</v>
      </c>
      <c r="K14" s="444" t="s">
        <v>50</v>
      </c>
      <c r="L14" s="442" t="s">
        <v>16</v>
      </c>
      <c r="M14" s="189" t="s">
        <v>28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42">
        <v>8.2100000000000009</v>
      </c>
      <c r="M16" s="447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42">
        <v>5.62</v>
      </c>
      <c r="M17" s="447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42">
        <v>4.9800000000000004</v>
      </c>
      <c r="M18" s="447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42">
        <v>4.87</v>
      </c>
      <c r="M19" s="447">
        <f t="shared" si="2"/>
        <v>63012.93</v>
      </c>
      <c r="O19" s="265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42">
        <v>3.82</v>
      </c>
      <c r="M20" s="447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42">
        <v>3.2</v>
      </c>
      <c r="M21" s="447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42">
        <v>2.77</v>
      </c>
      <c r="M22" s="448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45"/>
      <c r="M23" s="446">
        <f>SUM(M16:M22)</f>
        <v>-353837.81000000006</v>
      </c>
      <c r="O23" s="265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-12834</v>
      </c>
      <c r="D37" s="25">
        <f>SUM(D6:D36)</f>
        <v>-12834</v>
      </c>
    </row>
    <row r="38" spans="1:4" x14ac:dyDescent="0.2">
      <c r="A38" s="26"/>
      <c r="C38" s="14"/>
      <c r="D38" s="341">
        <f>+summary!H4</f>
        <v>1.7</v>
      </c>
    </row>
    <row r="39" spans="1:4" x14ac:dyDescent="0.2">
      <c r="D39" s="138">
        <f>+D38*D37</f>
        <v>-21817.8</v>
      </c>
    </row>
    <row r="40" spans="1:4" x14ac:dyDescent="0.2">
      <c r="A40" s="57">
        <v>37164</v>
      </c>
      <c r="C40" s="15"/>
      <c r="D40" s="474">
        <v>-448576</v>
      </c>
    </row>
    <row r="41" spans="1:4" x14ac:dyDescent="0.2">
      <c r="A41" s="57">
        <v>37170</v>
      </c>
      <c r="C41" s="48"/>
      <c r="D41" s="138">
        <f>+D40+D39</f>
        <v>-470393.8</v>
      </c>
    </row>
    <row r="47" spans="1:4" x14ac:dyDescent="0.2">
      <c r="A47" s="32" t="s">
        <v>153</v>
      </c>
      <c r="B47" s="32"/>
      <c r="C47" s="32"/>
      <c r="D47" s="32"/>
    </row>
    <row r="48" spans="1:4" x14ac:dyDescent="0.2">
      <c r="A48" s="49">
        <f>+A40</f>
        <v>37164</v>
      </c>
      <c r="B48" s="32"/>
      <c r="C48" s="32"/>
      <c r="D48" s="468">
        <v>-92166</v>
      </c>
    </row>
    <row r="49" spans="1:4" x14ac:dyDescent="0.2">
      <c r="A49" s="49">
        <f>+A41</f>
        <v>37170</v>
      </c>
      <c r="B49" s="32"/>
      <c r="C49" s="32"/>
      <c r="D49" s="371">
        <f>+D37</f>
        <v>-12834</v>
      </c>
    </row>
    <row r="50" spans="1:4" x14ac:dyDescent="0.2">
      <c r="A50" s="32"/>
      <c r="B50" s="32"/>
      <c r="C50" s="32"/>
      <c r="D50" s="14">
        <f>+D49+D48</f>
        <v>-105000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142</v>
      </c>
      <c r="C3" s="87"/>
      <c r="D3" s="87"/>
    </row>
    <row r="4" spans="1:4" x14ac:dyDescent="0.2">
      <c r="A4" s="3"/>
      <c r="B4" s="343" t="s">
        <v>139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-93082</v>
      </c>
      <c r="C6" s="11">
        <v>-90000</v>
      </c>
      <c r="D6" s="25">
        <f>+C6-B6</f>
        <v>3082</v>
      </c>
    </row>
    <row r="7" spans="1:4" x14ac:dyDescent="0.2">
      <c r="A7" s="10">
        <v>2</v>
      </c>
      <c r="B7" s="11">
        <v>-73789</v>
      </c>
      <c r="C7" s="11">
        <v>-56575</v>
      </c>
      <c r="D7" s="25">
        <f t="shared" ref="D7:D36" si="0">+C7-B7</f>
        <v>17214</v>
      </c>
    </row>
    <row r="8" spans="1:4" x14ac:dyDescent="0.2">
      <c r="A8" s="10">
        <v>3</v>
      </c>
      <c r="B8" s="129">
        <v>-67333</v>
      </c>
      <c r="C8" s="11">
        <v>-74975</v>
      </c>
      <c r="D8" s="25">
        <f t="shared" si="0"/>
        <v>-7642</v>
      </c>
    </row>
    <row r="9" spans="1:4" x14ac:dyDescent="0.2">
      <c r="A9" s="10">
        <v>4</v>
      </c>
      <c r="B9" s="129">
        <v>-76511</v>
      </c>
      <c r="C9" s="11">
        <v>-80000</v>
      </c>
      <c r="D9" s="25">
        <f t="shared" si="0"/>
        <v>-3489</v>
      </c>
    </row>
    <row r="10" spans="1:4" x14ac:dyDescent="0.2">
      <c r="A10" s="10">
        <v>5</v>
      </c>
      <c r="B10" s="129">
        <v>-79371</v>
      </c>
      <c r="C10" s="11">
        <v>-70000</v>
      </c>
      <c r="D10" s="25">
        <f t="shared" si="0"/>
        <v>9371</v>
      </c>
    </row>
    <row r="11" spans="1:4" x14ac:dyDescent="0.2">
      <c r="A11" s="10">
        <v>6</v>
      </c>
      <c r="B11" s="129">
        <v>-82768</v>
      </c>
      <c r="C11" s="11">
        <v>-79999</v>
      </c>
      <c r="D11" s="25">
        <f t="shared" si="0"/>
        <v>2769</v>
      </c>
    </row>
    <row r="12" spans="1:4" x14ac:dyDescent="0.2">
      <c r="A12" s="10">
        <v>7</v>
      </c>
      <c r="B12" s="129">
        <v>-78642</v>
      </c>
      <c r="C12" s="11">
        <v>-69936</v>
      </c>
      <c r="D12" s="25">
        <f t="shared" si="0"/>
        <v>8706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-551496</v>
      </c>
      <c r="C37" s="11">
        <f>SUM(C6:C36)</f>
        <v>-521485</v>
      </c>
      <c r="D37" s="25">
        <f>SUM(D6:D36)</f>
        <v>30011</v>
      </c>
    </row>
    <row r="38" spans="1:4" x14ac:dyDescent="0.2">
      <c r="A38" s="26"/>
      <c r="C38" s="14"/>
      <c r="D38" s="341">
        <f>+summary!H4</f>
        <v>1.7</v>
      </c>
    </row>
    <row r="39" spans="1:4" x14ac:dyDescent="0.2">
      <c r="D39" s="138">
        <f>+D38*D37</f>
        <v>51018.7</v>
      </c>
    </row>
    <row r="40" spans="1:4" x14ac:dyDescent="0.2">
      <c r="A40" s="57">
        <v>37164</v>
      </c>
      <c r="C40" s="15"/>
      <c r="D40" s="355">
        <v>-37850</v>
      </c>
    </row>
    <row r="41" spans="1:4" x14ac:dyDescent="0.2">
      <c r="A41" s="57">
        <v>37171</v>
      </c>
      <c r="C41" s="48"/>
      <c r="D41" s="138">
        <f>+D40+D39</f>
        <v>13168.699999999997</v>
      </c>
    </row>
    <row r="42" spans="1:4" x14ac:dyDescent="0.2">
      <c r="D42" s="24"/>
    </row>
    <row r="45" spans="1:4" x14ac:dyDescent="0.2">
      <c r="A45" s="32" t="s">
        <v>153</v>
      </c>
      <c r="B45" s="32"/>
      <c r="C45" s="32"/>
      <c r="D45" s="32"/>
    </row>
    <row r="46" spans="1:4" x14ac:dyDescent="0.2">
      <c r="A46" s="49">
        <f>+A40</f>
        <v>37164</v>
      </c>
      <c r="B46" s="32"/>
      <c r="C46" s="32"/>
      <c r="D46" s="212">
        <v>-13974</v>
      </c>
    </row>
    <row r="47" spans="1:4" x14ac:dyDescent="0.2">
      <c r="A47" s="49">
        <f>+A41</f>
        <v>37171</v>
      </c>
      <c r="B47" s="32"/>
      <c r="C47" s="32"/>
      <c r="D47" s="371">
        <f>+D37</f>
        <v>30011</v>
      </c>
    </row>
    <row r="48" spans="1:4" x14ac:dyDescent="0.2">
      <c r="A48" s="32"/>
      <c r="B48" s="32"/>
      <c r="C48" s="32"/>
      <c r="D48" s="14">
        <f>+D47+D46</f>
        <v>16037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138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56659</v>
      </c>
      <c r="B5" s="338">
        <f>-5566-1103</f>
        <v>-6669</v>
      </c>
      <c r="C5" s="90">
        <v>-756</v>
      </c>
      <c r="D5" s="90">
        <f>+C5-B5</f>
        <v>5913</v>
      </c>
      <c r="E5" s="283"/>
      <c r="F5" s="281"/>
    </row>
    <row r="6" spans="1:13" x14ac:dyDescent="0.2">
      <c r="A6" s="87">
        <v>500046</v>
      </c>
      <c r="B6" s="90">
        <v>-34</v>
      </c>
      <c r="C6" s="90"/>
      <c r="D6" s="90">
        <f t="shared" ref="D6:D11" si="0">+C6-B6</f>
        <v>34</v>
      </c>
      <c r="E6" s="283"/>
      <c r="F6" s="281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3"/>
      <c r="F7" s="281"/>
      <c r="L7" t="s">
        <v>26</v>
      </c>
      <c r="M7">
        <v>7.6</v>
      </c>
    </row>
    <row r="8" spans="1:13" x14ac:dyDescent="0.2">
      <c r="A8" s="87">
        <v>500134</v>
      </c>
      <c r="B8" s="92">
        <f>-124-32</f>
        <v>-156</v>
      </c>
      <c r="C8" s="90"/>
      <c r="D8" s="90">
        <f t="shared" si="0"/>
        <v>156</v>
      </c>
      <c r="E8" s="283"/>
      <c r="F8" s="281"/>
    </row>
    <row r="9" spans="1:13" x14ac:dyDescent="0.2">
      <c r="A9" s="87">
        <v>500528</v>
      </c>
      <c r="B9" s="92"/>
      <c r="C9" s="90"/>
      <c r="D9" s="90">
        <f t="shared" si="0"/>
        <v>0</v>
      </c>
      <c r="E9" s="283"/>
      <c r="F9" s="281"/>
    </row>
    <row r="10" spans="1:13" x14ac:dyDescent="0.2">
      <c r="A10" s="87">
        <v>500529</v>
      </c>
      <c r="B10" s="90"/>
      <c r="C10" s="317"/>
      <c r="D10" s="90">
        <f t="shared" si="0"/>
        <v>0</v>
      </c>
      <c r="E10" s="283"/>
      <c r="F10" s="281"/>
    </row>
    <row r="11" spans="1:13" x14ac:dyDescent="0.2">
      <c r="A11" s="87">
        <v>500619</v>
      </c>
      <c r="B11" s="317"/>
      <c r="C11" s="90"/>
      <c r="D11" s="350">
        <f t="shared" si="0"/>
        <v>0</v>
      </c>
      <c r="E11" s="283"/>
      <c r="F11" s="281"/>
    </row>
    <row r="12" spans="1:13" x14ac:dyDescent="0.2">
      <c r="A12" s="87"/>
      <c r="B12" s="88"/>
      <c r="C12" s="88"/>
      <c r="D12" s="88">
        <f>SUM(D5:D11)</f>
        <v>6103</v>
      </c>
      <c r="E12" s="283"/>
      <c r="F12" s="281"/>
    </row>
    <row r="13" spans="1:13" x14ac:dyDescent="0.2">
      <c r="A13" s="87" t="s">
        <v>82</v>
      </c>
      <c r="B13" s="88"/>
      <c r="C13" s="88"/>
      <c r="D13" s="95">
        <f>+summary!H4</f>
        <v>1.7</v>
      </c>
      <c r="E13" s="285"/>
      <c r="F13" s="281"/>
    </row>
    <row r="14" spans="1:13" x14ac:dyDescent="0.2">
      <c r="A14" s="87"/>
      <c r="B14" s="88"/>
      <c r="C14" s="88"/>
      <c r="D14" s="96">
        <f>+D13*D12</f>
        <v>10375.1</v>
      </c>
      <c r="E14" s="209"/>
      <c r="F14" s="282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37164</v>
      </c>
      <c r="B16" s="88"/>
      <c r="C16" s="88"/>
      <c r="D16" s="432">
        <v>-590788.21</v>
      </c>
      <c r="E16" s="209"/>
      <c r="F16" s="66"/>
    </row>
    <row r="17" spans="1:7" x14ac:dyDescent="0.2">
      <c r="A17" s="87"/>
      <c r="B17" s="88"/>
      <c r="C17" s="88"/>
      <c r="D17" s="320"/>
      <c r="E17" s="209"/>
      <c r="F17" s="66"/>
    </row>
    <row r="18" spans="1:7" ht="13.5" thickBot="1" x14ac:dyDescent="0.25">
      <c r="A18" s="99">
        <v>37170</v>
      </c>
      <c r="B18" s="88"/>
      <c r="C18" s="88"/>
      <c r="D18" s="332">
        <f>+D16+D14</f>
        <v>-580413.11</v>
      </c>
      <c r="E18" s="209"/>
      <c r="F18" s="66"/>
    </row>
    <row r="19" spans="1:7" ht="13.5" thickTop="1" x14ac:dyDescent="0.2">
      <c r="E19" s="286"/>
    </row>
    <row r="21" spans="1:7" x14ac:dyDescent="0.2">
      <c r="A21" s="32" t="s">
        <v>153</v>
      </c>
      <c r="B21" s="32"/>
      <c r="C21" s="32"/>
      <c r="D21" s="32"/>
    </row>
    <row r="22" spans="1:7" x14ac:dyDescent="0.2">
      <c r="A22" s="49">
        <f>+A16</f>
        <v>37164</v>
      </c>
      <c r="B22" s="32"/>
      <c r="C22" s="32"/>
      <c r="D22" s="212">
        <v>-63344</v>
      </c>
    </row>
    <row r="23" spans="1:7" x14ac:dyDescent="0.2">
      <c r="A23" s="49">
        <f>+A18</f>
        <v>37170</v>
      </c>
      <c r="B23" s="32"/>
      <c r="C23" s="32"/>
      <c r="D23" s="371">
        <f>+D12</f>
        <v>6103</v>
      </c>
    </row>
    <row r="24" spans="1:7" x14ac:dyDescent="0.2">
      <c r="A24" s="32"/>
      <c r="B24" s="32"/>
      <c r="C24" s="32"/>
      <c r="D24" s="14">
        <f>+D23+D22</f>
        <v>-57241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4" workbookViewId="3">
      <selection activeCell="C40" sqref="C40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-9355</v>
      </c>
      <c r="C6" s="11">
        <v>-6760</v>
      </c>
      <c r="D6" s="25">
        <f>+C6-B6</f>
        <v>2595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>
        <v>-25717</v>
      </c>
      <c r="C8" s="11">
        <v>-26918</v>
      </c>
      <c r="D8" s="25">
        <f t="shared" si="0"/>
        <v>-1201</v>
      </c>
    </row>
    <row r="9" spans="1:4" x14ac:dyDescent="0.2">
      <c r="A9" s="10">
        <v>4</v>
      </c>
      <c r="B9" s="11">
        <v>-4213</v>
      </c>
      <c r="C9" s="11">
        <v>-3841</v>
      </c>
      <c r="D9" s="25">
        <f t="shared" si="0"/>
        <v>372</v>
      </c>
    </row>
    <row r="10" spans="1:4" x14ac:dyDescent="0.2">
      <c r="A10" s="10">
        <v>5</v>
      </c>
      <c r="B10" s="11">
        <v>-5195</v>
      </c>
      <c r="C10" s="11">
        <v>-6864</v>
      </c>
      <c r="D10" s="25">
        <f t="shared" si="0"/>
        <v>-1669</v>
      </c>
    </row>
    <row r="11" spans="1:4" x14ac:dyDescent="0.2">
      <c r="A11" s="10">
        <v>6</v>
      </c>
      <c r="B11" s="11">
        <v>-26540</v>
      </c>
      <c r="C11" s="11">
        <v>-16843</v>
      </c>
      <c r="D11" s="25">
        <f t="shared" si="0"/>
        <v>9697</v>
      </c>
    </row>
    <row r="12" spans="1:4" x14ac:dyDescent="0.2">
      <c r="A12" s="10">
        <v>7</v>
      </c>
      <c r="B12" s="11">
        <v>-31632</v>
      </c>
      <c r="C12" s="11">
        <v>-16843</v>
      </c>
      <c r="D12" s="25">
        <f t="shared" si="0"/>
        <v>14789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-102652</v>
      </c>
      <c r="C37" s="11">
        <f>SUM(C6:C36)</f>
        <v>-78069</v>
      </c>
      <c r="D37" s="25">
        <f>SUM(D6:D36)</f>
        <v>24583</v>
      </c>
    </row>
    <row r="38" spans="1:4" x14ac:dyDescent="0.2">
      <c r="A38" s="26"/>
      <c r="C38" s="14"/>
      <c r="D38" s="356"/>
    </row>
    <row r="39" spans="1:4" x14ac:dyDescent="0.2">
      <c r="D39" s="138"/>
    </row>
    <row r="40" spans="1:4" x14ac:dyDescent="0.2">
      <c r="A40" s="57">
        <v>37164</v>
      </c>
      <c r="C40" s="15"/>
      <c r="D40" s="459">
        <v>-21514</v>
      </c>
    </row>
    <row r="41" spans="1:4" x14ac:dyDescent="0.2">
      <c r="A41" s="57">
        <v>37171</v>
      </c>
      <c r="C41" s="48"/>
      <c r="D41" s="25">
        <f>+D40+D37</f>
        <v>3069</v>
      </c>
    </row>
    <row r="44" spans="1:4" x14ac:dyDescent="0.2">
      <c r="A44" s="32" t="s">
        <v>154</v>
      </c>
      <c r="B44" s="32"/>
      <c r="C44" s="32"/>
      <c r="D44" s="47"/>
    </row>
    <row r="45" spans="1:4" x14ac:dyDescent="0.2">
      <c r="A45" s="49">
        <f>+A40</f>
        <v>37164</v>
      </c>
      <c r="B45" s="32"/>
      <c r="C45" s="32"/>
      <c r="D45" s="460">
        <v>-132953</v>
      </c>
    </row>
    <row r="46" spans="1:4" x14ac:dyDescent="0.2">
      <c r="A46" s="49">
        <f>+A41</f>
        <v>37171</v>
      </c>
      <c r="B46" s="32"/>
      <c r="C46" s="32"/>
      <c r="D46" s="400">
        <f>+D37*'by type_area'!J4</f>
        <v>41791.1</v>
      </c>
    </row>
    <row r="47" spans="1:4" x14ac:dyDescent="0.2">
      <c r="A47" s="32"/>
      <c r="B47" s="32"/>
      <c r="C47" s="32"/>
      <c r="D47" s="202">
        <f>+D46+D45</f>
        <v>-91161.9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155024</v>
      </c>
      <c r="C7" s="11">
        <v>154803</v>
      </c>
      <c r="D7" s="25">
        <f>+C7-B7</f>
        <v>-221</v>
      </c>
    </row>
    <row r="8" spans="1:4" x14ac:dyDescent="0.2">
      <c r="A8" s="10">
        <v>2</v>
      </c>
      <c r="B8" s="11">
        <v>155038</v>
      </c>
      <c r="C8" s="11">
        <v>155701</v>
      </c>
      <c r="D8" s="25">
        <f>+C8-B8</f>
        <v>663</v>
      </c>
    </row>
    <row r="9" spans="1:4" x14ac:dyDescent="0.2">
      <c r="A9" s="10">
        <v>3</v>
      </c>
      <c r="B9" s="11">
        <v>154753</v>
      </c>
      <c r="C9" s="11">
        <v>155695</v>
      </c>
      <c r="D9" s="25">
        <f t="shared" ref="D9:D37" si="0">+C9-B9</f>
        <v>942</v>
      </c>
    </row>
    <row r="10" spans="1:4" x14ac:dyDescent="0.2">
      <c r="A10" s="10">
        <v>4</v>
      </c>
      <c r="B10" s="11">
        <v>133085</v>
      </c>
      <c r="C10" s="11">
        <v>132441</v>
      </c>
      <c r="D10" s="25">
        <f t="shared" si="0"/>
        <v>-644</v>
      </c>
    </row>
    <row r="11" spans="1:4" x14ac:dyDescent="0.2">
      <c r="A11" s="10">
        <v>5</v>
      </c>
      <c r="B11" s="129">
        <v>137911</v>
      </c>
      <c r="C11" s="11">
        <v>137331</v>
      </c>
      <c r="D11" s="25">
        <f t="shared" si="0"/>
        <v>-580</v>
      </c>
    </row>
    <row r="12" spans="1:4" x14ac:dyDescent="0.2">
      <c r="A12" s="10">
        <v>6</v>
      </c>
      <c r="B12" s="11">
        <v>143493</v>
      </c>
      <c r="C12" s="11">
        <v>143706</v>
      </c>
      <c r="D12" s="25">
        <f t="shared" si="0"/>
        <v>213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879304</v>
      </c>
      <c r="C38" s="11">
        <f>SUM(C7:C37)</f>
        <v>879677</v>
      </c>
      <c r="D38" s="11">
        <f>SUM(D7:D37)</f>
        <v>373</v>
      </c>
    </row>
    <row r="39" spans="1:4" x14ac:dyDescent="0.2">
      <c r="A39" s="26"/>
      <c r="C39" s="14"/>
      <c r="D39" s="106">
        <f>+summary!H3</f>
        <v>1.6</v>
      </c>
    </row>
    <row r="40" spans="1:4" x14ac:dyDescent="0.2">
      <c r="D40" s="138">
        <f>+D39*D38</f>
        <v>596.80000000000007</v>
      </c>
    </row>
    <row r="41" spans="1:4" x14ac:dyDescent="0.2">
      <c r="A41" s="57">
        <v>37164</v>
      </c>
      <c r="C41" s="15"/>
      <c r="D41" s="363">
        <v>17001</v>
      </c>
    </row>
    <row r="42" spans="1:4" x14ac:dyDescent="0.2">
      <c r="A42" s="57">
        <v>37170</v>
      </c>
      <c r="D42" s="334">
        <f>+D41+D40</f>
        <v>17597.8</v>
      </c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37164</v>
      </c>
      <c r="B47" s="32"/>
      <c r="C47" s="32"/>
      <c r="D47" s="212">
        <v>9827</v>
      </c>
    </row>
    <row r="48" spans="1:4" x14ac:dyDescent="0.2">
      <c r="A48" s="49">
        <f>+A42</f>
        <v>37170</v>
      </c>
      <c r="B48" s="32"/>
      <c r="C48" s="32"/>
      <c r="D48" s="371">
        <f>+D38</f>
        <v>373</v>
      </c>
    </row>
    <row r="49" spans="1:4" x14ac:dyDescent="0.2">
      <c r="A49" s="32"/>
      <c r="B49" s="32"/>
      <c r="C49" s="32"/>
      <c r="D49" s="14">
        <f>+D48+D47</f>
        <v>10200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opLeftCell="A2" workbookViewId="1">
      <selection activeCell="G11" sqref="G11"/>
    </sheetView>
    <sheetView topLeftCell="A26" workbookViewId="2">
      <selection activeCell="J38" sqref="J38"/>
    </sheetView>
    <sheetView topLeftCell="A24" workbookViewId="3">
      <selection activeCell="B36" sqref="B36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5" bestFit="1" customWidth="1"/>
    <col min="17" max="17" width="8" style="437" bestFit="1" customWidth="1"/>
    <col min="18" max="18" width="11.42578125" style="265" bestFit="1" customWidth="1"/>
  </cols>
  <sheetData>
    <row r="1" spans="1:35" x14ac:dyDescent="0.2">
      <c r="B1" s="1" t="s">
        <v>127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82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36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293759</v>
      </c>
      <c r="C4" s="11">
        <v>299565</v>
      </c>
      <c r="D4" s="11">
        <v>77855</v>
      </c>
      <c r="E4" s="11">
        <v>65775</v>
      </c>
      <c r="F4" s="11">
        <v>69010</v>
      </c>
      <c r="G4" s="11">
        <v>68361</v>
      </c>
      <c r="H4" s="11">
        <v>117971</v>
      </c>
      <c r="I4" s="11">
        <v>121265</v>
      </c>
      <c r="J4" s="11">
        <f t="shared" ref="J4:J34" si="0">+C4+E4+G4+I4-H4-F4-D4-B4</f>
        <v>-3629</v>
      </c>
      <c r="M4" s="436" t="s">
        <v>40</v>
      </c>
      <c r="N4" s="4" t="s">
        <v>20</v>
      </c>
      <c r="O4" s="4" t="s">
        <v>21</v>
      </c>
      <c r="P4" s="434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302878</v>
      </c>
      <c r="C5" s="11">
        <v>319737</v>
      </c>
      <c r="D5" s="11">
        <v>63624</v>
      </c>
      <c r="E5" s="11">
        <v>66039</v>
      </c>
      <c r="F5" s="11">
        <v>72039</v>
      </c>
      <c r="G5" s="11">
        <v>73226</v>
      </c>
      <c r="H5" s="11">
        <v>110340</v>
      </c>
      <c r="I5" s="11">
        <v>110733</v>
      </c>
      <c r="J5" s="11">
        <f t="shared" si="0"/>
        <v>20854</v>
      </c>
      <c r="M5" s="436"/>
      <c r="N5" s="14"/>
      <c r="O5" s="14"/>
      <c r="P5" s="14">
        <f t="shared" ref="P5:P13" si="1">+O5-N5</f>
        <v>0</v>
      </c>
      <c r="Q5" s="382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345951</v>
      </c>
      <c r="C6" s="11">
        <v>343427</v>
      </c>
      <c r="D6" s="11">
        <v>66231</v>
      </c>
      <c r="E6" s="11">
        <v>65909</v>
      </c>
      <c r="F6" s="11">
        <v>69285</v>
      </c>
      <c r="G6" s="11">
        <v>66245</v>
      </c>
      <c r="H6" s="11">
        <v>110844</v>
      </c>
      <c r="I6" s="11">
        <v>115241</v>
      </c>
      <c r="J6" s="11">
        <f t="shared" si="0"/>
        <v>-1489</v>
      </c>
      <c r="M6" s="436">
        <v>36861</v>
      </c>
      <c r="N6" s="24">
        <v>19698194</v>
      </c>
      <c r="O6" s="24">
        <v>19662410</v>
      </c>
      <c r="P6" s="14">
        <f t="shared" si="1"/>
        <v>-35784</v>
      </c>
      <c r="Q6" s="382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333852</v>
      </c>
      <c r="C7" s="11">
        <v>330433</v>
      </c>
      <c r="D7" s="11">
        <v>63593</v>
      </c>
      <c r="E7" s="11">
        <v>66046</v>
      </c>
      <c r="F7" s="11">
        <v>75670</v>
      </c>
      <c r="G7" s="11">
        <v>72808</v>
      </c>
      <c r="H7" s="11">
        <v>113882</v>
      </c>
      <c r="I7" s="11">
        <v>112345</v>
      </c>
      <c r="J7" s="11">
        <f t="shared" si="0"/>
        <v>-5365</v>
      </c>
      <c r="M7" s="436">
        <v>36892</v>
      </c>
      <c r="N7" s="24">
        <v>18949781</v>
      </c>
      <c r="O7" s="14">
        <v>18975457</v>
      </c>
      <c r="P7" s="14">
        <f t="shared" si="1"/>
        <v>25676</v>
      </c>
      <c r="Q7" s="382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309883</v>
      </c>
      <c r="C8" s="11">
        <v>305199</v>
      </c>
      <c r="D8" s="129">
        <v>66973</v>
      </c>
      <c r="E8" s="11">
        <v>66061</v>
      </c>
      <c r="F8" s="11">
        <v>74598</v>
      </c>
      <c r="G8" s="11">
        <v>69789</v>
      </c>
      <c r="H8" s="129">
        <v>111991</v>
      </c>
      <c r="I8" s="11">
        <v>112455</v>
      </c>
      <c r="J8" s="11">
        <f t="shared" si="0"/>
        <v>-9941</v>
      </c>
      <c r="M8" s="436">
        <v>36923</v>
      </c>
      <c r="N8" s="24">
        <v>15193330</v>
      </c>
      <c r="O8" s="14">
        <v>15256233</v>
      </c>
      <c r="P8" s="14">
        <f t="shared" si="1"/>
        <v>62903</v>
      </c>
      <c r="Q8" s="382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318188</v>
      </c>
      <c r="C9" s="11">
        <v>328296</v>
      </c>
      <c r="D9" s="11">
        <v>72362</v>
      </c>
      <c r="E9" s="11">
        <v>65533</v>
      </c>
      <c r="F9" s="11">
        <v>66749</v>
      </c>
      <c r="G9" s="11">
        <v>64982</v>
      </c>
      <c r="H9" s="11">
        <v>100986</v>
      </c>
      <c r="I9" s="11">
        <v>101051</v>
      </c>
      <c r="J9" s="11">
        <f t="shared" si="0"/>
        <v>1577</v>
      </c>
      <c r="M9" s="436">
        <v>36951</v>
      </c>
      <c r="N9" s="24">
        <v>17049350</v>
      </c>
      <c r="O9" s="14">
        <v>17089226</v>
      </c>
      <c r="P9" s="14">
        <f t="shared" si="1"/>
        <v>39876</v>
      </c>
      <c r="Q9" s="382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319910</v>
      </c>
      <c r="C10" s="11">
        <v>331595</v>
      </c>
      <c r="D10" s="129">
        <v>78725</v>
      </c>
      <c r="E10" s="11">
        <v>65632</v>
      </c>
      <c r="F10" s="129">
        <v>67204</v>
      </c>
      <c r="G10" s="11">
        <v>64982</v>
      </c>
      <c r="H10" s="129">
        <v>106914</v>
      </c>
      <c r="I10" s="11">
        <v>106131</v>
      </c>
      <c r="J10" s="11">
        <f t="shared" si="0"/>
        <v>-4413</v>
      </c>
      <c r="M10" s="436">
        <v>36982</v>
      </c>
      <c r="N10" s="24">
        <v>17652369</v>
      </c>
      <c r="O10" s="14">
        <v>17743987</v>
      </c>
      <c r="P10" s="14">
        <f t="shared" si="1"/>
        <v>91618</v>
      </c>
      <c r="Q10" s="382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36">
        <v>37012</v>
      </c>
      <c r="N11" s="24">
        <v>16124989</v>
      </c>
      <c r="O11" s="14">
        <v>16282021</v>
      </c>
      <c r="P11" s="14">
        <f t="shared" si="1"/>
        <v>157032</v>
      </c>
      <c r="Q11" s="382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36">
        <v>37043</v>
      </c>
      <c r="N12" s="24">
        <v>15928675</v>
      </c>
      <c r="O12" s="14">
        <v>15936227</v>
      </c>
      <c r="P12" s="14">
        <f t="shared" si="1"/>
        <v>7552</v>
      </c>
      <c r="Q12" s="382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36">
        <v>37073</v>
      </c>
      <c r="N13" s="24">
        <v>16669639</v>
      </c>
      <c r="O13" s="14">
        <v>16693576</v>
      </c>
      <c r="P13" s="14">
        <f t="shared" si="1"/>
        <v>23937</v>
      </c>
      <c r="Q13" s="382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36"/>
      <c r="N17" s="24"/>
      <c r="O17" s="14"/>
      <c r="P17" s="14">
        <f>+O17-N17</f>
        <v>0</v>
      </c>
      <c r="Q17" s="382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36"/>
      <c r="N18" s="24"/>
      <c r="O18" s="14"/>
      <c r="P18" s="14"/>
      <c r="Q18" s="382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M19" s="436"/>
      <c r="N19" s="14"/>
      <c r="O19" s="14"/>
      <c r="P19" s="14"/>
      <c r="Q19" s="382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M20" s="436"/>
      <c r="N20" s="14"/>
      <c r="O20" s="14"/>
      <c r="P20" s="15"/>
      <c r="Q20" s="382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36"/>
      <c r="N21" s="24"/>
      <c r="O21" s="24"/>
      <c r="P21" s="110"/>
      <c r="Q21" s="438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32"/>
      <c r="N22" s="24"/>
      <c r="O22" s="24"/>
      <c r="P22" s="24">
        <f>SUM(P5:P21)</f>
        <v>372810</v>
      </c>
      <c r="Q22" s="438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M23" s="32"/>
      <c r="N23" s="24"/>
      <c r="O23" s="24"/>
      <c r="P23" s="110"/>
      <c r="Q23" s="438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38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3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3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3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3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3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3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3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82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82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82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2224421</v>
      </c>
      <c r="C35" s="11">
        <f t="shared" ref="C35:I35" si="3">SUM(C4:C34)</f>
        <v>2258252</v>
      </c>
      <c r="D35" s="11">
        <f t="shared" si="3"/>
        <v>489363</v>
      </c>
      <c r="E35" s="11">
        <f t="shared" si="3"/>
        <v>460995</v>
      </c>
      <c r="F35" s="11">
        <f t="shared" si="3"/>
        <v>494555</v>
      </c>
      <c r="G35" s="11">
        <f t="shared" si="3"/>
        <v>480393</v>
      </c>
      <c r="H35" s="11">
        <f t="shared" si="3"/>
        <v>772928</v>
      </c>
      <c r="I35" s="11">
        <f t="shared" si="3"/>
        <v>779221</v>
      </c>
      <c r="J35" s="11">
        <f>SUM(J4:J34)</f>
        <v>-2406</v>
      </c>
      <c r="M35" s="32"/>
      <c r="N35" s="24"/>
      <c r="O35" s="32"/>
      <c r="P35" s="15"/>
      <c r="Q35" s="382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82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82"/>
      <c r="R37" s="110"/>
      <c r="S37" s="19"/>
      <c r="T37" s="104"/>
      <c r="U37" s="16"/>
      <c r="V37" s="15"/>
      <c r="W37" s="13"/>
    </row>
    <row r="38" spans="1:23" x14ac:dyDescent="0.2">
      <c r="A38" s="56">
        <v>37164</v>
      </c>
      <c r="C38" s="25"/>
      <c r="E38" s="25"/>
      <c r="G38" s="25"/>
      <c r="I38" s="25"/>
      <c r="J38" s="459">
        <v>228357</v>
      </c>
      <c r="M38" s="32"/>
      <c r="N38" s="24"/>
      <c r="O38" s="32"/>
      <c r="P38" s="15"/>
      <c r="Q38" s="382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82"/>
      <c r="R39" s="110"/>
      <c r="S39" s="19"/>
      <c r="T39" s="104"/>
      <c r="U39" s="16"/>
      <c r="V39" s="15"/>
      <c r="W39" s="13"/>
    </row>
    <row r="40" spans="1:23" x14ac:dyDescent="0.2">
      <c r="A40" s="33">
        <v>37171</v>
      </c>
      <c r="J40" s="51">
        <f>+J38+J35</f>
        <v>225951</v>
      </c>
      <c r="M40" s="32"/>
      <c r="N40" s="24"/>
      <c r="O40" s="32"/>
      <c r="P40" s="15"/>
      <c r="Q40" s="382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82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82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82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82"/>
      <c r="R44" s="110"/>
      <c r="S44" s="19"/>
      <c r="T44" s="104"/>
      <c r="U44" s="16"/>
      <c r="V44" s="15"/>
      <c r="W44" s="13"/>
    </row>
    <row r="45" spans="1:23" x14ac:dyDescent="0.2">
      <c r="A45" s="32" t="s">
        <v>154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82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37164</v>
      </c>
      <c r="B46" s="32"/>
      <c r="C46" s="32"/>
      <c r="D46" s="460">
        <v>1206871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82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37171</v>
      </c>
      <c r="B47" s="32"/>
      <c r="C47" s="32"/>
      <c r="D47" s="400">
        <f>+J35*'by type_area'!J3</f>
        <v>-3849.6000000000004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82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1203021.3999999999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82"/>
      <c r="R48" s="15"/>
      <c r="S48" s="19"/>
      <c r="T48" s="32"/>
    </row>
    <row r="49" spans="1:20" x14ac:dyDescent="0.2">
      <c r="A49" s="139"/>
      <c r="B49" s="119"/>
      <c r="C49" s="140"/>
      <c r="D49" s="40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82"/>
      <c r="R49" s="15"/>
      <c r="S49" s="32"/>
      <c r="T49" s="32"/>
    </row>
    <row r="50" spans="1:20" x14ac:dyDescent="0.2">
      <c r="A50" s="10"/>
      <c r="B50" s="11"/>
      <c r="C50" s="11"/>
      <c r="D50" s="40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82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82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82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82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82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82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82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82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82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82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82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82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82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82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82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82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82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82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3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3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38"/>
      <c r="R70" s="110"/>
      <c r="S70" s="19"/>
      <c r="T70" s="138"/>
    </row>
    <row r="71" spans="1:20" x14ac:dyDescent="0.2">
      <c r="A71" s="10"/>
      <c r="B71" s="11"/>
      <c r="C71" s="11"/>
      <c r="D71" s="279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38"/>
      <c r="R71" s="110"/>
      <c r="S71" s="19"/>
      <c r="T71" s="138"/>
    </row>
    <row r="72" spans="1:20" x14ac:dyDescent="0.2">
      <c r="A72" s="10"/>
      <c r="B72" s="11"/>
      <c r="C72" s="11"/>
      <c r="D72" s="279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38"/>
      <c r="R72" s="110"/>
      <c r="S72" s="19"/>
      <c r="T72" s="138"/>
    </row>
    <row r="73" spans="1:20" x14ac:dyDescent="0.2">
      <c r="A73" s="10"/>
      <c r="B73" s="11"/>
      <c r="C73" s="11"/>
      <c r="D73" s="279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3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3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3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3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3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3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3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3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3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3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3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3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3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3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3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3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3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82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82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82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82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82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82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82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82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82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82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82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82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82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82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82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82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82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82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82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3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34"/>
      <c r="Q255" s="143"/>
      <c r="R255" s="43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35"/>
      <c r="Q256" s="440"/>
      <c r="R256" s="43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3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3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3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3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3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3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3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3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3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3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3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3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3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3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3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3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3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3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3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3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3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3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3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3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3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3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3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3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3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3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3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3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39"/>
      <c r="S295" s="1"/>
    </row>
    <row r="296" spans="9:21" x14ac:dyDescent="0.2">
      <c r="K296" s="2"/>
      <c r="M296" s="30"/>
      <c r="N296" s="4"/>
      <c r="O296" s="4"/>
      <c r="P296" s="434"/>
      <c r="Q296" s="143"/>
      <c r="R296" s="43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35"/>
      <c r="Q297" s="440"/>
      <c r="R297" s="43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3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3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3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3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3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3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3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3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3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3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3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3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3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3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3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3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3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3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3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3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3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3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3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3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3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3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3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3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3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3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3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3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39"/>
      <c r="S337" s="1"/>
    </row>
    <row r="338" spans="11:21" x14ac:dyDescent="0.2">
      <c r="K338" s="2"/>
      <c r="M338" s="30"/>
      <c r="N338" s="4"/>
      <c r="O338" s="4"/>
      <c r="P338" s="434"/>
      <c r="Q338" s="143"/>
      <c r="R338" s="43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35"/>
      <c r="Q339" s="440"/>
      <c r="R339" s="43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3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3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3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3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3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3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3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3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3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3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3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3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3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3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3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3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3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3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3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3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3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3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3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3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3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3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3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3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3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3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3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3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39"/>
      <c r="S379" s="1"/>
    </row>
    <row r="380" spans="11:21" x14ac:dyDescent="0.2">
      <c r="K380" s="2"/>
      <c r="M380" s="30"/>
      <c r="N380" s="4"/>
      <c r="O380" s="4"/>
      <c r="P380" s="434"/>
      <c r="Q380" s="143"/>
      <c r="R380" s="43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35"/>
      <c r="Q381" s="440"/>
      <c r="R381" s="43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3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3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3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3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3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3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3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3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3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3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3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3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3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3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3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3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3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3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3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3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3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3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3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3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3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3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3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3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3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3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3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3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39"/>
      <c r="S423" s="1"/>
    </row>
    <row r="424" spans="11:21" x14ac:dyDescent="0.2">
      <c r="K424" s="2"/>
      <c r="M424" s="30"/>
      <c r="N424" s="4"/>
      <c r="O424" s="4"/>
      <c r="P424" s="434"/>
      <c r="Q424" s="143"/>
      <c r="R424" s="43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35"/>
      <c r="Q425" s="440"/>
      <c r="R425" s="43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3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3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3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3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3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3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3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3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3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3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3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3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3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3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3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3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3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3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3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3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3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3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3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3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3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3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3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3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3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3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3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3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3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34"/>
      <c r="Q466" s="143"/>
      <c r="R466" s="43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35"/>
      <c r="Q467" s="440"/>
      <c r="R467" s="43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3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3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3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3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3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3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3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3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3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3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3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3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3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3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3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3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3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3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3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3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3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3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3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3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3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3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3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3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3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3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3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3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workbookViewId="3">
      <selection activeCell="B12" sqref="B12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-31520</v>
      </c>
      <c r="C5" s="11">
        <v>-15050</v>
      </c>
      <c r="D5" s="11"/>
      <c r="E5" s="11">
        <v>-15792</v>
      </c>
      <c r="F5" s="11">
        <f>+C5-B5+E5-D5</f>
        <v>678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-19906</v>
      </c>
      <c r="C6" s="11"/>
      <c r="D6" s="11"/>
      <c r="E6" s="11">
        <v>-18793</v>
      </c>
      <c r="F6" s="11">
        <f t="shared" ref="F6:F35" si="0">+C6-B6+E6-D6</f>
        <v>1113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-29498</v>
      </c>
      <c r="C7" s="11"/>
      <c r="D7" s="11"/>
      <c r="E7" s="11">
        <v>-30792</v>
      </c>
      <c r="F7" s="11">
        <f t="shared" si="0"/>
        <v>-1294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-12267</v>
      </c>
      <c r="C8" s="11"/>
      <c r="D8" s="11"/>
      <c r="E8" s="11">
        <v>-11980</v>
      </c>
      <c r="F8" s="11">
        <f t="shared" si="0"/>
        <v>287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-3810</v>
      </c>
      <c r="C9" s="11"/>
      <c r="D9" s="11"/>
      <c r="E9" s="11">
        <v>-8792</v>
      </c>
      <c r="F9" s="11">
        <f t="shared" si="0"/>
        <v>-4982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-21956</v>
      </c>
      <c r="C10" s="11"/>
      <c r="D10" s="11"/>
      <c r="E10" s="11">
        <v>-17495</v>
      </c>
      <c r="F10" s="11">
        <f t="shared" si="0"/>
        <v>4461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-16544</v>
      </c>
      <c r="C11" s="11"/>
      <c r="D11" s="129"/>
      <c r="E11" s="11">
        <v>-17495</v>
      </c>
      <c r="F11" s="11">
        <f t="shared" si="0"/>
        <v>-951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-135501</v>
      </c>
      <c r="C36" s="44">
        <f>SUM(C5:C35)</f>
        <v>-15050</v>
      </c>
      <c r="D36" s="43">
        <f>SUM(D5:D35)</f>
        <v>0</v>
      </c>
      <c r="E36" s="44">
        <f>SUM(E5:E35)</f>
        <v>-121139</v>
      </c>
      <c r="F36" s="11">
        <f>SUM(F5:F35)</f>
        <v>-688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-120451</v>
      </c>
      <c r="D37" s="24"/>
      <c r="E37" s="24">
        <f>+D36-E36</f>
        <v>121139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37164</v>
      </c>
      <c r="C41" s="14"/>
      <c r="D41" s="50"/>
      <c r="E41" s="50"/>
      <c r="F41" s="469">
        <v>69914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37171</v>
      </c>
      <c r="C42" s="14"/>
      <c r="D42" s="50"/>
      <c r="E42" s="50"/>
      <c r="F42" s="51">
        <f>+F41+F36</f>
        <v>69226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154</v>
      </c>
      <c r="B46" s="32"/>
      <c r="C46" s="32"/>
      <c r="D46" s="47"/>
    </row>
    <row r="47" spans="1:12" x14ac:dyDescent="0.2">
      <c r="A47" s="49">
        <f>+B41</f>
        <v>37164</v>
      </c>
      <c r="B47" s="32"/>
      <c r="C47" s="32"/>
      <c r="D47" s="470">
        <v>65784</v>
      </c>
    </row>
    <row r="48" spans="1:12" x14ac:dyDescent="0.2">
      <c r="A48" s="49">
        <f>+B42</f>
        <v>37171</v>
      </c>
      <c r="B48" s="32"/>
      <c r="C48" s="32"/>
      <c r="D48" s="400">
        <f>+F36*'by type_area'!J4</f>
        <v>-1169.5999999999999</v>
      </c>
    </row>
    <row r="49" spans="1:4" x14ac:dyDescent="0.2">
      <c r="A49" s="32"/>
      <c r="B49" s="32"/>
      <c r="C49" s="32"/>
      <c r="D49" s="202">
        <f>+D48+D47</f>
        <v>64614.400000000001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A39" sqref="A39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-60142</v>
      </c>
      <c r="C4" s="11">
        <v>-59836</v>
      </c>
      <c r="D4" s="25">
        <f>+C4-B4</f>
        <v>306</v>
      </c>
    </row>
    <row r="5" spans="1:4" x14ac:dyDescent="0.2">
      <c r="A5" s="10">
        <v>2</v>
      </c>
      <c r="B5" s="129">
        <v>-148602</v>
      </c>
      <c r="C5" s="11">
        <v>-148228</v>
      </c>
      <c r="D5" s="25">
        <f t="shared" ref="D5:D34" si="0">+C5-B5</f>
        <v>374</v>
      </c>
    </row>
    <row r="6" spans="1:4" x14ac:dyDescent="0.2">
      <c r="A6" s="10">
        <v>3</v>
      </c>
      <c r="B6" s="129">
        <v>-162654</v>
      </c>
      <c r="C6" s="11">
        <v>-162408</v>
      </c>
      <c r="D6" s="25">
        <f t="shared" si="0"/>
        <v>246</v>
      </c>
    </row>
    <row r="7" spans="1:4" x14ac:dyDescent="0.2">
      <c r="A7" s="10">
        <v>4</v>
      </c>
      <c r="B7" s="129">
        <v>-147651</v>
      </c>
      <c r="C7" s="11">
        <v>-146688</v>
      </c>
      <c r="D7" s="25">
        <f t="shared" si="0"/>
        <v>963</v>
      </c>
    </row>
    <row r="8" spans="1:4" x14ac:dyDescent="0.2">
      <c r="A8" s="10">
        <v>5</v>
      </c>
      <c r="B8" s="129">
        <v>-143681</v>
      </c>
      <c r="C8" s="11">
        <v>-143650</v>
      </c>
      <c r="D8" s="25">
        <f t="shared" si="0"/>
        <v>31</v>
      </c>
    </row>
    <row r="9" spans="1:4" x14ac:dyDescent="0.2">
      <c r="A9" s="10">
        <v>6</v>
      </c>
      <c r="B9" s="129">
        <v>-138549</v>
      </c>
      <c r="C9" s="11">
        <v>-137657</v>
      </c>
      <c r="D9" s="25">
        <f t="shared" si="0"/>
        <v>892</v>
      </c>
    </row>
    <row r="10" spans="1:4" x14ac:dyDescent="0.2">
      <c r="A10" s="10">
        <v>7</v>
      </c>
      <c r="B10" s="129">
        <v>-125413</v>
      </c>
      <c r="C10" s="11">
        <v>-125287</v>
      </c>
      <c r="D10" s="25">
        <f t="shared" si="0"/>
        <v>126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-926692</v>
      </c>
      <c r="C35" s="11">
        <f>SUM(C4:C34)</f>
        <v>-923754</v>
      </c>
      <c r="D35" s="11">
        <f>SUM(D4:D34)</f>
        <v>2938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7">
        <v>37164</v>
      </c>
      <c r="D38" s="484">
        <v>73103</v>
      </c>
    </row>
    <row r="39" spans="1:30" x14ac:dyDescent="0.2">
      <c r="A39" s="12"/>
      <c r="D39" s="24"/>
    </row>
    <row r="40" spans="1:30" x14ac:dyDescent="0.2">
      <c r="A40" s="247">
        <v>37171</v>
      </c>
      <c r="D40" s="24">
        <f>+D38+D35</f>
        <v>76041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154</v>
      </c>
      <c r="B44" s="32"/>
      <c r="C44" s="32"/>
      <c r="D44" s="47"/>
      <c r="K44"/>
    </row>
    <row r="45" spans="1:30" x14ac:dyDescent="0.2">
      <c r="A45" s="49">
        <f>+A38</f>
        <v>37164</v>
      </c>
      <c r="B45" s="32"/>
      <c r="C45" s="32"/>
      <c r="D45" s="485">
        <v>-48870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37171</v>
      </c>
      <c r="B46" s="32"/>
      <c r="C46" s="32"/>
      <c r="D46" s="400">
        <f>+D35*'by type_area'!J4</f>
        <v>4994.5999999999995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-43875.4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6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4" workbookViewId="3">
      <selection activeCell="D33" sqref="D33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-793838</v>
      </c>
      <c r="C4" s="11">
        <v>-792660</v>
      </c>
      <c r="D4" s="11">
        <v>-25145</v>
      </c>
      <c r="E4" s="11">
        <v>-25000</v>
      </c>
      <c r="F4" s="25">
        <f>+E4+C4-D4-B4</f>
        <v>1323</v>
      </c>
      <c r="H4" s="10"/>
      <c r="I4" s="11"/>
    </row>
    <row r="5" spans="1:11" x14ac:dyDescent="0.2">
      <c r="A5" s="10">
        <v>2</v>
      </c>
      <c r="B5" s="11">
        <v>-763037</v>
      </c>
      <c r="C5" s="11">
        <v>-774130</v>
      </c>
      <c r="D5" s="11">
        <v>-3962</v>
      </c>
      <c r="E5" s="11"/>
      <c r="F5" s="25">
        <f t="shared" ref="F5:F34" si="0">+C5-B5+E5-D5</f>
        <v>-7131</v>
      </c>
      <c r="H5" s="10"/>
      <c r="I5" s="11"/>
    </row>
    <row r="6" spans="1:11" x14ac:dyDescent="0.2">
      <c r="A6" s="10">
        <v>3</v>
      </c>
      <c r="B6" s="11">
        <v>-744106</v>
      </c>
      <c r="C6" s="11">
        <v>-759615</v>
      </c>
      <c r="D6" s="11"/>
      <c r="E6" s="11"/>
      <c r="F6" s="25">
        <f t="shared" si="0"/>
        <v>-15509</v>
      </c>
      <c r="H6" s="10"/>
      <c r="I6" s="11"/>
    </row>
    <row r="7" spans="1:11" x14ac:dyDescent="0.2">
      <c r="A7" s="10">
        <v>4</v>
      </c>
      <c r="B7" s="11">
        <v>-728570</v>
      </c>
      <c r="C7" s="11">
        <v>-711610</v>
      </c>
      <c r="D7" s="11"/>
      <c r="E7" s="11"/>
      <c r="F7" s="25">
        <f t="shared" si="0"/>
        <v>16960</v>
      </c>
      <c r="H7" s="10"/>
      <c r="I7" s="11"/>
      <c r="K7" s="25"/>
    </row>
    <row r="8" spans="1:11" x14ac:dyDescent="0.2">
      <c r="A8" s="10">
        <v>5</v>
      </c>
      <c r="B8" s="129">
        <v>-713547</v>
      </c>
      <c r="C8" s="11">
        <v>-708473</v>
      </c>
      <c r="D8" s="11">
        <v>-34889</v>
      </c>
      <c r="E8" s="11">
        <v>-35000</v>
      </c>
      <c r="F8" s="25">
        <f t="shared" si="0"/>
        <v>4963</v>
      </c>
      <c r="H8" s="10"/>
      <c r="I8" s="11"/>
    </row>
    <row r="9" spans="1:11" x14ac:dyDescent="0.2">
      <c r="A9" s="10">
        <v>6</v>
      </c>
      <c r="B9" s="11">
        <v>-676325</v>
      </c>
      <c r="C9" s="11">
        <v>-671926</v>
      </c>
      <c r="D9" s="11">
        <v>-187</v>
      </c>
      <c r="E9" s="11"/>
      <c r="F9" s="25">
        <f t="shared" si="0"/>
        <v>4586</v>
      </c>
      <c r="H9" s="10"/>
      <c r="I9" s="11"/>
    </row>
    <row r="10" spans="1:11" x14ac:dyDescent="0.2">
      <c r="A10" s="10">
        <v>7</v>
      </c>
      <c r="B10" s="129">
        <v>-707411</v>
      </c>
      <c r="C10" s="11">
        <v>-706876</v>
      </c>
      <c r="D10" s="129"/>
      <c r="E10" s="11"/>
      <c r="F10" s="25">
        <f t="shared" si="0"/>
        <v>535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-5126834</v>
      </c>
      <c r="C35" s="11">
        <f>SUM(C4:C34)</f>
        <v>-5125290</v>
      </c>
      <c r="D35" s="11">
        <f>SUM(D4:D34)</f>
        <v>-64183</v>
      </c>
      <c r="E35" s="11">
        <f>SUM(E4:E34)</f>
        <v>-60000</v>
      </c>
      <c r="F35" s="11">
        <f>SUM(F4:F34)</f>
        <v>5727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37164</v>
      </c>
      <c r="F38" s="465">
        <v>292527</v>
      </c>
    </row>
    <row r="39" spans="1:45" x14ac:dyDescent="0.2">
      <c r="A39" s="2"/>
      <c r="F39" s="24"/>
    </row>
    <row r="40" spans="1:45" x14ac:dyDescent="0.2">
      <c r="A40" s="57">
        <v>37171</v>
      </c>
      <c r="F40" s="51">
        <f>+F38+F35</f>
        <v>298254</v>
      </c>
    </row>
    <row r="42" spans="1:45" x14ac:dyDescent="0.2">
      <c r="AF42" s="305"/>
      <c r="AG42" s="305"/>
      <c r="AH42" s="305"/>
      <c r="AI42" s="305"/>
      <c r="AJ42" s="305"/>
      <c r="AK42" s="305"/>
      <c r="AL42" s="305"/>
      <c r="AM42" s="305"/>
      <c r="AN42" s="305"/>
      <c r="AO42" s="305"/>
      <c r="AP42" s="305"/>
      <c r="AQ42" s="305"/>
      <c r="AR42" s="305"/>
      <c r="AS42" s="305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6"/>
      <c r="AG43" s="305"/>
      <c r="AH43" s="305"/>
      <c r="AI43" s="307"/>
      <c r="AJ43" s="306"/>
      <c r="AK43" s="305"/>
      <c r="AL43" s="305"/>
      <c r="AM43" s="307"/>
      <c r="AN43" s="306"/>
      <c r="AO43" s="305"/>
      <c r="AP43" s="305"/>
      <c r="AQ43" s="305"/>
      <c r="AR43" s="305"/>
      <c r="AS43" s="305"/>
    </row>
    <row r="44" spans="1:45" x14ac:dyDescent="0.2">
      <c r="A44" s="32" t="s">
        <v>154</v>
      </c>
      <c r="B44" s="32"/>
      <c r="C44" s="32"/>
      <c r="D44" s="47"/>
      <c r="K44"/>
      <c r="AF44" s="305"/>
      <c r="AG44" s="305"/>
      <c r="AH44" s="305"/>
      <c r="AI44" s="305"/>
      <c r="AJ44" s="305"/>
      <c r="AK44" s="305"/>
      <c r="AL44" s="305"/>
      <c r="AM44" s="305"/>
      <c r="AN44" s="305"/>
      <c r="AO44" s="305"/>
      <c r="AP44" s="305"/>
      <c r="AQ44" s="305"/>
      <c r="AR44" s="305"/>
      <c r="AS44" s="305"/>
    </row>
    <row r="45" spans="1:45" x14ac:dyDescent="0.2">
      <c r="A45" s="49">
        <f>+A38</f>
        <v>37164</v>
      </c>
      <c r="B45" s="32"/>
      <c r="C45" s="32"/>
      <c r="D45" s="431">
        <v>730941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8"/>
      <c r="AG45" s="308"/>
      <c r="AH45" s="305"/>
      <c r="AI45" s="309"/>
      <c r="AJ45" s="308"/>
      <c r="AK45" s="308"/>
      <c r="AL45" s="305"/>
      <c r="AM45" s="309"/>
      <c r="AN45" s="308"/>
      <c r="AO45" s="308"/>
      <c r="AP45" s="305"/>
      <c r="AQ45" s="305"/>
      <c r="AR45" s="305"/>
      <c r="AS45" s="305"/>
    </row>
    <row r="46" spans="1:45" x14ac:dyDescent="0.2">
      <c r="A46" s="49">
        <f>+A40</f>
        <v>37171</v>
      </c>
      <c r="B46" s="32"/>
      <c r="C46" s="32"/>
      <c r="D46" s="400">
        <f>+F35*'by type_area'!J4</f>
        <v>9735.9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0"/>
      <c r="AG46" s="310"/>
      <c r="AH46" s="311"/>
      <c r="AI46" s="312"/>
      <c r="AJ46" s="310"/>
      <c r="AK46" s="310"/>
      <c r="AL46" s="311"/>
      <c r="AM46" s="312"/>
      <c r="AN46" s="310"/>
      <c r="AO46" s="310"/>
      <c r="AP46" s="311"/>
      <c r="AQ46" s="305"/>
      <c r="AR46" s="305"/>
      <c r="AS46" s="305"/>
    </row>
    <row r="47" spans="1:45" x14ac:dyDescent="0.2">
      <c r="A47" s="32"/>
      <c r="B47" s="32"/>
      <c r="C47" s="32"/>
      <c r="D47" s="202">
        <f>+D46+D45</f>
        <v>740676.9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0"/>
      <c r="AG47" s="310"/>
      <c r="AH47" s="311"/>
      <c r="AI47" s="312"/>
      <c r="AJ47" s="310"/>
      <c r="AK47" s="310"/>
      <c r="AL47" s="311"/>
      <c r="AM47" s="312"/>
      <c r="AN47" s="310"/>
      <c r="AO47" s="310"/>
      <c r="AP47" s="311"/>
      <c r="AQ47" s="305"/>
      <c r="AR47" s="305"/>
      <c r="AS47" s="305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0"/>
      <c r="AG48" s="310"/>
      <c r="AH48" s="311"/>
      <c r="AI48" s="312"/>
      <c r="AJ48" s="310"/>
      <c r="AK48" s="310"/>
      <c r="AL48" s="311"/>
      <c r="AM48" s="312"/>
      <c r="AN48" s="310"/>
      <c r="AO48" s="310"/>
      <c r="AP48" s="311"/>
      <c r="AQ48" s="305"/>
      <c r="AR48" s="305"/>
      <c r="AS48" s="305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0"/>
      <c r="AG49" s="310"/>
      <c r="AH49" s="311"/>
      <c r="AI49" s="312"/>
      <c r="AJ49" s="310"/>
      <c r="AK49" s="310"/>
      <c r="AL49" s="311"/>
      <c r="AM49" s="312"/>
      <c r="AN49" s="310"/>
      <c r="AO49" s="310"/>
      <c r="AP49" s="311"/>
      <c r="AQ49" s="305"/>
      <c r="AR49" s="305"/>
      <c r="AS49" s="305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0"/>
      <c r="AG50" s="310"/>
      <c r="AH50" s="311"/>
      <c r="AI50" s="312"/>
      <c r="AJ50" s="310"/>
      <c r="AK50" s="310"/>
      <c r="AL50" s="311"/>
      <c r="AM50" s="312"/>
      <c r="AN50" s="310"/>
      <c r="AO50" s="310"/>
      <c r="AP50" s="311"/>
      <c r="AQ50" s="305"/>
      <c r="AR50" s="305"/>
      <c r="AS50" s="305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0"/>
      <c r="AG51" s="310"/>
      <c r="AH51" s="311"/>
      <c r="AI51" s="312"/>
      <c r="AJ51" s="310"/>
      <c r="AK51" s="310"/>
      <c r="AL51" s="311"/>
      <c r="AM51" s="312"/>
      <c r="AN51" s="310"/>
      <c r="AO51" s="310"/>
      <c r="AP51" s="311"/>
      <c r="AQ51" s="305"/>
      <c r="AR51" s="305"/>
      <c r="AS51" s="305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0"/>
      <c r="AG52" s="310"/>
      <c r="AH52" s="311"/>
      <c r="AI52" s="312"/>
      <c r="AJ52" s="310"/>
      <c r="AK52" s="310"/>
      <c r="AL52" s="311"/>
      <c r="AM52" s="312"/>
      <c r="AN52" s="310"/>
      <c r="AO52" s="310"/>
      <c r="AP52" s="311"/>
      <c r="AQ52" s="305"/>
      <c r="AR52" s="305"/>
      <c r="AS52" s="305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0"/>
      <c r="AG53" s="310"/>
      <c r="AH53" s="311"/>
      <c r="AI53" s="312"/>
      <c r="AJ53" s="310"/>
      <c r="AK53" s="310"/>
      <c r="AL53" s="311"/>
      <c r="AM53" s="312"/>
      <c r="AN53" s="310"/>
      <c r="AO53" s="310"/>
      <c r="AP53" s="311"/>
      <c r="AQ53" s="305"/>
      <c r="AR53" s="305"/>
      <c r="AS53" s="305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0"/>
      <c r="AG54" s="310"/>
      <c r="AH54" s="311"/>
      <c r="AI54" s="312"/>
      <c r="AJ54" s="310"/>
      <c r="AK54" s="310"/>
      <c r="AL54" s="311"/>
      <c r="AM54" s="312"/>
      <c r="AN54" s="310"/>
      <c r="AO54" s="310"/>
      <c r="AP54" s="311"/>
      <c r="AQ54" s="305"/>
      <c r="AR54" s="305"/>
      <c r="AS54" s="305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0"/>
      <c r="AG55" s="310"/>
      <c r="AH55" s="311"/>
      <c r="AI55" s="312"/>
      <c r="AJ55" s="310"/>
      <c r="AK55" s="310"/>
      <c r="AL55" s="311"/>
      <c r="AM55" s="312"/>
      <c r="AN55" s="310"/>
      <c r="AO55" s="310"/>
      <c r="AP55" s="311"/>
      <c r="AQ55" s="305"/>
      <c r="AR55" s="305"/>
      <c r="AS55" s="305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0"/>
      <c r="AG56" s="310"/>
      <c r="AH56" s="311"/>
      <c r="AI56" s="312"/>
      <c r="AJ56" s="310"/>
      <c r="AK56" s="310"/>
      <c r="AL56" s="311"/>
      <c r="AM56" s="312"/>
      <c r="AN56" s="310"/>
      <c r="AO56" s="310"/>
      <c r="AP56" s="311"/>
      <c r="AQ56" s="305"/>
      <c r="AR56" s="305"/>
      <c r="AS56" s="305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0"/>
      <c r="AG57" s="310"/>
      <c r="AH57" s="311"/>
      <c r="AI57" s="312"/>
      <c r="AJ57" s="310"/>
      <c r="AK57" s="310"/>
      <c r="AL57" s="311"/>
      <c r="AM57" s="312"/>
      <c r="AN57" s="310"/>
      <c r="AO57" s="310"/>
      <c r="AP57" s="311"/>
      <c r="AQ57" s="305"/>
      <c r="AR57" s="305"/>
      <c r="AS57" s="305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0"/>
      <c r="AG58" s="310"/>
      <c r="AH58" s="311"/>
      <c r="AI58" s="312"/>
      <c r="AJ58" s="310"/>
      <c r="AK58" s="310"/>
      <c r="AL58" s="311"/>
      <c r="AM58" s="312"/>
      <c r="AN58" s="310"/>
      <c r="AO58" s="310"/>
      <c r="AP58" s="311"/>
      <c r="AQ58" s="305"/>
      <c r="AR58" s="305"/>
      <c r="AS58" s="305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0"/>
      <c r="AG59" s="310"/>
      <c r="AH59" s="311"/>
      <c r="AI59" s="312"/>
      <c r="AJ59" s="310"/>
      <c r="AK59" s="310"/>
      <c r="AL59" s="311"/>
      <c r="AM59" s="312"/>
      <c r="AN59" s="310"/>
      <c r="AO59" s="310"/>
      <c r="AP59" s="311"/>
      <c r="AQ59" s="305"/>
      <c r="AR59" s="305"/>
      <c r="AS59" s="305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0"/>
      <c r="AG60" s="310"/>
      <c r="AH60" s="311"/>
      <c r="AI60" s="312"/>
      <c r="AJ60" s="310"/>
      <c r="AK60" s="310"/>
      <c r="AL60" s="311"/>
      <c r="AM60" s="312"/>
      <c r="AN60" s="310"/>
      <c r="AO60" s="310"/>
      <c r="AP60" s="311"/>
      <c r="AQ60" s="305"/>
      <c r="AR60" s="305"/>
      <c r="AS60" s="305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0"/>
      <c r="AG61" s="310"/>
      <c r="AH61" s="311"/>
      <c r="AI61" s="312"/>
      <c r="AJ61" s="310"/>
      <c r="AK61" s="310"/>
      <c r="AL61" s="311"/>
      <c r="AM61" s="312"/>
      <c r="AN61" s="310"/>
      <c r="AO61" s="310"/>
      <c r="AP61" s="311"/>
      <c r="AQ61" s="305"/>
      <c r="AR61" s="305"/>
      <c r="AS61" s="305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0"/>
      <c r="AG62" s="310"/>
      <c r="AH62" s="311"/>
      <c r="AI62" s="312"/>
      <c r="AJ62" s="310"/>
      <c r="AK62" s="310"/>
      <c r="AL62" s="311"/>
      <c r="AM62" s="312"/>
      <c r="AN62" s="310"/>
      <c r="AO62" s="310"/>
      <c r="AP62" s="311"/>
      <c r="AQ62" s="305"/>
      <c r="AR62" s="305"/>
      <c r="AS62" s="305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0"/>
      <c r="AG63" s="310"/>
      <c r="AH63" s="311"/>
      <c r="AI63" s="312"/>
      <c r="AJ63" s="310"/>
      <c r="AK63" s="310"/>
      <c r="AL63" s="311"/>
      <c r="AM63" s="312"/>
      <c r="AN63" s="310"/>
      <c r="AO63" s="310"/>
      <c r="AP63" s="311"/>
      <c r="AQ63" s="305"/>
      <c r="AR63" s="305"/>
      <c r="AS63" s="305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0"/>
      <c r="AG64" s="310"/>
      <c r="AH64" s="311"/>
      <c r="AI64" s="312"/>
      <c r="AJ64" s="310"/>
      <c r="AK64" s="310"/>
      <c r="AL64" s="311"/>
      <c r="AM64" s="312"/>
      <c r="AN64" s="310"/>
      <c r="AO64" s="310"/>
      <c r="AP64" s="311"/>
      <c r="AQ64" s="305"/>
      <c r="AR64" s="305"/>
      <c r="AS64" s="305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0"/>
      <c r="AG65" s="310"/>
      <c r="AH65" s="311"/>
      <c r="AI65" s="312"/>
      <c r="AJ65" s="310"/>
      <c r="AK65" s="310"/>
      <c r="AL65" s="311"/>
      <c r="AM65" s="312"/>
      <c r="AN65" s="310"/>
      <c r="AO65" s="310"/>
      <c r="AP65" s="311"/>
      <c r="AQ65" s="305"/>
      <c r="AR65" s="305"/>
      <c r="AS65" s="305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0"/>
      <c r="AG66" s="310"/>
      <c r="AH66" s="311"/>
      <c r="AI66" s="312"/>
      <c r="AJ66" s="310"/>
      <c r="AK66" s="310"/>
      <c r="AL66" s="311"/>
      <c r="AM66" s="312"/>
      <c r="AN66" s="310"/>
      <c r="AO66" s="310"/>
      <c r="AP66" s="311"/>
      <c r="AQ66" s="305"/>
      <c r="AR66" s="305"/>
      <c r="AS66" s="305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0"/>
      <c r="AG67" s="310"/>
      <c r="AH67" s="311"/>
      <c r="AI67" s="312"/>
      <c r="AJ67" s="310"/>
      <c r="AK67" s="310"/>
      <c r="AL67" s="311"/>
      <c r="AM67" s="312"/>
      <c r="AN67" s="310"/>
      <c r="AO67" s="310"/>
      <c r="AP67" s="311"/>
      <c r="AQ67" s="305"/>
      <c r="AR67" s="305"/>
      <c r="AS67" s="305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0"/>
      <c r="AG68" s="310"/>
      <c r="AH68" s="311"/>
      <c r="AI68" s="312"/>
      <c r="AJ68" s="310"/>
      <c r="AK68" s="310"/>
      <c r="AL68" s="311"/>
      <c r="AM68" s="312"/>
      <c r="AN68" s="310"/>
      <c r="AO68" s="310"/>
      <c r="AP68" s="311"/>
      <c r="AQ68" s="305"/>
      <c r="AR68" s="305"/>
      <c r="AS68" s="305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0"/>
      <c r="AG69" s="310"/>
      <c r="AH69" s="311"/>
      <c r="AI69" s="312"/>
      <c r="AJ69" s="310"/>
      <c r="AK69" s="310"/>
      <c r="AL69" s="311"/>
      <c r="AM69" s="312"/>
      <c r="AN69" s="310"/>
      <c r="AO69" s="310"/>
      <c r="AP69" s="311"/>
      <c r="AQ69" s="305"/>
      <c r="AR69" s="305"/>
      <c r="AS69" s="305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0"/>
      <c r="AG70" s="310"/>
      <c r="AH70" s="311"/>
      <c r="AI70" s="312"/>
      <c r="AJ70" s="310"/>
      <c r="AK70" s="310"/>
      <c r="AL70" s="311"/>
      <c r="AM70" s="312"/>
      <c r="AN70" s="310"/>
      <c r="AO70" s="310"/>
      <c r="AP70" s="311"/>
      <c r="AQ70" s="305"/>
      <c r="AR70" s="305"/>
      <c r="AS70" s="305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0"/>
      <c r="AG71" s="310"/>
      <c r="AH71" s="311"/>
      <c r="AI71" s="312"/>
      <c r="AJ71" s="310"/>
      <c r="AK71" s="310"/>
      <c r="AL71" s="311"/>
      <c r="AM71" s="312"/>
      <c r="AN71" s="310"/>
      <c r="AO71" s="310"/>
      <c r="AP71" s="311"/>
      <c r="AQ71" s="305"/>
      <c r="AR71" s="305"/>
      <c r="AS71" s="305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0"/>
      <c r="AG72" s="310"/>
      <c r="AH72" s="311"/>
      <c r="AI72" s="312"/>
      <c r="AJ72" s="310"/>
      <c r="AK72" s="310"/>
      <c r="AL72" s="311"/>
      <c r="AM72" s="312"/>
      <c r="AN72" s="310"/>
      <c r="AO72" s="310"/>
      <c r="AP72" s="311"/>
      <c r="AQ72" s="305"/>
      <c r="AR72" s="305"/>
      <c r="AS72" s="305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0"/>
      <c r="AG73" s="310"/>
      <c r="AH73" s="311"/>
      <c r="AI73" s="312"/>
      <c r="AJ73" s="310"/>
      <c r="AK73" s="310"/>
      <c r="AL73" s="311"/>
      <c r="AM73" s="312"/>
      <c r="AN73" s="310"/>
      <c r="AO73" s="310"/>
      <c r="AP73" s="311"/>
      <c r="AQ73" s="305"/>
      <c r="AR73" s="305"/>
      <c r="AS73" s="305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0"/>
      <c r="AG74" s="310"/>
      <c r="AH74" s="311"/>
      <c r="AI74" s="312"/>
      <c r="AJ74" s="310"/>
      <c r="AK74" s="310"/>
      <c r="AL74" s="311"/>
      <c r="AM74" s="312"/>
      <c r="AN74" s="310"/>
      <c r="AO74" s="310"/>
      <c r="AP74" s="311"/>
      <c r="AQ74" s="305"/>
      <c r="AR74" s="305"/>
      <c r="AS74" s="305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0"/>
      <c r="AG75" s="310"/>
      <c r="AH75" s="311"/>
      <c r="AI75" s="312"/>
      <c r="AJ75" s="310"/>
      <c r="AK75" s="310"/>
      <c r="AL75" s="311"/>
      <c r="AM75" s="312"/>
      <c r="AN75" s="310"/>
      <c r="AO75" s="310"/>
      <c r="AP75" s="311"/>
      <c r="AQ75" s="305"/>
      <c r="AR75" s="305"/>
      <c r="AS75" s="305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0"/>
      <c r="AG76" s="310"/>
      <c r="AH76" s="311"/>
      <c r="AI76" s="312"/>
      <c r="AJ76" s="310"/>
      <c r="AK76" s="310"/>
      <c r="AL76" s="311"/>
      <c r="AM76" s="312"/>
      <c r="AN76" s="310"/>
      <c r="AO76" s="310"/>
      <c r="AP76" s="311"/>
      <c r="AQ76" s="305"/>
      <c r="AR76" s="305"/>
      <c r="AS76" s="305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0"/>
      <c r="AG77" s="310"/>
      <c r="AH77" s="310"/>
      <c r="AI77" s="312"/>
      <c r="AJ77" s="310"/>
      <c r="AK77" s="310"/>
      <c r="AL77" s="310"/>
      <c r="AM77" s="312"/>
      <c r="AN77" s="310"/>
      <c r="AO77" s="310"/>
      <c r="AP77" s="310"/>
      <c r="AQ77" s="305"/>
      <c r="AR77" s="305"/>
      <c r="AS77" s="305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5"/>
      <c r="AG78" s="311"/>
      <c r="AH78" s="313"/>
      <c r="AI78" s="314"/>
      <c r="AJ78" s="305"/>
      <c r="AK78" s="311"/>
      <c r="AL78" s="313"/>
      <c r="AM78" s="314"/>
      <c r="AN78" s="305"/>
      <c r="AO78" s="311"/>
      <c r="AP78" s="313"/>
      <c r="AQ78" s="305"/>
      <c r="AR78" s="305"/>
      <c r="AS78" s="305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5"/>
      <c r="AG79" s="305"/>
      <c r="AH79" s="315"/>
      <c r="AI79" s="305"/>
      <c r="AJ79" s="305"/>
      <c r="AK79" s="305"/>
      <c r="AL79" s="315"/>
      <c r="AM79" s="305"/>
      <c r="AN79" s="305"/>
      <c r="AO79" s="305"/>
      <c r="AP79" s="315"/>
      <c r="AQ79" s="305"/>
      <c r="AR79" s="305"/>
      <c r="AS79" s="305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5"/>
      <c r="AG80" s="305"/>
      <c r="AH80" s="315"/>
      <c r="AI80" s="316"/>
      <c r="AJ80" s="305"/>
      <c r="AK80" s="305"/>
      <c r="AL80" s="315"/>
      <c r="AM80" s="316"/>
      <c r="AN80" s="305"/>
      <c r="AO80" s="305"/>
      <c r="AP80" s="315"/>
      <c r="AQ80" s="305"/>
      <c r="AR80" s="305"/>
      <c r="AS80" s="305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5"/>
      <c r="AG81" s="305"/>
      <c r="AH81" s="315"/>
      <c r="AI81" s="313"/>
      <c r="AJ81" s="305"/>
      <c r="AK81" s="305"/>
      <c r="AL81" s="315"/>
      <c r="AM81" s="313"/>
      <c r="AN81" s="305"/>
      <c r="AO81" s="305"/>
      <c r="AP81" s="315"/>
      <c r="AQ81" s="305"/>
      <c r="AR81" s="305"/>
      <c r="AS81" s="305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5"/>
      <c r="AG82" s="305"/>
      <c r="AH82" s="315"/>
      <c r="AI82" s="316"/>
      <c r="AJ82" s="305"/>
      <c r="AK82" s="305"/>
      <c r="AL82" s="315"/>
      <c r="AM82" s="316"/>
      <c r="AN82" s="305"/>
      <c r="AO82" s="305"/>
      <c r="AP82" s="315"/>
      <c r="AQ82" s="305"/>
      <c r="AR82" s="305"/>
      <c r="AS82" s="305"/>
    </row>
    <row r="83" spans="4:45" x14ac:dyDescent="0.2">
      <c r="AE83" s="32"/>
      <c r="AF83" s="305"/>
      <c r="AG83" s="305"/>
      <c r="AH83" s="305"/>
      <c r="AI83" s="305"/>
      <c r="AJ83" s="305"/>
      <c r="AK83" s="305"/>
      <c r="AL83" s="305"/>
      <c r="AM83" s="305"/>
      <c r="AN83" s="305"/>
      <c r="AO83" s="305"/>
      <c r="AP83" s="305"/>
      <c r="AQ83" s="305"/>
      <c r="AR83" s="305"/>
      <c r="AS83" s="305"/>
    </row>
    <row r="84" spans="4:45" x14ac:dyDescent="0.2">
      <c r="AE84" s="32"/>
      <c r="AF84" s="305"/>
      <c r="AG84" s="305"/>
      <c r="AH84" s="305"/>
      <c r="AI84" s="305"/>
      <c r="AJ84" s="305"/>
      <c r="AK84" s="305"/>
      <c r="AL84" s="305"/>
      <c r="AM84" s="305"/>
      <c r="AN84" s="305"/>
      <c r="AO84" s="305"/>
      <c r="AP84" s="305"/>
      <c r="AQ84" s="305"/>
      <c r="AR84" s="305"/>
      <c r="AS84" s="305"/>
    </row>
    <row r="85" spans="4:45" x14ac:dyDescent="0.2">
      <c r="AF85" s="305"/>
      <c r="AG85" s="305"/>
      <c r="AH85" s="305"/>
      <c r="AI85" s="305"/>
      <c r="AJ85" s="305"/>
      <c r="AK85" s="305"/>
      <c r="AL85" s="305"/>
      <c r="AM85" s="305"/>
      <c r="AN85" s="305"/>
      <c r="AO85" s="305"/>
      <c r="AP85" s="305"/>
      <c r="AQ85" s="305"/>
      <c r="AR85" s="305"/>
      <c r="AS85" s="305"/>
    </row>
    <row r="86" spans="4:45" x14ac:dyDescent="0.2">
      <c r="AF86" s="305"/>
      <c r="AG86" s="305"/>
      <c r="AH86" s="305"/>
      <c r="AI86" s="305"/>
      <c r="AJ86" s="305"/>
      <c r="AK86" s="305"/>
      <c r="AL86" s="305"/>
      <c r="AM86" s="305"/>
      <c r="AN86" s="305"/>
      <c r="AO86" s="305"/>
      <c r="AP86" s="305"/>
      <c r="AQ86" s="305"/>
      <c r="AR86" s="305"/>
      <c r="AS86" s="305"/>
    </row>
    <row r="87" spans="4:45" x14ac:dyDescent="0.2">
      <c r="AF87" s="305"/>
      <c r="AG87" s="305"/>
      <c r="AH87" s="305"/>
      <c r="AI87" s="305"/>
      <c r="AJ87" s="305"/>
      <c r="AK87" s="305"/>
      <c r="AL87" s="305"/>
      <c r="AM87" s="305"/>
      <c r="AN87" s="305"/>
      <c r="AO87" s="305"/>
      <c r="AP87" s="305"/>
      <c r="AQ87" s="305"/>
      <c r="AR87" s="305"/>
      <c r="AS87" s="305"/>
    </row>
    <row r="88" spans="4:45" x14ac:dyDescent="0.2">
      <c r="AF88" s="305"/>
      <c r="AG88" s="305"/>
      <c r="AH88" s="305"/>
      <c r="AI88" s="305"/>
      <c r="AJ88" s="305"/>
      <c r="AK88" s="305"/>
      <c r="AL88" s="305"/>
      <c r="AM88" s="305"/>
      <c r="AN88" s="305"/>
      <c r="AO88" s="305"/>
      <c r="AP88" s="305"/>
      <c r="AQ88" s="305"/>
      <c r="AR88" s="305"/>
      <c r="AS88" s="305"/>
    </row>
    <row r="89" spans="4:45" x14ac:dyDescent="0.2">
      <c r="AF89" s="305"/>
      <c r="AG89" s="305"/>
      <c r="AH89" s="305"/>
      <c r="AI89" s="305"/>
      <c r="AJ89" s="305"/>
      <c r="AK89" s="305"/>
      <c r="AL89" s="305"/>
      <c r="AM89" s="305"/>
      <c r="AN89" s="305"/>
      <c r="AO89" s="305"/>
      <c r="AP89" s="305"/>
      <c r="AQ89" s="305"/>
      <c r="AR89" s="305"/>
      <c r="AS89" s="305"/>
    </row>
    <row r="90" spans="4:45" x14ac:dyDescent="0.2">
      <c r="AF90" s="305"/>
      <c r="AG90" s="305"/>
      <c r="AH90" s="305"/>
      <c r="AI90" s="305"/>
      <c r="AJ90" s="305"/>
      <c r="AK90" s="305"/>
      <c r="AL90" s="305"/>
      <c r="AM90" s="305"/>
      <c r="AN90" s="305"/>
      <c r="AO90" s="305"/>
      <c r="AP90" s="305"/>
      <c r="AQ90" s="305"/>
      <c r="AR90" s="305"/>
      <c r="AS90" s="305"/>
    </row>
    <row r="91" spans="4:45" x14ac:dyDescent="0.2">
      <c r="AF91" s="305"/>
      <c r="AG91" s="305"/>
      <c r="AH91" s="305"/>
      <c r="AI91" s="305"/>
      <c r="AJ91" s="305"/>
      <c r="AK91" s="305"/>
      <c r="AL91" s="305"/>
      <c r="AM91" s="305"/>
      <c r="AN91" s="305"/>
      <c r="AO91" s="305"/>
      <c r="AP91" s="305"/>
      <c r="AQ91" s="305"/>
      <c r="AR91" s="305"/>
      <c r="AS91" s="305"/>
    </row>
    <row r="92" spans="4:45" x14ac:dyDescent="0.2">
      <c r="AF92" s="305"/>
      <c r="AG92" s="305"/>
      <c r="AH92" s="305"/>
      <c r="AI92" s="305"/>
      <c r="AJ92" s="305"/>
      <c r="AK92" s="305"/>
      <c r="AL92" s="305"/>
      <c r="AM92" s="305"/>
      <c r="AN92" s="305"/>
      <c r="AO92" s="305"/>
      <c r="AP92" s="305"/>
      <c r="AQ92" s="305"/>
      <c r="AR92" s="305"/>
      <c r="AS92" s="305"/>
    </row>
    <row r="93" spans="4:45" x14ac:dyDescent="0.2">
      <c r="AF93" s="305"/>
      <c r="AG93" s="305"/>
      <c r="AH93" s="305"/>
      <c r="AI93" s="305"/>
      <c r="AJ93" s="305"/>
      <c r="AK93" s="305"/>
      <c r="AL93" s="305"/>
      <c r="AM93" s="305"/>
      <c r="AN93" s="305"/>
      <c r="AO93" s="305"/>
      <c r="AP93" s="305"/>
      <c r="AQ93" s="305"/>
      <c r="AR93" s="305"/>
      <c r="AS93" s="305"/>
    </row>
    <row r="94" spans="4:45" x14ac:dyDescent="0.2">
      <c r="AF94" s="305"/>
      <c r="AG94" s="305"/>
      <c r="AH94" s="305"/>
      <c r="AI94" s="305"/>
      <c r="AJ94" s="305"/>
      <c r="AK94" s="305"/>
      <c r="AL94" s="305"/>
      <c r="AM94" s="305"/>
      <c r="AN94" s="305"/>
      <c r="AO94" s="305"/>
      <c r="AP94" s="305"/>
      <c r="AQ94" s="305"/>
      <c r="AR94" s="305"/>
      <c r="AS94" s="305"/>
    </row>
    <row r="95" spans="4:45" x14ac:dyDescent="0.2">
      <c r="AF95" s="305"/>
      <c r="AG95" s="305"/>
      <c r="AH95" s="305"/>
      <c r="AI95" s="305"/>
      <c r="AJ95" s="305"/>
      <c r="AK95" s="305"/>
      <c r="AL95" s="305"/>
      <c r="AM95" s="305"/>
      <c r="AN95" s="305"/>
      <c r="AO95" s="305"/>
      <c r="AP95" s="305"/>
      <c r="AQ95" s="305"/>
      <c r="AR95" s="305"/>
      <c r="AS95" s="305"/>
    </row>
    <row r="96" spans="4:45" x14ac:dyDescent="0.2">
      <c r="AF96" s="305"/>
      <c r="AG96" s="305"/>
      <c r="AH96" s="305"/>
      <c r="AI96" s="305"/>
      <c r="AJ96" s="305"/>
      <c r="AK96" s="305"/>
      <c r="AL96" s="305"/>
      <c r="AM96" s="305"/>
      <c r="AN96" s="305"/>
      <c r="AO96" s="305"/>
      <c r="AP96" s="305"/>
      <c r="AQ96" s="305"/>
      <c r="AR96" s="305"/>
      <c r="AS96" s="305"/>
    </row>
    <row r="97" spans="32:45" x14ac:dyDescent="0.2">
      <c r="AF97" s="305"/>
      <c r="AG97" s="305"/>
      <c r="AH97" s="305"/>
      <c r="AI97" s="305"/>
      <c r="AJ97" s="305"/>
      <c r="AK97" s="305"/>
      <c r="AL97" s="305"/>
      <c r="AM97" s="305"/>
      <c r="AN97" s="305"/>
      <c r="AO97" s="305"/>
      <c r="AP97" s="305"/>
      <c r="AQ97" s="305"/>
      <c r="AR97" s="305"/>
      <c r="AS97" s="305"/>
    </row>
    <row r="98" spans="32:45" x14ac:dyDescent="0.2">
      <c r="AF98" s="305"/>
      <c r="AG98" s="305"/>
      <c r="AH98" s="305"/>
      <c r="AI98" s="305"/>
      <c r="AJ98" s="305"/>
      <c r="AK98" s="305"/>
      <c r="AL98" s="305"/>
      <c r="AM98" s="305"/>
      <c r="AN98" s="305"/>
      <c r="AO98" s="305"/>
      <c r="AP98" s="305"/>
      <c r="AQ98" s="305"/>
      <c r="AR98" s="305"/>
      <c r="AS98" s="305"/>
    </row>
    <row r="99" spans="32:45" x14ac:dyDescent="0.2">
      <c r="AF99" s="305"/>
      <c r="AG99" s="305"/>
      <c r="AH99" s="305"/>
      <c r="AI99" s="305"/>
      <c r="AJ99" s="305"/>
      <c r="AK99" s="305"/>
      <c r="AL99" s="305"/>
      <c r="AM99" s="305"/>
      <c r="AN99" s="305"/>
      <c r="AO99" s="305"/>
      <c r="AP99" s="305"/>
      <c r="AQ99" s="305"/>
      <c r="AR99" s="305"/>
      <c r="AS99" s="305"/>
    </row>
    <row r="100" spans="32:45" x14ac:dyDescent="0.2">
      <c r="AF100" s="305"/>
      <c r="AG100" s="305"/>
      <c r="AH100" s="305"/>
      <c r="AI100" s="305"/>
      <c r="AJ100" s="305"/>
      <c r="AK100" s="305"/>
      <c r="AL100" s="305"/>
      <c r="AM100" s="305"/>
      <c r="AN100" s="305"/>
      <c r="AO100" s="305"/>
      <c r="AP100" s="305"/>
      <c r="AQ100" s="305"/>
      <c r="AR100" s="305"/>
      <c r="AS100" s="305"/>
    </row>
    <row r="101" spans="32:45" x14ac:dyDescent="0.2">
      <c r="AF101" s="305"/>
      <c r="AG101" s="305"/>
      <c r="AH101" s="305"/>
      <c r="AI101" s="305"/>
      <c r="AJ101" s="305"/>
      <c r="AK101" s="305"/>
      <c r="AL101" s="305"/>
      <c r="AM101" s="305"/>
      <c r="AN101" s="305"/>
      <c r="AO101" s="305"/>
      <c r="AP101" s="305"/>
      <c r="AQ101" s="305"/>
      <c r="AR101" s="305"/>
      <c r="AS101" s="305"/>
    </row>
    <row r="102" spans="32:45" x14ac:dyDescent="0.2">
      <c r="AF102" s="305"/>
      <c r="AG102" s="305"/>
      <c r="AH102" s="305"/>
      <c r="AI102" s="305"/>
      <c r="AJ102" s="305"/>
      <c r="AK102" s="305"/>
      <c r="AL102" s="305"/>
      <c r="AM102" s="305"/>
      <c r="AN102" s="305"/>
      <c r="AO102" s="305"/>
      <c r="AP102" s="305"/>
      <c r="AQ102" s="305"/>
      <c r="AR102" s="305"/>
      <c r="AS102" s="305"/>
    </row>
    <row r="103" spans="32:45" x14ac:dyDescent="0.2">
      <c r="AF103" s="305"/>
      <c r="AG103" s="305"/>
      <c r="AH103" s="305"/>
      <c r="AI103" s="305"/>
      <c r="AJ103" s="305"/>
      <c r="AK103" s="305"/>
      <c r="AL103" s="305"/>
      <c r="AM103" s="305"/>
      <c r="AN103" s="305"/>
      <c r="AO103" s="305"/>
      <c r="AP103" s="305"/>
      <c r="AQ103" s="305"/>
      <c r="AR103" s="305"/>
      <c r="AS103" s="305"/>
    </row>
    <row r="104" spans="32:45" x14ac:dyDescent="0.2">
      <c r="AF104" s="305"/>
      <c r="AG104" s="305"/>
      <c r="AH104" s="305"/>
      <c r="AI104" s="305"/>
      <c r="AJ104" s="305"/>
      <c r="AK104" s="305"/>
      <c r="AL104" s="305"/>
      <c r="AM104" s="305"/>
      <c r="AN104" s="305"/>
      <c r="AO104" s="305"/>
      <c r="AP104" s="305"/>
      <c r="AQ104" s="305"/>
      <c r="AR104" s="305"/>
      <c r="AS104" s="305"/>
    </row>
    <row r="105" spans="32:45" x14ac:dyDescent="0.2">
      <c r="AF105" s="305"/>
      <c r="AG105" s="305"/>
      <c r="AH105" s="305"/>
      <c r="AI105" s="305"/>
      <c r="AJ105" s="305"/>
      <c r="AK105" s="305"/>
      <c r="AL105" s="305"/>
      <c r="AM105" s="305"/>
      <c r="AN105" s="305"/>
      <c r="AO105" s="305"/>
      <c r="AP105" s="305"/>
      <c r="AQ105" s="305"/>
      <c r="AR105" s="305"/>
      <c r="AS105" s="30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1" workbookViewId="3">
      <selection activeCell="B46" sqref="B4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-122197</v>
      </c>
      <c r="C4" s="11">
        <v>-31314</v>
      </c>
      <c r="D4" s="11"/>
      <c r="E4" s="11">
        <v>-90498</v>
      </c>
      <c r="F4" s="11"/>
      <c r="G4" s="11"/>
      <c r="H4" s="11">
        <f>+G4+E4+C4-F4-D4-B4</f>
        <v>385</v>
      </c>
      <c r="I4" s="11"/>
      <c r="J4" s="102"/>
      <c r="K4" s="441"/>
      <c r="L4" s="441"/>
      <c r="M4" s="441"/>
      <c r="N4" s="441"/>
      <c r="O4" s="293"/>
      <c r="P4" s="293"/>
    </row>
    <row r="5" spans="1:17" ht="12.75" x14ac:dyDescent="0.2">
      <c r="A5" s="41">
        <v>2</v>
      </c>
      <c r="B5" s="11">
        <v>-70606</v>
      </c>
      <c r="C5" s="11">
        <v>-48264</v>
      </c>
      <c r="D5" s="129"/>
      <c r="E5" s="11">
        <v>-22761</v>
      </c>
      <c r="F5" s="11"/>
      <c r="G5" s="11"/>
      <c r="H5" s="11">
        <f t="shared" ref="H5:H34" si="0">+G5+E5+C5-F5-D5-B5</f>
        <v>-419</v>
      </c>
      <c r="I5" s="11"/>
      <c r="J5" s="102"/>
      <c r="K5" s="118"/>
      <c r="L5" s="34"/>
      <c r="M5" s="34"/>
      <c r="N5" s="189"/>
      <c r="O5" s="442" t="s">
        <v>183</v>
      </c>
      <c r="P5" s="189"/>
      <c r="Q5" s="2"/>
    </row>
    <row r="6" spans="1:17" ht="12.75" x14ac:dyDescent="0.2">
      <c r="A6" s="41">
        <v>3</v>
      </c>
      <c r="B6" s="11">
        <v>-63000</v>
      </c>
      <c r="C6" s="11">
        <v>-52395</v>
      </c>
      <c r="D6" s="11"/>
      <c r="E6" s="11">
        <v>-11665</v>
      </c>
      <c r="F6" s="11"/>
      <c r="G6" s="11"/>
      <c r="H6" s="11">
        <f t="shared" si="0"/>
        <v>-1060</v>
      </c>
      <c r="I6" s="11"/>
      <c r="J6" s="102"/>
      <c r="K6" s="118" t="s">
        <v>40</v>
      </c>
      <c r="L6" s="443" t="s">
        <v>20</v>
      </c>
      <c r="M6" s="443" t="s">
        <v>21</v>
      </c>
      <c r="N6" s="444" t="s">
        <v>50</v>
      </c>
      <c r="O6" s="442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-61864</v>
      </c>
      <c r="C7" s="11">
        <v>-36331</v>
      </c>
      <c r="D7" s="129"/>
      <c r="E7" s="11">
        <v>-26182</v>
      </c>
      <c r="F7" s="11"/>
      <c r="G7" s="11"/>
      <c r="H7" s="11">
        <f t="shared" si="0"/>
        <v>-649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-60984</v>
      </c>
      <c r="C8" s="11">
        <v>-47080</v>
      </c>
      <c r="D8" s="11"/>
      <c r="E8" s="11">
        <v>-14935</v>
      </c>
      <c r="F8" s="11"/>
      <c r="G8" s="11"/>
      <c r="H8" s="11">
        <f t="shared" si="0"/>
        <v>-1031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-39138</v>
      </c>
      <c r="C9" s="11">
        <v>-39080</v>
      </c>
      <c r="D9" s="11"/>
      <c r="E9" s="11">
        <v>65</v>
      </c>
      <c r="F9" s="11"/>
      <c r="G9" s="11"/>
      <c r="H9" s="11">
        <f t="shared" si="0"/>
        <v>123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42">
        <v>8.2100000000000009</v>
      </c>
      <c r="P9" s="447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-25113</v>
      </c>
      <c r="C10" s="11">
        <v>-24080</v>
      </c>
      <c r="D10" s="11"/>
      <c r="E10" s="11">
        <v>65</v>
      </c>
      <c r="F10" s="11"/>
      <c r="G10" s="11"/>
      <c r="H10" s="11">
        <f t="shared" si="0"/>
        <v>1098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42">
        <v>5.62</v>
      </c>
      <c r="P10" s="447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42">
        <v>4.9800000000000004</v>
      </c>
      <c r="P11" s="447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42">
        <v>4.87</v>
      </c>
      <c r="P12" s="447">
        <f t="shared" si="2"/>
        <v>131246.5</v>
      </c>
      <c r="Q12" s="2"/>
    </row>
    <row r="13" spans="1:17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42">
        <v>3.82</v>
      </c>
      <c r="P13" s="447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42">
        <v>3.2</v>
      </c>
      <c r="P14" s="447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42">
        <v>2.77</v>
      </c>
      <c r="P15" s="448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45"/>
      <c r="P16" s="446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-442902</v>
      </c>
      <c r="C35" s="44">
        <f t="shared" si="3"/>
        <v>-278544</v>
      </c>
      <c r="D35" s="11">
        <f t="shared" si="3"/>
        <v>0</v>
      </c>
      <c r="E35" s="44">
        <f t="shared" si="3"/>
        <v>-165911</v>
      </c>
      <c r="F35" s="11">
        <f t="shared" si="3"/>
        <v>0</v>
      </c>
      <c r="G35" s="11">
        <f t="shared" si="3"/>
        <v>0</v>
      </c>
      <c r="H35" s="11">
        <f t="shared" si="3"/>
        <v>-1553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1.7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-2640.1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2">
        <v>37164</v>
      </c>
      <c r="F38" s="47"/>
      <c r="G38" s="48"/>
      <c r="H38" s="474">
        <v>446379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37170</v>
      </c>
      <c r="F39" s="47"/>
      <c r="G39" s="47"/>
      <c r="H39" s="137">
        <f>+H38+H37</f>
        <v>443738.9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153</v>
      </c>
      <c r="F45" s="11"/>
      <c r="G45" s="11"/>
      <c r="H45" s="11"/>
      <c r="J45" s="102"/>
    </row>
    <row r="46" spans="1:14" x14ac:dyDescent="0.2">
      <c r="A46" s="101"/>
      <c r="B46" s="49">
        <f>+E38</f>
        <v>37164</v>
      </c>
      <c r="E46" s="486">
        <v>104042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v>37171</v>
      </c>
      <c r="E47" s="371">
        <f>+H35</f>
        <v>-1553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102489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5" workbookViewId="3">
      <selection activeCell="E47" sqref="E47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>
        <f>-315175-750</f>
        <v>-315925</v>
      </c>
      <c r="C5" s="11">
        <v>-314073</v>
      </c>
      <c r="D5" s="11"/>
      <c r="E5" s="11"/>
      <c r="F5" s="11"/>
      <c r="G5" s="11"/>
      <c r="H5" s="24">
        <f>+E5-D5+C5-B5</f>
        <v>1852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>
        <f>-294010-750</f>
        <v>-294760</v>
      </c>
      <c r="C6" s="11">
        <v>-298958</v>
      </c>
      <c r="D6" s="129"/>
      <c r="E6" s="11"/>
      <c r="F6" s="11"/>
      <c r="G6" s="11"/>
      <c r="H6" s="24">
        <f t="shared" ref="H6:H35" si="0">+E6-D6+C6-B6</f>
        <v>-4198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>
        <f>-282296-750</f>
        <v>-283046</v>
      </c>
      <c r="C7" s="129">
        <v>-284097</v>
      </c>
      <c r="D7" s="129"/>
      <c r="E7" s="129"/>
      <c r="F7" s="11"/>
      <c r="G7" s="11"/>
      <c r="H7" s="24">
        <f t="shared" si="0"/>
        <v>-1051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f>-250828-750</f>
        <v>-251578</v>
      </c>
      <c r="C8" s="129">
        <v>-255938</v>
      </c>
      <c r="D8" s="129"/>
      <c r="E8" s="129"/>
      <c r="F8" s="11"/>
      <c r="G8" s="11"/>
      <c r="H8" s="24">
        <f t="shared" si="0"/>
        <v>-4360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>
        <f>-288293-750</f>
        <v>-289043</v>
      </c>
      <c r="C9" s="11">
        <v>-289800</v>
      </c>
      <c r="D9" s="11"/>
      <c r="E9" s="11"/>
      <c r="F9" s="11"/>
      <c r="G9" s="11"/>
      <c r="H9" s="24">
        <f t="shared" si="0"/>
        <v>-757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>
        <f>-260814-750</f>
        <v>-261564</v>
      </c>
      <c r="C10" s="11">
        <v>-260721</v>
      </c>
      <c r="D10" s="11"/>
      <c r="E10" s="11"/>
      <c r="F10" s="11"/>
      <c r="G10" s="11"/>
      <c r="H10" s="24">
        <f t="shared" si="0"/>
        <v>843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-1695916</v>
      </c>
      <c r="C36" s="11">
        <f t="shared" si="15"/>
        <v>-1703587</v>
      </c>
      <c r="D36" s="11">
        <f t="shared" si="15"/>
        <v>0</v>
      </c>
      <c r="E36" s="11">
        <f t="shared" si="15"/>
        <v>0</v>
      </c>
      <c r="F36" s="11">
        <f t="shared" si="15"/>
        <v>0</v>
      </c>
      <c r="G36" s="11">
        <f t="shared" si="15"/>
        <v>0</v>
      </c>
      <c r="H36" s="11">
        <f t="shared" si="15"/>
        <v>-7671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-7671</v>
      </c>
      <c r="E37" s="25">
        <f>+E36-D36</f>
        <v>0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37164</v>
      </c>
      <c r="B38" s="2" t="s">
        <v>46</v>
      </c>
      <c r="C38" s="462">
        <v>64244</v>
      </c>
      <c r="D38" s="335"/>
      <c r="E38" s="461">
        <v>-75692</v>
      </c>
      <c r="F38" s="24"/>
      <c r="G38" s="24"/>
      <c r="H38" s="238">
        <f>+C38+E38+G38</f>
        <v>-11448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37170</v>
      </c>
      <c r="B39" s="2" t="s">
        <v>46</v>
      </c>
      <c r="C39" s="131">
        <f>+C38+C37</f>
        <v>56573</v>
      </c>
      <c r="D39" s="257"/>
      <c r="E39" s="131">
        <f>+E38+E37</f>
        <v>-75692</v>
      </c>
      <c r="F39" s="257"/>
      <c r="G39" s="131"/>
      <c r="H39" s="131">
        <f>+H38+H36</f>
        <v>-19119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8"/>
      <c r="E40" s="248"/>
      <c r="F40" s="252"/>
      <c r="G40" s="248"/>
      <c r="H40" s="339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5"/>
      <c r="E41" s="362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5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154</v>
      </c>
      <c r="B43" s="32"/>
      <c r="C43" s="32"/>
      <c r="D43" s="47"/>
      <c r="E43" s="280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37164</v>
      </c>
      <c r="B44" s="32"/>
      <c r="C44" s="463">
        <v>-1583008</v>
      </c>
      <c r="D44" s="207"/>
      <c r="E44" s="464">
        <v>953705</v>
      </c>
      <c r="F44" s="47">
        <f>+E44+C44</f>
        <v>-629303</v>
      </c>
      <c r="G44" s="250"/>
      <c r="H44" s="40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37170</v>
      </c>
      <c r="B45" s="32"/>
      <c r="C45" s="47">
        <f>+C37*summary!H4</f>
        <v>-13040.699999999999</v>
      </c>
      <c r="D45" s="207"/>
      <c r="E45" s="402">
        <f>+E37*summary!H3</f>
        <v>0</v>
      </c>
      <c r="F45" s="47">
        <f>+E45+C45</f>
        <v>-13040.699999999999</v>
      </c>
      <c r="G45" s="250"/>
      <c r="H45" s="40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-1596048.7</v>
      </c>
      <c r="D46" s="207"/>
      <c r="E46" s="402">
        <v>925707</v>
      </c>
      <c r="F46" s="47">
        <f>+E46+C46</f>
        <v>-670341.69999999995</v>
      </c>
      <c r="G46" s="250"/>
      <c r="H46" s="40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02"/>
      <c r="D47" s="402"/>
      <c r="E47" s="402"/>
      <c r="F47" s="47"/>
      <c r="G47" s="250"/>
      <c r="H47" s="40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2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2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27</vt:i4>
      </vt:variant>
    </vt:vector>
  </HeadingPairs>
  <TitlesOfParts>
    <vt:vector size="63" baseType="lpstr">
      <vt:lpstr>by type_area</vt:lpstr>
      <vt:lpstr>summary</vt:lpstr>
      <vt:lpstr>volvalue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volvalue!Print_Area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2001-10-08T20:48:18Z</cp:lastPrinted>
  <dcterms:created xsi:type="dcterms:W3CDTF">2000-03-28T16:52:23Z</dcterms:created>
  <dcterms:modified xsi:type="dcterms:W3CDTF">2014-09-03T14:39:09Z</dcterms:modified>
</cp:coreProperties>
</file>